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ltao\Documents\Documents\Advanced Biofuel task\BETO Biofuel TEA Database\"/>
    </mc:Choice>
  </mc:AlternateContent>
  <xr:revisionPtr revIDLastSave="0" documentId="13_ncr:1_{9C16F933-D5E7-40AE-AEB0-0AC62BD24A99}" xr6:coauthVersionLast="46" xr6:coauthVersionMax="46" xr10:uidLastSave="{00000000-0000-0000-0000-000000000000}"/>
  <bookViews>
    <workbookView xWindow="25490" yWindow="-110" windowWidth="25820" windowHeight="14160" xr2:uid="{00000000-000D-0000-FFFF-FFFF00000000}"/>
  </bookViews>
  <sheets>
    <sheet name="Title Page" sheetId="9" r:id="rId1"/>
    <sheet name="Definitions" sheetId="7" r:id="rId2"/>
    <sheet name="Summary" sheetId="11" r:id="rId3"/>
    <sheet name="Gasification IDL" sheetId="1" r:id="rId4"/>
    <sheet name="Pyrolysis" sheetId="6" r:id="rId5"/>
    <sheet name="Biochemical" sheetId="3" r:id="rId6"/>
    <sheet name="HEFA" sheetId="10" r:id="rId7"/>
    <sheet name="HTL" sheetId="5" r:id="rId8"/>
    <sheet name="Algae" sheetId="4" r:id="rId9"/>
    <sheet name="Supporting Calculations" sheetId="8" r:id="rId10"/>
  </sheets>
  <externalReferences>
    <externalReference r:id="rId11"/>
    <externalReference r:id="rId12"/>
  </externalReferences>
  <definedNames>
    <definedName name="CAPEX200">[1]DCFROR!$K$4</definedName>
    <definedName name="LU_SENS">'[2]Set-up'!$S$32</definedName>
    <definedName name="Pyr_Match">#REF!</definedName>
    <definedName name="Pyr_VLu">#REF!</definedName>
  </definedNames>
  <calcPr calcId="191029" calcMode="manual"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1" l="1"/>
  <c r="H38" i="11" s="1"/>
  <c r="K38" i="11" l="1"/>
  <c r="E38" i="11"/>
  <c r="I38" i="11"/>
  <c r="D38" i="11"/>
  <c r="F38" i="11"/>
  <c r="J38" i="11"/>
  <c r="G38" i="11"/>
  <c r="C38" i="11"/>
  <c r="K33" i="11"/>
  <c r="K34" i="11"/>
  <c r="K35" i="11"/>
  <c r="J33" i="11"/>
  <c r="J34" i="11"/>
  <c r="J35" i="11"/>
  <c r="I34" i="11"/>
  <c r="I35" i="11"/>
  <c r="I33" i="11"/>
  <c r="H33" i="11"/>
  <c r="H34" i="11"/>
  <c r="G33" i="11"/>
  <c r="G34" i="11"/>
  <c r="F33" i="11"/>
  <c r="E33" i="11"/>
  <c r="E34" i="11"/>
  <c r="E35" i="11"/>
  <c r="D33" i="11"/>
  <c r="D34" i="11"/>
  <c r="D35" i="11"/>
  <c r="C33" i="11"/>
  <c r="C34" i="11"/>
  <c r="C35" i="11"/>
  <c r="G114" i="4"/>
  <c r="D13" i="1" l="1"/>
  <c r="F83" i="4" l="1"/>
  <c r="F87" i="4"/>
  <c r="F84" i="4"/>
  <c r="E83" i="4" l="1"/>
  <c r="E87" i="4"/>
  <c r="G85" i="4" l="1"/>
  <c r="U93" i="1" l="1"/>
  <c r="U92" i="1"/>
  <c r="U91" i="1"/>
  <c r="U90" i="1"/>
  <c r="T93" i="1"/>
  <c r="T92" i="1"/>
  <c r="T91" i="1"/>
  <c r="T90" i="1"/>
  <c r="T51" i="1"/>
  <c r="U51" i="1"/>
  <c r="G75" i="4" l="1"/>
  <c r="E109" i="4" l="1"/>
  <c r="K128" i="6" l="1"/>
  <c r="C343" i="8" s="1"/>
  <c r="K125" i="6"/>
  <c r="K124" i="6"/>
  <c r="K85" i="6"/>
  <c r="K82" i="6"/>
  <c r="K80" i="6"/>
  <c r="K78" i="6"/>
  <c r="K76" i="6"/>
  <c r="K75" i="6"/>
  <c r="K73" i="6"/>
  <c r="K72" i="6"/>
  <c r="K71" i="6"/>
  <c r="K70" i="6"/>
  <c r="K66" i="6"/>
  <c r="K64" i="6"/>
  <c r="K62" i="6"/>
  <c r="K61" i="6"/>
  <c r="K54" i="6"/>
  <c r="K42" i="6"/>
  <c r="K41" i="6"/>
  <c r="K40" i="6"/>
  <c r="K38" i="6"/>
  <c r="J128" i="6"/>
  <c r="B343" i="8" s="1"/>
  <c r="J125" i="6"/>
  <c r="J124" i="6"/>
  <c r="J85" i="6"/>
  <c r="J82" i="6"/>
  <c r="J80" i="6"/>
  <c r="J78" i="6"/>
  <c r="J76" i="6"/>
  <c r="J75" i="6"/>
  <c r="J73" i="6"/>
  <c r="J72" i="6"/>
  <c r="J71" i="6"/>
  <c r="J70" i="6"/>
  <c r="J66" i="6"/>
  <c r="J64" i="6"/>
  <c r="J62" i="6"/>
  <c r="J61" i="6"/>
  <c r="J54" i="6"/>
  <c r="J42" i="6"/>
  <c r="J41" i="6"/>
  <c r="J40" i="6"/>
  <c r="J38" i="6"/>
  <c r="J43" i="6" s="1"/>
  <c r="J47" i="6" s="1"/>
  <c r="K43" i="6" l="1"/>
  <c r="K51" i="6" s="1"/>
  <c r="J50" i="6"/>
  <c r="J49" i="6"/>
  <c r="J45" i="6"/>
  <c r="J51" i="6"/>
  <c r="K63" i="11"/>
  <c r="K64" i="11"/>
  <c r="J63" i="11"/>
  <c r="J64" i="11"/>
  <c r="I63" i="11"/>
  <c r="I64" i="11"/>
  <c r="I65" i="11"/>
  <c r="G63" i="11"/>
  <c r="G64" i="11"/>
  <c r="G65" i="11"/>
  <c r="H63" i="11"/>
  <c r="H64" i="11"/>
  <c r="H65" i="11"/>
  <c r="F64" i="11"/>
  <c r="F65" i="11"/>
  <c r="E64" i="11"/>
  <c r="E65" i="11"/>
  <c r="E63" i="11"/>
  <c r="F63" i="11"/>
  <c r="D63" i="11"/>
  <c r="D64" i="11"/>
  <c r="D65" i="11"/>
  <c r="C63" i="11"/>
  <c r="C64" i="11"/>
  <c r="C65" i="11"/>
  <c r="K45" i="11"/>
  <c r="K46" i="11"/>
  <c r="K47" i="11"/>
  <c r="K48" i="11"/>
  <c r="J45" i="11"/>
  <c r="J46" i="11"/>
  <c r="J47" i="11"/>
  <c r="J48" i="11"/>
  <c r="I45" i="11"/>
  <c r="I46" i="11"/>
  <c r="I47" i="11"/>
  <c r="I48" i="11"/>
  <c r="H45" i="11"/>
  <c r="H46" i="11"/>
  <c r="H47" i="11"/>
  <c r="H48" i="11"/>
  <c r="G45" i="11"/>
  <c r="G46" i="11"/>
  <c r="G47" i="11"/>
  <c r="G48" i="11"/>
  <c r="F45" i="11"/>
  <c r="F46" i="11"/>
  <c r="F47" i="11"/>
  <c r="F48" i="11"/>
  <c r="E45" i="11"/>
  <c r="E46" i="11"/>
  <c r="E47" i="11"/>
  <c r="E48" i="11"/>
  <c r="D45" i="11"/>
  <c r="D46" i="11"/>
  <c r="D47" i="11"/>
  <c r="D48" i="11"/>
  <c r="C45" i="11"/>
  <c r="C46" i="11"/>
  <c r="C47" i="11"/>
  <c r="C48" i="11"/>
  <c r="H35" i="11"/>
  <c r="G35" i="11"/>
  <c r="F35" i="11"/>
  <c r="K22" i="11"/>
  <c r="K23" i="11"/>
  <c r="J22" i="11"/>
  <c r="J23" i="11"/>
  <c r="G22" i="11"/>
  <c r="G23" i="11"/>
  <c r="F22" i="11"/>
  <c r="F23" i="11"/>
  <c r="E22" i="11"/>
  <c r="E23" i="11"/>
  <c r="D22" i="11"/>
  <c r="D23" i="11"/>
  <c r="C22" i="11"/>
  <c r="C23" i="11"/>
  <c r="H22" i="11"/>
  <c r="I22" i="11"/>
  <c r="H23" i="11"/>
  <c r="I23" i="11"/>
  <c r="L95" i="3"/>
  <c r="L94" i="3"/>
  <c r="L92" i="3"/>
  <c r="L90" i="3"/>
  <c r="L85" i="3"/>
  <c r="L70" i="3"/>
  <c r="L63" i="3"/>
  <c r="L61" i="3"/>
  <c r="L60" i="3"/>
  <c r="L58" i="3"/>
  <c r="K94" i="3"/>
  <c r="K92" i="3"/>
  <c r="K90" i="3"/>
  <c r="K70" i="3"/>
  <c r="K63" i="3"/>
  <c r="K60" i="3"/>
  <c r="K58" i="3"/>
  <c r="J95" i="3"/>
  <c r="J94" i="3"/>
  <c r="J92" i="3"/>
  <c r="J90" i="3"/>
  <c r="J85" i="3"/>
  <c r="J70" i="3"/>
  <c r="J65" i="3"/>
  <c r="J63" i="3"/>
  <c r="J61" i="3"/>
  <c r="J60" i="3"/>
  <c r="I94" i="3"/>
  <c r="I90" i="3"/>
  <c r="I85" i="3"/>
  <c r="I70" i="3"/>
  <c r="I65" i="3"/>
  <c r="I63" i="3"/>
  <c r="I60" i="3"/>
  <c r="I58" i="3"/>
  <c r="J58" i="3"/>
  <c r="K50" i="6" l="1"/>
  <c r="K45" i="6"/>
  <c r="K47" i="6"/>
  <c r="K49" i="6"/>
  <c r="J52" i="6"/>
  <c r="J53" i="6" s="1"/>
  <c r="K52" i="6" l="1"/>
  <c r="K53" i="6" s="1"/>
  <c r="K86" i="6" s="1"/>
  <c r="J87" i="6"/>
  <c r="J86" i="6"/>
  <c r="J55" i="6"/>
  <c r="J56" i="6" s="1"/>
  <c r="J95" i="6"/>
  <c r="J99" i="6" s="1"/>
  <c r="K95" i="6" l="1"/>
  <c r="K99" i="6" s="1"/>
  <c r="K87" i="6"/>
  <c r="K55" i="6"/>
  <c r="K56" i="6" s="1"/>
  <c r="G49" i="4"/>
  <c r="G30" i="4"/>
  <c r="G26" i="4"/>
  <c r="G25" i="4"/>
  <c r="G23" i="4"/>
  <c r="G22" i="4"/>
  <c r="F148" i="4" l="1"/>
  <c r="E39" i="4"/>
  <c r="F39" i="4"/>
  <c r="F38" i="4"/>
  <c r="E38" i="4"/>
  <c r="E37" i="4"/>
  <c r="F37" i="4"/>
  <c r="F36" i="4"/>
  <c r="E36" i="4"/>
  <c r="E34" i="4"/>
  <c r="F34" i="4"/>
  <c r="F33" i="4"/>
  <c r="E32" i="4"/>
  <c r="E31" i="4"/>
  <c r="F31" i="4"/>
  <c r="L65" i="3"/>
  <c r="K95" i="3"/>
  <c r="K85" i="3"/>
  <c r="K65" i="3"/>
  <c r="K61" i="3"/>
  <c r="I95" i="3"/>
  <c r="I92" i="3"/>
  <c r="I61" i="3"/>
  <c r="U82" i="1"/>
  <c r="U81" i="1"/>
  <c r="U79" i="1"/>
  <c r="U78" i="1"/>
  <c r="U64" i="1"/>
  <c r="U62" i="1"/>
  <c r="U61" i="1"/>
  <c r="U59" i="1"/>
  <c r="T82" i="1"/>
  <c r="T81" i="1"/>
  <c r="T79" i="1"/>
  <c r="T78" i="1"/>
  <c r="T64" i="1"/>
  <c r="T62" i="1"/>
  <c r="T61" i="1"/>
  <c r="T59" i="1"/>
  <c r="C192" i="8"/>
  <c r="C194" i="8" s="1"/>
  <c r="U134" i="1" s="1"/>
  <c r="B192" i="8"/>
  <c r="B194" i="8" s="1"/>
  <c r="T134" i="1" s="1"/>
  <c r="C198" i="8"/>
  <c r="U129" i="1" s="1"/>
  <c r="U128" i="1" s="1"/>
  <c r="B198" i="8"/>
  <c r="T129" i="1" s="1"/>
  <c r="T128" i="1" s="1"/>
  <c r="B211" i="8"/>
  <c r="C211" i="8"/>
  <c r="U135" i="1"/>
  <c r="U132" i="1"/>
  <c r="U131" i="1"/>
  <c r="U130" i="1"/>
  <c r="U38" i="1"/>
  <c r="U43" i="1" s="1"/>
  <c r="T135" i="1"/>
  <c r="T132" i="1"/>
  <c r="T131" i="1"/>
  <c r="T130" i="1"/>
  <c r="T38" i="1"/>
  <c r="T43" i="1" s="1"/>
  <c r="C212" i="8" l="1"/>
  <c r="B212" i="8"/>
  <c r="C341" i="8"/>
  <c r="K122" i="6" s="1"/>
  <c r="K121" i="6" s="1"/>
  <c r="C344" i="8"/>
  <c r="K127" i="6" s="1"/>
  <c r="B341" i="8"/>
  <c r="J122" i="6" s="1"/>
  <c r="B344" i="8"/>
  <c r="J127" i="6" s="1"/>
  <c r="I40" i="6"/>
  <c r="G55" i="4"/>
  <c r="J121" i="6" l="1"/>
  <c r="U52" i="1" l="1"/>
  <c r="T52" i="1"/>
  <c r="T102" i="1" s="1"/>
  <c r="T106" i="1" s="1"/>
  <c r="U102" i="1" l="1"/>
  <c r="U106" i="1" s="1"/>
  <c r="U54" i="1"/>
  <c r="U55" i="1" s="1"/>
  <c r="T54" i="1"/>
  <c r="T55" i="1" s="1"/>
  <c r="G152" i="4" l="1"/>
  <c r="G93" i="4"/>
  <c r="G92" i="4" l="1"/>
  <c r="G64" i="4"/>
  <c r="G63" i="4"/>
  <c r="G62" i="4"/>
  <c r="G61" i="4"/>
  <c r="G60" i="4"/>
  <c r="G57" i="4"/>
  <c r="G56" i="4"/>
  <c r="G67" i="4"/>
  <c r="G50" i="4" l="1"/>
  <c r="C602" i="8" l="1"/>
  <c r="F145" i="4" s="1"/>
  <c r="C598" i="8"/>
  <c r="F150" i="4" s="1"/>
  <c r="B478" i="8"/>
  <c r="B602" i="8"/>
  <c r="E145" i="4" s="1"/>
  <c r="B598" i="8"/>
  <c r="E150" i="4" s="1"/>
  <c r="B532" i="8"/>
  <c r="F92" i="4" l="1"/>
  <c r="F67" i="4" l="1"/>
  <c r="E55" i="4"/>
  <c r="F93" i="4" l="1"/>
  <c r="F57" i="4"/>
  <c r="F56" i="4"/>
  <c r="F55" i="4"/>
  <c r="F151" i="4" l="1"/>
  <c r="E151" i="4"/>
  <c r="E148" i="4"/>
  <c r="E13" i="4"/>
  <c r="E84" i="4" s="1"/>
  <c r="F13" i="4"/>
  <c r="E92" i="4"/>
  <c r="E147" i="4"/>
  <c r="G147" i="4"/>
  <c r="F109" i="4" l="1"/>
  <c r="F112" i="4"/>
  <c r="F82" i="4"/>
  <c r="F86" i="4"/>
  <c r="F81" i="4"/>
  <c r="E82" i="4"/>
  <c r="E112" i="4"/>
  <c r="E114" i="4" s="1"/>
  <c r="E86" i="4"/>
  <c r="E81" i="4"/>
  <c r="E67" i="4"/>
  <c r="G65" i="4"/>
  <c r="F114" i="4" l="1"/>
  <c r="E57" i="4"/>
  <c r="E93" i="4"/>
  <c r="E56" i="4"/>
  <c r="F50" i="4"/>
  <c r="F53" i="4" s="1"/>
  <c r="F58" i="4" s="1"/>
  <c r="G53" i="4"/>
  <c r="G58" i="4" s="1"/>
  <c r="G66" i="4" s="1"/>
  <c r="E50" i="4"/>
  <c r="E53" i="4" s="1"/>
  <c r="G94" i="4" l="1"/>
  <c r="G68" i="4"/>
  <c r="G69" i="4" s="1"/>
  <c r="G118" i="4"/>
  <c r="G122" i="4" s="1"/>
  <c r="F60" i="4"/>
  <c r="F63" i="4"/>
  <c r="F62" i="4"/>
  <c r="F61" i="4"/>
  <c r="F64" i="4"/>
  <c r="E58" i="4"/>
  <c r="E63" i="4" s="1"/>
  <c r="E64" i="4" l="1"/>
  <c r="E61" i="4"/>
  <c r="E60" i="4"/>
  <c r="F65" i="4"/>
  <c r="F66" i="4" s="1"/>
  <c r="E62" i="4"/>
  <c r="E65" i="4" l="1"/>
  <c r="E66" i="4" s="1"/>
  <c r="F94" i="4"/>
  <c r="F68" i="4"/>
  <c r="F69" i="4" s="1"/>
  <c r="F118" i="4"/>
  <c r="F122" i="4" s="1"/>
  <c r="L102" i="3"/>
  <c r="L103" i="3"/>
  <c r="K103" i="3"/>
  <c r="H95" i="3"/>
  <c r="L39" i="3"/>
  <c r="E68" i="4" l="1"/>
  <c r="E69" i="4" s="1"/>
  <c r="E118" i="4"/>
  <c r="E122" i="4" s="1"/>
  <c r="E94" i="4"/>
  <c r="J103" i="3"/>
  <c r="K102" i="3"/>
  <c r="K144" i="3" l="1"/>
  <c r="L144" i="3"/>
  <c r="K145" i="3"/>
  <c r="L145" i="3"/>
  <c r="K148" i="3"/>
  <c r="L148" i="3"/>
  <c r="K41" i="3"/>
  <c r="L41" i="3"/>
  <c r="K40" i="3"/>
  <c r="L40" i="3"/>
  <c r="K39" i="3"/>
  <c r="C478" i="8"/>
  <c r="J142" i="3" s="1"/>
  <c r="D478" i="8"/>
  <c r="K142" i="3" s="1"/>
  <c r="E478" i="8"/>
  <c r="L142" i="3" s="1"/>
  <c r="C474" i="8"/>
  <c r="J147" i="3" s="1"/>
  <c r="D474" i="8"/>
  <c r="K147" i="3" s="1"/>
  <c r="E474" i="8"/>
  <c r="L147" i="3" s="1"/>
  <c r="J148" i="3"/>
  <c r="J145" i="3"/>
  <c r="J144" i="3"/>
  <c r="J102" i="3"/>
  <c r="J41" i="3"/>
  <c r="J40" i="3"/>
  <c r="J39" i="3"/>
  <c r="J37" i="3"/>
  <c r="B461" i="8"/>
  <c r="B474" i="8"/>
  <c r="I147" i="3" s="1"/>
  <c r="I142" i="3"/>
  <c r="I102" i="3"/>
  <c r="I41" i="3"/>
  <c r="I40" i="3"/>
  <c r="I39" i="3"/>
  <c r="I103" i="3"/>
  <c r="H58" i="3"/>
  <c r="L37" i="3"/>
  <c r="K37" i="3"/>
  <c r="J42" i="3" l="1"/>
  <c r="J48" i="3" s="1"/>
  <c r="L42" i="3"/>
  <c r="L45" i="3" s="1"/>
  <c r="K42" i="3"/>
  <c r="K45" i="3" s="1"/>
  <c r="I37" i="3"/>
  <c r="I42" i="3" s="1"/>
  <c r="L46" i="3" l="1"/>
  <c r="L47" i="3"/>
  <c r="J47" i="3"/>
  <c r="L44" i="3"/>
  <c r="J45" i="3"/>
  <c r="L48" i="3"/>
  <c r="J44" i="3"/>
  <c r="J46" i="3"/>
  <c r="I45" i="3"/>
  <c r="I48" i="3"/>
  <c r="I44" i="3"/>
  <c r="I47" i="3"/>
  <c r="I46" i="3"/>
  <c r="K48" i="3"/>
  <c r="K47" i="3"/>
  <c r="K46" i="3"/>
  <c r="K44" i="3"/>
  <c r="I148" i="3"/>
  <c r="I145" i="3"/>
  <c r="I144" i="3"/>
  <c r="L49" i="3" l="1"/>
  <c r="L50" i="3" s="1"/>
  <c r="J49" i="3"/>
  <c r="J50" i="3" s="1"/>
  <c r="I49" i="3"/>
  <c r="I50" i="3" s="1"/>
  <c r="K49" i="3"/>
  <c r="K50" i="3" s="1"/>
  <c r="I52" i="3" l="1"/>
  <c r="I53" i="3" s="1"/>
  <c r="J113" i="3"/>
  <c r="J117" i="3" s="1"/>
  <c r="L104" i="3"/>
  <c r="L113" i="3"/>
  <c r="L117" i="3" s="1"/>
  <c r="L52" i="3"/>
  <c r="L53" i="3" s="1"/>
  <c r="J52" i="3"/>
  <c r="J53" i="3" s="1"/>
  <c r="J104" i="3"/>
  <c r="I104" i="3"/>
  <c r="K52" i="3"/>
  <c r="K53" i="3" s="1"/>
  <c r="K104" i="3"/>
  <c r="K113" i="3"/>
  <c r="K117" i="3" s="1"/>
  <c r="I113" i="3"/>
  <c r="I117" i="3" s="1"/>
  <c r="B579" i="8" l="1"/>
  <c r="B556" i="8" l="1"/>
  <c r="B551" i="8"/>
  <c r="G13" i="4" l="1"/>
  <c r="C57" i="11" l="1"/>
  <c r="D57" i="11"/>
  <c r="E57" i="11"/>
  <c r="G57" i="11"/>
  <c r="I57" i="11"/>
  <c r="K57" i="11"/>
  <c r="D83" i="5"/>
  <c r="D82" i="5"/>
  <c r="D81" i="5"/>
  <c r="D77" i="5"/>
  <c r="D78" i="5" s="1"/>
  <c r="D74" i="5"/>
  <c r="D73" i="5"/>
  <c r="D72" i="5"/>
  <c r="D68" i="5"/>
  <c r="D69" i="5"/>
  <c r="D63" i="5"/>
  <c r="D66" i="5"/>
  <c r="D67" i="5"/>
  <c r="D62" i="5"/>
  <c r="D54" i="5"/>
  <c r="D36" i="5"/>
  <c r="D39" i="5" s="1"/>
  <c r="G89" i="4" l="1"/>
  <c r="G74" i="4"/>
  <c r="G76" i="4"/>
  <c r="D40" i="5"/>
  <c r="D38" i="5"/>
  <c r="D79" i="5"/>
  <c r="F57" i="11"/>
  <c r="D120" i="5"/>
  <c r="D119" i="5" s="1"/>
  <c r="D116" i="5"/>
  <c r="D113" i="5"/>
  <c r="D15" i="5"/>
  <c r="J57" i="11" s="1"/>
  <c r="H57" i="11"/>
  <c r="D41" i="5" l="1"/>
  <c r="D49" i="5" s="1"/>
  <c r="D117" i="5"/>
  <c r="D47" i="5" l="1"/>
  <c r="D51" i="5"/>
  <c r="D48" i="5"/>
  <c r="D50" i="5"/>
  <c r="K41" i="1"/>
  <c r="D52" i="5" l="1"/>
  <c r="D53" i="5" s="1"/>
  <c r="D87" i="5" s="1"/>
  <c r="C33" i="8"/>
  <c r="C38" i="8"/>
  <c r="C35" i="8"/>
  <c r="D55" i="5" l="1"/>
  <c r="D56" i="5" s="1"/>
  <c r="D80" i="5"/>
  <c r="C39" i="8"/>
  <c r="C36" i="8"/>
  <c r="B587" i="8" l="1"/>
  <c r="B576" i="8"/>
  <c r="B562" i="8"/>
  <c r="B563" i="8" s="1"/>
  <c r="C145" i="4" s="1"/>
  <c r="C144" i="4" s="1"/>
  <c r="C15" i="4"/>
  <c r="B538" i="8"/>
  <c r="B539" i="8" s="1"/>
  <c r="B540" i="8" s="1"/>
  <c r="B533" i="8"/>
  <c r="B534" i="8" s="1"/>
  <c r="B528" i="8"/>
  <c r="B530" i="8" s="1"/>
  <c r="B150" i="4" s="1"/>
  <c r="C511" i="8"/>
  <c r="B511" i="8"/>
  <c r="C508" i="8"/>
  <c r="C510" i="8" s="1"/>
  <c r="B508" i="8"/>
  <c r="B510" i="8" s="1"/>
  <c r="C502" i="8"/>
  <c r="C503" i="8" s="1"/>
  <c r="B502" i="8"/>
  <c r="B503" i="8" s="1"/>
  <c r="C496" i="8"/>
  <c r="B496" i="8"/>
  <c r="C494" i="8"/>
  <c r="B494" i="8"/>
  <c r="C491" i="8"/>
  <c r="C11" i="5" s="1"/>
  <c r="C117" i="5" s="1"/>
  <c r="B491" i="8"/>
  <c r="B11" i="5" s="1"/>
  <c r="B117" i="5" s="1"/>
  <c r="C461" i="8"/>
  <c r="C463" i="8" s="1"/>
  <c r="H142" i="3" s="1"/>
  <c r="B463" i="8"/>
  <c r="G142" i="3" s="1"/>
  <c r="C457" i="8"/>
  <c r="C459" i="8" s="1"/>
  <c r="H147" i="3" s="1"/>
  <c r="B457" i="8"/>
  <c r="B459" i="8" s="1"/>
  <c r="G147" i="3" s="1"/>
  <c r="B448" i="8"/>
  <c r="F142" i="3" s="1"/>
  <c r="F141" i="3" s="1"/>
  <c r="B442" i="8"/>
  <c r="B444" i="8" s="1"/>
  <c r="F147" i="3" s="1"/>
  <c r="B432" i="8"/>
  <c r="B426" i="8"/>
  <c r="B428" i="8" s="1"/>
  <c r="C147" i="3" s="1"/>
  <c r="C396" i="8"/>
  <c r="E142" i="3" s="1"/>
  <c r="E141" i="3" s="1"/>
  <c r="B396" i="8"/>
  <c r="D142" i="3" s="1"/>
  <c r="D141" i="3" s="1"/>
  <c r="C386" i="8"/>
  <c r="C390" i="8" s="1"/>
  <c r="E147" i="3" s="1"/>
  <c r="B386" i="8"/>
  <c r="B390" i="8" s="1"/>
  <c r="D147" i="3" s="1"/>
  <c r="C383" i="8"/>
  <c r="C384" i="8" s="1"/>
  <c r="E11" i="3" s="1"/>
  <c r="E145" i="3" s="1"/>
  <c r="B370" i="8"/>
  <c r="B367" i="8"/>
  <c r="B369" i="8" s="1"/>
  <c r="B363" i="8"/>
  <c r="B358" i="8"/>
  <c r="B356" i="8"/>
  <c r="C328" i="8"/>
  <c r="I122" i="6" s="1"/>
  <c r="I121" i="6" s="1"/>
  <c r="B328" i="8"/>
  <c r="H122" i="6" s="1"/>
  <c r="H121" i="6" s="1"/>
  <c r="C315" i="8"/>
  <c r="Q129" i="1" s="1"/>
  <c r="Q128" i="1" s="1"/>
  <c r="B315" i="8"/>
  <c r="P129" i="1" s="1"/>
  <c r="P128" i="1" s="1"/>
  <c r="C305" i="8"/>
  <c r="G122" i="6" s="1"/>
  <c r="G121" i="6" s="1"/>
  <c r="B305" i="8"/>
  <c r="F122" i="6" s="1"/>
  <c r="F121" i="6" s="1"/>
  <c r="C299" i="8"/>
  <c r="C301" i="8" s="1"/>
  <c r="G127" i="6" s="1"/>
  <c r="B299" i="8"/>
  <c r="B301" i="8" s="1"/>
  <c r="F127" i="6" s="1"/>
  <c r="B287" i="8"/>
  <c r="B288" i="8" s="1"/>
  <c r="E15" i="6" s="1"/>
  <c r="B284" i="8"/>
  <c r="E127" i="6" s="1"/>
  <c r="B271" i="8"/>
  <c r="D122" i="6" s="1"/>
  <c r="D121" i="6" s="1"/>
  <c r="B265" i="8"/>
  <c r="B267" i="8" s="1"/>
  <c r="D127" i="6" s="1"/>
  <c r="C251" i="8"/>
  <c r="B251" i="8"/>
  <c r="C239" i="8"/>
  <c r="C240" i="8" s="1"/>
  <c r="C242" i="8" s="1"/>
  <c r="B239" i="8"/>
  <c r="B240" i="8" s="1"/>
  <c r="B242" i="8" s="1"/>
  <c r="C237" i="8"/>
  <c r="B237" i="8"/>
  <c r="C235" i="8"/>
  <c r="B235" i="8"/>
  <c r="C214" i="8"/>
  <c r="B214" i="8"/>
  <c r="C178" i="8"/>
  <c r="C180" i="8" s="1"/>
  <c r="L134" i="1" s="1"/>
  <c r="B178" i="8"/>
  <c r="B180" i="8" s="1"/>
  <c r="K134" i="1" s="1"/>
  <c r="C175" i="8"/>
  <c r="B175" i="8"/>
  <c r="C173" i="8"/>
  <c r="B173" i="8"/>
  <c r="B161" i="8"/>
  <c r="J129" i="1" s="1"/>
  <c r="J128" i="1" s="1"/>
  <c r="B155" i="8"/>
  <c r="B157" i="8" s="1"/>
  <c r="J134" i="1" s="1"/>
  <c r="D139" i="8"/>
  <c r="D140" i="8" s="1"/>
  <c r="C139" i="8"/>
  <c r="C140" i="8" s="1"/>
  <c r="B139" i="8"/>
  <c r="B140" i="8" s="1"/>
  <c r="C136" i="8"/>
  <c r="B136" i="8"/>
  <c r="B137" i="8" s="1"/>
  <c r="G134" i="1" s="1"/>
  <c r="D131" i="8"/>
  <c r="C131" i="8"/>
  <c r="B131" i="8"/>
  <c r="D129" i="8"/>
  <c r="C129" i="8"/>
  <c r="B129" i="8"/>
  <c r="D126" i="8"/>
  <c r="C126" i="8"/>
  <c r="B126" i="8"/>
  <c r="B115" i="8"/>
  <c r="C101" i="8"/>
  <c r="E15" i="1" s="1"/>
  <c r="B101" i="8"/>
  <c r="D15" i="1" s="1"/>
  <c r="C98" i="8"/>
  <c r="E129" i="1" s="1"/>
  <c r="E128" i="1" s="1"/>
  <c r="B98" i="8"/>
  <c r="D129" i="1" s="1"/>
  <c r="D128" i="1" s="1"/>
  <c r="C92" i="8"/>
  <c r="C94" i="8" s="1"/>
  <c r="E134" i="1" s="1"/>
  <c r="B92" i="8"/>
  <c r="B94" i="8" s="1"/>
  <c r="D134" i="1" s="1"/>
  <c r="F82" i="8"/>
  <c r="B82" i="8"/>
  <c r="F79" i="8"/>
  <c r="B79" i="8"/>
  <c r="F72" i="8"/>
  <c r="F73" i="8" s="1"/>
  <c r="B72" i="8"/>
  <c r="B73" i="8" s="1"/>
  <c r="F71" i="8"/>
  <c r="F76" i="8" s="1"/>
  <c r="B71" i="8"/>
  <c r="B76" i="8" s="1"/>
  <c r="G56" i="8"/>
  <c r="G65" i="8" s="1"/>
  <c r="C56" i="8"/>
  <c r="C67" i="8" s="1"/>
  <c r="F53" i="8"/>
  <c r="B53" i="8"/>
  <c r="F38" i="8"/>
  <c r="B38" i="8"/>
  <c r="F35" i="8"/>
  <c r="B35" i="8"/>
  <c r="B22" i="8"/>
  <c r="B18" i="8"/>
  <c r="B19" i="8" s="1"/>
  <c r="B13" i="8"/>
  <c r="B15" i="8" s="1"/>
  <c r="D152" i="4"/>
  <c r="B580" i="8"/>
  <c r="C151" i="4"/>
  <c r="B558" i="8" s="1"/>
  <c r="B559" i="8" s="1"/>
  <c r="C150" i="4" s="1"/>
  <c r="C148" i="4"/>
  <c r="D147" i="4"/>
  <c r="C147" i="4"/>
  <c r="B147" i="4"/>
  <c r="D114" i="4"/>
  <c r="B96" i="4"/>
  <c r="B95" i="4"/>
  <c r="D92" i="4"/>
  <c r="D67" i="4"/>
  <c r="D65" i="4"/>
  <c r="B55" i="4"/>
  <c r="C52" i="4"/>
  <c r="B51" i="4"/>
  <c r="B52" i="4" s="1"/>
  <c r="C50" i="4"/>
  <c r="B40" i="4"/>
  <c r="B38" i="4"/>
  <c r="B35" i="4"/>
  <c r="B34" i="4"/>
  <c r="B29" i="4"/>
  <c r="D28" i="4"/>
  <c r="B28" i="4"/>
  <c r="B27" i="4"/>
  <c r="B26" i="4"/>
  <c r="B25" i="4"/>
  <c r="B24" i="4"/>
  <c r="B23" i="4"/>
  <c r="B22" i="4"/>
  <c r="B110" i="4"/>
  <c r="C110" i="4"/>
  <c r="C114" i="4" s="1"/>
  <c r="C12" i="4"/>
  <c r="C120" i="5"/>
  <c r="B120" i="5"/>
  <c r="C116" i="5"/>
  <c r="B116" i="5"/>
  <c r="C113" i="5"/>
  <c r="B113" i="5"/>
  <c r="C75" i="5"/>
  <c r="B75" i="5"/>
  <c r="C72" i="5"/>
  <c r="B72" i="5"/>
  <c r="C71" i="5"/>
  <c r="B71" i="5"/>
  <c r="C66" i="5"/>
  <c r="B66" i="5"/>
  <c r="C63" i="5"/>
  <c r="B63" i="5"/>
  <c r="C61" i="5"/>
  <c r="B61" i="5"/>
  <c r="C36" i="5"/>
  <c r="C53" i="5" s="1"/>
  <c r="C55" i="5" s="1"/>
  <c r="B36" i="5"/>
  <c r="B53" i="5" s="1"/>
  <c r="B55" i="5" s="1"/>
  <c r="C106" i="10"/>
  <c r="B106" i="10"/>
  <c r="C103" i="10"/>
  <c r="B103" i="10"/>
  <c r="C101" i="10"/>
  <c r="B101" i="10"/>
  <c r="C64" i="10"/>
  <c r="B64" i="10"/>
  <c r="C63" i="10"/>
  <c r="B63" i="10"/>
  <c r="C59" i="10"/>
  <c r="B59" i="10"/>
  <c r="C57" i="10"/>
  <c r="B57" i="10"/>
  <c r="C56" i="10"/>
  <c r="B56" i="10"/>
  <c r="C55" i="10"/>
  <c r="B55" i="10"/>
  <c r="C54" i="10"/>
  <c r="B54" i="10"/>
  <c r="C53" i="10"/>
  <c r="B53" i="10"/>
  <c r="C52" i="10"/>
  <c r="B52" i="10"/>
  <c r="C50" i="10"/>
  <c r="B50" i="10"/>
  <c r="C33" i="10"/>
  <c r="B33" i="10"/>
  <c r="C32" i="10"/>
  <c r="B32" i="10"/>
  <c r="C31" i="10"/>
  <c r="B31" i="10"/>
  <c r="C29" i="10"/>
  <c r="B29" i="10"/>
  <c r="C17" i="10"/>
  <c r="C107" i="10" s="1"/>
  <c r="B17" i="10"/>
  <c r="B107" i="10" s="1"/>
  <c r="C11" i="10"/>
  <c r="C104" i="10" s="1"/>
  <c r="B11" i="10"/>
  <c r="B104" i="10" s="1"/>
  <c r="H148" i="3"/>
  <c r="G148" i="3"/>
  <c r="F148" i="3"/>
  <c r="E148" i="3"/>
  <c r="C148" i="3"/>
  <c r="B148" i="3"/>
  <c r="B361" i="8" s="1"/>
  <c r="H145" i="3"/>
  <c r="G145" i="3"/>
  <c r="F145" i="3"/>
  <c r="D145" i="3"/>
  <c r="C145" i="3"/>
  <c r="B145" i="3"/>
  <c r="H144" i="3"/>
  <c r="G144" i="3"/>
  <c r="F144" i="3"/>
  <c r="E144" i="3"/>
  <c r="D144" i="3"/>
  <c r="C144" i="3"/>
  <c r="B144" i="3"/>
  <c r="B142" i="3"/>
  <c r="H103" i="3"/>
  <c r="G103" i="3"/>
  <c r="F103" i="3"/>
  <c r="D103" i="3"/>
  <c r="C103" i="3"/>
  <c r="H102" i="3"/>
  <c r="G102" i="3"/>
  <c r="F102" i="3"/>
  <c r="D102" i="3"/>
  <c r="C102" i="3"/>
  <c r="B102" i="3"/>
  <c r="E98" i="3"/>
  <c r="F97" i="3"/>
  <c r="H96" i="3"/>
  <c r="G96" i="3"/>
  <c r="D96" i="3"/>
  <c r="C96" i="3"/>
  <c r="B96" i="3"/>
  <c r="G95" i="3"/>
  <c r="H94" i="3"/>
  <c r="G94" i="3"/>
  <c r="H92" i="3"/>
  <c r="G92" i="3"/>
  <c r="F92" i="3"/>
  <c r="E92" i="3"/>
  <c r="E91" i="3"/>
  <c r="H90" i="3"/>
  <c r="G90" i="3"/>
  <c r="F90" i="3"/>
  <c r="D90" i="3"/>
  <c r="C90" i="3"/>
  <c r="B90" i="3"/>
  <c r="G89" i="3"/>
  <c r="F89" i="3"/>
  <c r="E89" i="3"/>
  <c r="D89" i="3"/>
  <c r="C89" i="3"/>
  <c r="B89" i="3"/>
  <c r="G88" i="3"/>
  <c r="F88" i="3"/>
  <c r="D88" i="3"/>
  <c r="C88" i="3"/>
  <c r="B88" i="3"/>
  <c r="G87" i="3"/>
  <c r="F87" i="3"/>
  <c r="D87" i="3"/>
  <c r="C87" i="3"/>
  <c r="B87" i="3"/>
  <c r="F86" i="3"/>
  <c r="C86" i="3"/>
  <c r="B86" i="3"/>
  <c r="E85" i="3"/>
  <c r="F82" i="3"/>
  <c r="E82" i="3"/>
  <c r="D82" i="3"/>
  <c r="G81" i="3"/>
  <c r="G80" i="3"/>
  <c r="H79" i="3"/>
  <c r="G79" i="3"/>
  <c r="G78" i="3"/>
  <c r="F77" i="3"/>
  <c r="F75" i="3"/>
  <c r="H74" i="3"/>
  <c r="G74" i="3"/>
  <c r="F73" i="3"/>
  <c r="D73" i="3"/>
  <c r="C73" i="3"/>
  <c r="B73" i="3"/>
  <c r="D72" i="3"/>
  <c r="B72" i="3"/>
  <c r="H71" i="3"/>
  <c r="G71" i="3"/>
  <c r="H70" i="3"/>
  <c r="G70" i="3"/>
  <c r="F70" i="3"/>
  <c r="D70" i="3"/>
  <c r="C70" i="3"/>
  <c r="B70" i="3"/>
  <c r="H69" i="3"/>
  <c r="G69" i="3"/>
  <c r="F69" i="3"/>
  <c r="D69" i="3"/>
  <c r="B69" i="3"/>
  <c r="H68" i="3"/>
  <c r="G68" i="3"/>
  <c r="H67" i="3"/>
  <c r="G67" i="3"/>
  <c r="B67" i="3"/>
  <c r="E66" i="3"/>
  <c r="H65" i="3"/>
  <c r="F65" i="3"/>
  <c r="E65" i="3"/>
  <c r="D65" i="3"/>
  <c r="C65" i="3"/>
  <c r="B65" i="3"/>
  <c r="H64" i="3"/>
  <c r="G64" i="3"/>
  <c r="F64" i="3"/>
  <c r="D64" i="3"/>
  <c r="B64" i="3"/>
  <c r="H63" i="3"/>
  <c r="G63" i="3"/>
  <c r="F63" i="3"/>
  <c r="E63" i="3"/>
  <c r="D63" i="3"/>
  <c r="C63" i="3"/>
  <c r="B63" i="3"/>
  <c r="H62" i="3"/>
  <c r="G62" i="3"/>
  <c r="F62" i="3"/>
  <c r="D62" i="3"/>
  <c r="C62" i="3"/>
  <c r="B62" i="3"/>
  <c r="H61" i="3"/>
  <c r="G61" i="3"/>
  <c r="F61" i="3"/>
  <c r="E61" i="3"/>
  <c r="D61" i="3"/>
  <c r="C61" i="3"/>
  <c r="B61" i="3"/>
  <c r="C60" i="3"/>
  <c r="E59" i="3"/>
  <c r="G58" i="3"/>
  <c r="F58" i="3"/>
  <c r="E58" i="3"/>
  <c r="D58" i="3"/>
  <c r="C58" i="3"/>
  <c r="B58" i="3"/>
  <c r="H41" i="3"/>
  <c r="G41" i="3"/>
  <c r="F41" i="3"/>
  <c r="C41" i="3"/>
  <c r="H40" i="3"/>
  <c r="G40" i="3"/>
  <c r="F40" i="3"/>
  <c r="C40" i="3"/>
  <c r="H39" i="3"/>
  <c r="G39" i="3"/>
  <c r="F39" i="3"/>
  <c r="C39" i="3"/>
  <c r="H37" i="3"/>
  <c r="G37" i="3"/>
  <c r="G42" i="3" s="1"/>
  <c r="F37" i="3"/>
  <c r="F42" i="3" s="1"/>
  <c r="E37" i="3"/>
  <c r="E103" i="3" s="1"/>
  <c r="D37" i="3"/>
  <c r="D42" i="3" s="1"/>
  <c r="C37" i="3"/>
  <c r="B37" i="3"/>
  <c r="B42" i="3" s="1"/>
  <c r="I128" i="6"/>
  <c r="C330" i="8" s="1"/>
  <c r="C331" i="8" s="1"/>
  <c r="I127" i="6" s="1"/>
  <c r="H128" i="6"/>
  <c r="B330" i="8" s="1"/>
  <c r="B331" i="8" s="1"/>
  <c r="H127" i="6" s="1"/>
  <c r="G128" i="6"/>
  <c r="F128" i="6"/>
  <c r="D128" i="6"/>
  <c r="I125" i="6"/>
  <c r="H125" i="6"/>
  <c r="G125" i="6"/>
  <c r="F125" i="6"/>
  <c r="E125" i="6"/>
  <c r="D125" i="6"/>
  <c r="C125" i="6"/>
  <c r="B125" i="6"/>
  <c r="I124" i="6"/>
  <c r="H124" i="6"/>
  <c r="G124" i="6"/>
  <c r="F124" i="6"/>
  <c r="E124" i="6"/>
  <c r="D124" i="6"/>
  <c r="C124" i="6"/>
  <c r="B124" i="6"/>
  <c r="E121" i="6"/>
  <c r="I85" i="6"/>
  <c r="H85" i="6"/>
  <c r="D85" i="6"/>
  <c r="I80" i="6"/>
  <c r="H80" i="6"/>
  <c r="G80" i="6"/>
  <c r="F80" i="6"/>
  <c r="E78" i="6"/>
  <c r="I77" i="6"/>
  <c r="H77" i="6"/>
  <c r="G77" i="6"/>
  <c r="F77" i="6"/>
  <c r="I76" i="6"/>
  <c r="H76" i="6"/>
  <c r="G76" i="6"/>
  <c r="F76" i="6"/>
  <c r="E76" i="6"/>
  <c r="I73" i="6"/>
  <c r="H73" i="6"/>
  <c r="G73" i="6"/>
  <c r="F73" i="6"/>
  <c r="I72" i="6"/>
  <c r="H72" i="6"/>
  <c r="G72" i="6"/>
  <c r="F72" i="6"/>
  <c r="I71" i="6"/>
  <c r="H71" i="6"/>
  <c r="G71" i="6"/>
  <c r="F71" i="6"/>
  <c r="I70" i="6"/>
  <c r="H70" i="6"/>
  <c r="G70" i="6"/>
  <c r="F70" i="6"/>
  <c r="I67" i="6"/>
  <c r="H67" i="6"/>
  <c r="G67" i="6"/>
  <c r="F67" i="6"/>
  <c r="I66" i="6"/>
  <c r="H66" i="6"/>
  <c r="F66" i="6"/>
  <c r="I64" i="6"/>
  <c r="H64" i="6"/>
  <c r="G63" i="6"/>
  <c r="F63" i="6"/>
  <c r="E63" i="6"/>
  <c r="I62" i="6"/>
  <c r="H62" i="6"/>
  <c r="G62" i="6"/>
  <c r="F62" i="6"/>
  <c r="E62" i="6"/>
  <c r="I61" i="6"/>
  <c r="H61" i="6"/>
  <c r="G61" i="6"/>
  <c r="F61" i="6"/>
  <c r="E61" i="6"/>
  <c r="I54" i="6"/>
  <c r="H54" i="6"/>
  <c r="G52" i="6"/>
  <c r="F52" i="6"/>
  <c r="E52" i="6"/>
  <c r="C52" i="6"/>
  <c r="B52" i="6"/>
  <c r="I42" i="6"/>
  <c r="H42" i="6"/>
  <c r="I41" i="6"/>
  <c r="H41" i="6"/>
  <c r="H40" i="6"/>
  <c r="I38" i="6"/>
  <c r="H38" i="6"/>
  <c r="C38" i="6"/>
  <c r="B38" i="6"/>
  <c r="D37" i="6"/>
  <c r="D38" i="6" s="1"/>
  <c r="D43" i="6" s="1"/>
  <c r="D47" i="6" s="1"/>
  <c r="E35" i="6"/>
  <c r="E34" i="6"/>
  <c r="E21" i="6" s="1"/>
  <c r="G23" i="6"/>
  <c r="G38" i="6" s="1"/>
  <c r="G43" i="6" s="1"/>
  <c r="F23" i="6"/>
  <c r="F38" i="6" s="1"/>
  <c r="F43" i="6" s="1"/>
  <c r="D13" i="6"/>
  <c r="D14" i="6" s="1"/>
  <c r="C252" i="8"/>
  <c r="B252" i="8"/>
  <c r="S135" i="1"/>
  <c r="R135" i="1"/>
  <c r="Q135" i="1"/>
  <c r="C317" i="8" s="1"/>
  <c r="C318" i="8" s="1"/>
  <c r="Q134" i="1" s="1"/>
  <c r="P135" i="1"/>
  <c r="B317" i="8" s="1"/>
  <c r="B318" i="8" s="1"/>
  <c r="P134" i="1" s="1"/>
  <c r="O135" i="1"/>
  <c r="L135" i="1"/>
  <c r="K135" i="1"/>
  <c r="J135" i="1"/>
  <c r="I135" i="1"/>
  <c r="H135" i="1"/>
  <c r="G135" i="1"/>
  <c r="E135" i="1"/>
  <c r="D135" i="1"/>
  <c r="S132" i="1"/>
  <c r="R132" i="1"/>
  <c r="Q132" i="1"/>
  <c r="P132" i="1"/>
  <c r="L132" i="1"/>
  <c r="K132" i="1"/>
  <c r="J132" i="1"/>
  <c r="I132" i="1"/>
  <c r="H132" i="1"/>
  <c r="G132" i="1"/>
  <c r="F132" i="1"/>
  <c r="E132" i="1"/>
  <c r="D132" i="1"/>
  <c r="C132" i="1"/>
  <c r="B132" i="1"/>
  <c r="S131" i="1"/>
  <c r="R131" i="1"/>
  <c r="Q131" i="1"/>
  <c r="P131" i="1"/>
  <c r="L131" i="1"/>
  <c r="K131" i="1"/>
  <c r="J131" i="1"/>
  <c r="I131" i="1"/>
  <c r="H131" i="1"/>
  <c r="G131" i="1"/>
  <c r="F131" i="1"/>
  <c r="E131" i="1"/>
  <c r="D131" i="1"/>
  <c r="C131" i="1"/>
  <c r="B131" i="1"/>
  <c r="S130" i="1"/>
  <c r="R130" i="1"/>
  <c r="Q130" i="1"/>
  <c r="P130" i="1"/>
  <c r="S128" i="1"/>
  <c r="R128" i="1"/>
  <c r="F128" i="1"/>
  <c r="C128" i="1"/>
  <c r="B128" i="1"/>
  <c r="C102" i="1"/>
  <c r="B102" i="1"/>
  <c r="Q98" i="1"/>
  <c r="P98" i="1"/>
  <c r="S91" i="1"/>
  <c r="R91" i="1"/>
  <c r="Q91" i="1"/>
  <c r="P91" i="1"/>
  <c r="L91" i="1"/>
  <c r="K91" i="1"/>
  <c r="J91" i="1"/>
  <c r="I88" i="1"/>
  <c r="H88" i="1"/>
  <c r="G88" i="1"/>
  <c r="S87" i="1"/>
  <c r="R87" i="1"/>
  <c r="L86" i="1"/>
  <c r="Q85" i="1"/>
  <c r="P85" i="1"/>
  <c r="Q84" i="1"/>
  <c r="P84" i="1"/>
  <c r="Q83" i="1"/>
  <c r="P83" i="1"/>
  <c r="L83" i="1"/>
  <c r="K83" i="1"/>
  <c r="J82" i="1"/>
  <c r="S81" i="1"/>
  <c r="R81" i="1"/>
  <c r="J81" i="1"/>
  <c r="I81" i="1"/>
  <c r="H81" i="1"/>
  <c r="G81" i="1"/>
  <c r="S80" i="1"/>
  <c r="R80" i="1"/>
  <c r="Q80" i="1"/>
  <c r="P80" i="1"/>
  <c r="L80" i="1"/>
  <c r="K80" i="1"/>
  <c r="J80" i="1"/>
  <c r="S79" i="1"/>
  <c r="R79" i="1"/>
  <c r="Q79" i="1"/>
  <c r="P79" i="1"/>
  <c r="O79" i="1"/>
  <c r="N79" i="1"/>
  <c r="M79" i="1"/>
  <c r="L79" i="1"/>
  <c r="K79" i="1"/>
  <c r="J79" i="1"/>
  <c r="I79" i="1"/>
  <c r="H79" i="1"/>
  <c r="G79" i="1"/>
  <c r="O78" i="1"/>
  <c r="N78" i="1"/>
  <c r="M78" i="1"/>
  <c r="L78" i="1"/>
  <c r="L77" i="1"/>
  <c r="K77" i="1"/>
  <c r="J77" i="1"/>
  <c r="K76" i="1"/>
  <c r="S75" i="1"/>
  <c r="R75" i="1"/>
  <c r="J75" i="1"/>
  <c r="S74" i="1"/>
  <c r="R74" i="1"/>
  <c r="Q74" i="1"/>
  <c r="P74" i="1"/>
  <c r="K74" i="1"/>
  <c r="J74" i="1"/>
  <c r="S73" i="1"/>
  <c r="R73" i="1"/>
  <c r="Q73" i="1"/>
  <c r="P73" i="1"/>
  <c r="L73" i="1"/>
  <c r="K73" i="1"/>
  <c r="J73" i="1"/>
  <c r="S72" i="1"/>
  <c r="R72" i="1"/>
  <c r="Q72" i="1"/>
  <c r="P72" i="1"/>
  <c r="J72" i="1"/>
  <c r="S71" i="1"/>
  <c r="R71" i="1"/>
  <c r="Q71" i="1"/>
  <c r="P71" i="1"/>
  <c r="L71" i="1"/>
  <c r="K71" i="1"/>
  <c r="J71" i="1"/>
  <c r="S70" i="1"/>
  <c r="R70" i="1"/>
  <c r="Q70" i="1"/>
  <c r="P70" i="1"/>
  <c r="L70" i="1"/>
  <c r="K70" i="1"/>
  <c r="J70" i="1"/>
  <c r="S69" i="1"/>
  <c r="R69" i="1"/>
  <c r="Q69" i="1"/>
  <c r="P69" i="1"/>
  <c r="L69" i="1"/>
  <c r="K69" i="1"/>
  <c r="J69" i="1"/>
  <c r="S68" i="1"/>
  <c r="R68" i="1"/>
  <c r="Q68" i="1"/>
  <c r="P68" i="1"/>
  <c r="L68" i="1"/>
  <c r="K68" i="1"/>
  <c r="J68" i="1"/>
  <c r="S67" i="1"/>
  <c r="R67" i="1"/>
  <c r="Q67" i="1"/>
  <c r="P67" i="1"/>
  <c r="L67" i="1"/>
  <c r="K67" i="1"/>
  <c r="J67" i="1"/>
  <c r="O66" i="1"/>
  <c r="N66" i="1"/>
  <c r="M66" i="1"/>
  <c r="L66" i="1"/>
  <c r="K66" i="1"/>
  <c r="S65" i="1"/>
  <c r="R65" i="1"/>
  <c r="Q65" i="1"/>
  <c r="P65" i="1"/>
  <c r="L65" i="1"/>
  <c r="K65" i="1"/>
  <c r="S64" i="1"/>
  <c r="R64" i="1"/>
  <c r="Q64" i="1"/>
  <c r="P64" i="1"/>
  <c r="O64" i="1"/>
  <c r="N64" i="1"/>
  <c r="M64" i="1"/>
  <c r="L64" i="1"/>
  <c r="K64" i="1"/>
  <c r="J64" i="1"/>
  <c r="S62" i="1"/>
  <c r="R62" i="1"/>
  <c r="Q62" i="1"/>
  <c r="P62" i="1"/>
  <c r="O62" i="1"/>
  <c r="N62" i="1"/>
  <c r="M62" i="1"/>
  <c r="J62" i="1"/>
  <c r="I62" i="1"/>
  <c r="H62" i="1"/>
  <c r="G62" i="1"/>
  <c r="Q61" i="1"/>
  <c r="P61" i="1"/>
  <c r="M61" i="1"/>
  <c r="J61" i="1"/>
  <c r="S59" i="1"/>
  <c r="R59" i="1"/>
  <c r="Q59" i="1"/>
  <c r="P59" i="1"/>
  <c r="O59" i="1"/>
  <c r="N59" i="1"/>
  <c r="M59" i="1"/>
  <c r="L59" i="1"/>
  <c r="K59" i="1"/>
  <c r="J59" i="1"/>
  <c r="I59" i="1"/>
  <c r="H59" i="1"/>
  <c r="G59" i="1"/>
  <c r="S53" i="1"/>
  <c r="R53" i="1"/>
  <c r="Q53" i="1"/>
  <c r="P53" i="1"/>
  <c r="F51" i="1"/>
  <c r="E51" i="1"/>
  <c r="D51" i="1"/>
  <c r="O43" i="1"/>
  <c r="O49" i="1" s="1"/>
  <c r="N43" i="1"/>
  <c r="N49" i="1" s="1"/>
  <c r="M43" i="1"/>
  <c r="M49" i="1" s="1"/>
  <c r="S42" i="1"/>
  <c r="R42" i="1"/>
  <c r="Q42" i="1"/>
  <c r="P42" i="1"/>
  <c r="S41" i="1"/>
  <c r="R41" i="1"/>
  <c r="Q41" i="1"/>
  <c r="P41" i="1"/>
  <c r="L41" i="1"/>
  <c r="S40" i="1"/>
  <c r="R40" i="1"/>
  <c r="Q40" i="1"/>
  <c r="P40" i="1"/>
  <c r="S38" i="1"/>
  <c r="R38" i="1"/>
  <c r="Q38" i="1"/>
  <c r="P38" i="1"/>
  <c r="L38" i="1"/>
  <c r="K38" i="1"/>
  <c r="F38" i="1"/>
  <c r="E38" i="1"/>
  <c r="D38" i="1"/>
  <c r="J24" i="1"/>
  <c r="J23" i="1"/>
  <c r="I23" i="1"/>
  <c r="I38" i="1" s="1"/>
  <c r="I52" i="1" s="1"/>
  <c r="H23" i="1"/>
  <c r="H38" i="1" s="1"/>
  <c r="H52" i="1" s="1"/>
  <c r="G23" i="1"/>
  <c r="G38" i="1" s="1"/>
  <c r="G52" i="1" s="1"/>
  <c r="D141" i="8"/>
  <c r="C141" i="8"/>
  <c r="B141" i="8"/>
  <c r="F13" i="1"/>
  <c r="B114" i="8" s="1"/>
  <c r="E13" i="1"/>
  <c r="E14" i="1" s="1"/>
  <c r="E82" i="1" s="1"/>
  <c r="D14" i="1"/>
  <c r="D79" i="1" s="1"/>
  <c r="B59" i="1"/>
  <c r="C95" i="1" s="1"/>
  <c r="B62" i="11"/>
  <c r="B61" i="11"/>
  <c r="K61" i="11" s="1"/>
  <c r="B60" i="11"/>
  <c r="I60" i="11" s="1"/>
  <c r="B59" i="11"/>
  <c r="B56" i="11"/>
  <c r="B55" i="11"/>
  <c r="J55" i="11" s="1"/>
  <c r="B54" i="11"/>
  <c r="B52" i="11"/>
  <c r="E52" i="11" s="1"/>
  <c r="B51" i="11"/>
  <c r="G51" i="11" s="1"/>
  <c r="B50" i="11"/>
  <c r="B44" i="11"/>
  <c r="E44" i="11" s="1"/>
  <c r="B43" i="11"/>
  <c r="G43" i="11" s="1"/>
  <c r="B42" i="11"/>
  <c r="I42" i="11" s="1"/>
  <c r="B41" i="11"/>
  <c r="K41" i="11" s="1"/>
  <c r="B40" i="11"/>
  <c r="B39" i="11"/>
  <c r="B32" i="11"/>
  <c r="B31" i="11"/>
  <c r="K31" i="11" s="1"/>
  <c r="B30" i="11"/>
  <c r="E30" i="11" s="1"/>
  <c r="B29" i="11"/>
  <c r="K29" i="11" s="1"/>
  <c r="B28" i="11"/>
  <c r="H28" i="11" s="1"/>
  <c r="B27" i="11"/>
  <c r="I27" i="11" s="1"/>
  <c r="B26" i="11"/>
  <c r="B25" i="11"/>
  <c r="B21" i="11"/>
  <c r="J21" i="11" s="1"/>
  <c r="B20" i="11"/>
  <c r="H20" i="11" s="1"/>
  <c r="B19" i="11"/>
  <c r="J19" i="11" s="1"/>
  <c r="B18" i="11"/>
  <c r="D18" i="11" s="1"/>
  <c r="B17" i="11"/>
  <c r="J17" i="11" s="1"/>
  <c r="B16" i="11"/>
  <c r="H16" i="11" s="1"/>
  <c r="B15" i="11"/>
  <c r="J15" i="11" s="1"/>
  <c r="B14" i="11"/>
  <c r="D14" i="11" s="1"/>
  <c r="B13" i="11"/>
  <c r="J13" i="11" s="1"/>
  <c r="B12" i="11"/>
  <c r="H12" i="11" s="1"/>
  <c r="B11" i="11"/>
  <c r="B10" i="11"/>
  <c r="D10" i="11" s="1"/>
  <c r="B9" i="11"/>
  <c r="B8" i="11"/>
  <c r="H8" i="11" s="1"/>
  <c r="B7" i="11"/>
  <c r="I7" i="11" s="1"/>
  <c r="B6" i="11"/>
  <c r="K6" i="11" s="1"/>
  <c r="B5" i="11"/>
  <c r="E5" i="11" s="1"/>
  <c r="B4" i="11"/>
  <c r="G4" i="11" s="1"/>
  <c r="B3" i="11"/>
  <c r="G39" i="11" l="1"/>
  <c r="H39" i="11"/>
  <c r="E40" i="11"/>
  <c r="H40" i="11"/>
  <c r="G32" i="11"/>
  <c r="F32" i="11"/>
  <c r="C62" i="11"/>
  <c r="E62" i="11"/>
  <c r="I62" i="11"/>
  <c r="G62" i="11"/>
  <c r="H62" i="11"/>
  <c r="D74" i="4"/>
  <c r="D17" i="3"/>
  <c r="D148" i="3" s="1"/>
  <c r="B145" i="4"/>
  <c r="B144" i="4" s="1"/>
  <c r="C512" i="8"/>
  <c r="D93" i="4"/>
  <c r="D50" i="4"/>
  <c r="D53" i="4" s="1"/>
  <c r="D58" i="4" s="1"/>
  <c r="D66" i="4" s="1"/>
  <c r="H42" i="3"/>
  <c r="H47" i="3" s="1"/>
  <c r="D142" i="8"/>
  <c r="D143" i="8" s="1"/>
  <c r="I15" i="1" s="1"/>
  <c r="J11" i="11" s="1"/>
  <c r="F53" i="6"/>
  <c r="F56" i="6" s="1"/>
  <c r="I43" i="6"/>
  <c r="I45" i="6" s="1"/>
  <c r="B53" i="6"/>
  <c r="B55" i="6" s="1"/>
  <c r="B56" i="6" s="1"/>
  <c r="N48" i="1"/>
  <c r="G53" i="6"/>
  <c r="G56" i="6" s="1"/>
  <c r="Q43" i="1"/>
  <c r="Q46" i="1" s="1"/>
  <c r="C59" i="8"/>
  <c r="C253" i="8"/>
  <c r="B116" i="8"/>
  <c r="C65" i="8"/>
  <c r="B253" i="8"/>
  <c r="B359" i="8"/>
  <c r="B371" i="8"/>
  <c r="C142" i="8"/>
  <c r="C143" i="8" s="1"/>
  <c r="H15" i="1" s="1"/>
  <c r="J10" i="11" s="1"/>
  <c r="B497" i="8"/>
  <c r="C137" i="8"/>
  <c r="H134" i="1" s="1"/>
  <c r="D136" i="8"/>
  <c r="D137" i="8" s="1"/>
  <c r="I134" i="1" s="1"/>
  <c r="D50" i="6"/>
  <c r="F39" i="8"/>
  <c r="G43" i="8" s="1"/>
  <c r="G53" i="8" s="1"/>
  <c r="D132" i="8"/>
  <c r="I129" i="1" s="1"/>
  <c r="I128" i="1" s="1"/>
  <c r="J38" i="1"/>
  <c r="L43" i="1"/>
  <c r="L49" i="1" s="1"/>
  <c r="F52" i="1"/>
  <c r="F102" i="1" s="1"/>
  <c r="F106" i="1" s="1"/>
  <c r="S43" i="1"/>
  <c r="S47" i="1" s="1"/>
  <c r="N50" i="1"/>
  <c r="B34" i="10"/>
  <c r="B36" i="10" s="1"/>
  <c r="F36" i="8"/>
  <c r="H43" i="8" s="1"/>
  <c r="H53" i="8" s="1"/>
  <c r="H56" i="11"/>
  <c r="E52" i="1"/>
  <c r="E54" i="1" s="1"/>
  <c r="P43" i="1"/>
  <c r="P45" i="1" s="1"/>
  <c r="E93" i="1"/>
  <c r="C53" i="6"/>
  <c r="C88" i="6" s="1"/>
  <c r="C34" i="10"/>
  <c r="C40" i="10" s="1"/>
  <c r="B17" i="4"/>
  <c r="B151" i="4" s="1"/>
  <c r="B512" i="8"/>
  <c r="B254" i="8"/>
  <c r="B122" i="6"/>
  <c r="B121" i="6" s="1"/>
  <c r="C245" i="8"/>
  <c r="C128" i="6" s="1"/>
  <c r="C17" i="6" s="1"/>
  <c r="K27" i="11" s="1"/>
  <c r="B63" i="1"/>
  <c r="E92" i="1"/>
  <c r="C61" i="6"/>
  <c r="E38" i="6"/>
  <c r="E43" i="6" s="1"/>
  <c r="E53" i="6" s="1"/>
  <c r="E95" i="6" s="1"/>
  <c r="B364" i="8"/>
  <c r="C62" i="8"/>
  <c r="B80" i="8"/>
  <c r="B81" i="8" s="1"/>
  <c r="B83" i="8" s="1"/>
  <c r="B15" i="1" s="1"/>
  <c r="J4" i="11" s="1"/>
  <c r="B245" i="8"/>
  <c r="B247" i="8" s="1"/>
  <c r="B127" i="6" s="1"/>
  <c r="F14" i="1"/>
  <c r="D52" i="1"/>
  <c r="D54" i="1" s="1"/>
  <c r="O45" i="1"/>
  <c r="O48" i="1"/>
  <c r="O50" i="1"/>
  <c r="E67" i="1"/>
  <c r="B95" i="1"/>
  <c r="B87" i="5"/>
  <c r="C60" i="8"/>
  <c r="B176" i="8"/>
  <c r="K129" i="1" s="1"/>
  <c r="K128" i="1" s="1"/>
  <c r="C497" i="8"/>
  <c r="R43" i="1"/>
  <c r="R45" i="1" s="1"/>
  <c r="C87" i="5"/>
  <c r="C61" i="8"/>
  <c r="C176" i="8"/>
  <c r="L129" i="1" s="1"/>
  <c r="L128" i="1" s="1"/>
  <c r="H54" i="1"/>
  <c r="H102" i="1"/>
  <c r="I54" i="1"/>
  <c r="I102" i="1"/>
  <c r="G102" i="1"/>
  <c r="G54" i="1"/>
  <c r="B132" i="8"/>
  <c r="G129" i="1" s="1"/>
  <c r="G128" i="1" s="1"/>
  <c r="C59" i="1"/>
  <c r="F80" i="8"/>
  <c r="F81" i="8" s="1"/>
  <c r="F83" i="8" s="1"/>
  <c r="C15" i="1" s="1"/>
  <c r="J5" i="11" s="1"/>
  <c r="D67" i="1"/>
  <c r="D60" i="1"/>
  <c r="M50" i="1"/>
  <c r="M48" i="1"/>
  <c r="M45" i="1"/>
  <c r="M46" i="1"/>
  <c r="E60" i="1"/>
  <c r="D78" i="1"/>
  <c r="E79" i="1"/>
  <c r="D87" i="1"/>
  <c r="D76" i="6"/>
  <c r="D73" i="6"/>
  <c r="D68" i="6"/>
  <c r="D69" i="6"/>
  <c r="D79" i="6"/>
  <c r="D77" i="6"/>
  <c r="D74" i="6"/>
  <c r="D63" i="6"/>
  <c r="D61" i="6"/>
  <c r="B39" i="8"/>
  <c r="C43" i="8" s="1"/>
  <c r="C53" i="8" s="1"/>
  <c r="B36" i="8"/>
  <c r="D43" i="8" s="1"/>
  <c r="D53" i="8" s="1"/>
  <c r="B142" i="8"/>
  <c r="B143" i="8" s="1"/>
  <c r="G15" i="1" s="1"/>
  <c r="J9" i="11" s="1"/>
  <c r="N45" i="1"/>
  <c r="N46" i="1"/>
  <c r="D59" i="1"/>
  <c r="E78" i="1"/>
  <c r="D83" i="1"/>
  <c r="D93" i="1"/>
  <c r="D46" i="6"/>
  <c r="D51" i="6"/>
  <c r="D71" i="6"/>
  <c r="C42" i="3"/>
  <c r="C45" i="3" s="1"/>
  <c r="B45" i="3"/>
  <c r="B44" i="3"/>
  <c r="G67" i="8"/>
  <c r="G61" i="8"/>
  <c r="G59" i="8"/>
  <c r="G60" i="8"/>
  <c r="G62" i="8"/>
  <c r="C254" i="8"/>
  <c r="C122" i="6"/>
  <c r="C121" i="6" s="1"/>
  <c r="C96" i="1"/>
  <c r="B89" i="1"/>
  <c r="B88" i="1"/>
  <c r="B81" i="1"/>
  <c r="B79" i="1"/>
  <c r="B96" i="1"/>
  <c r="B94" i="1"/>
  <c r="J41" i="1"/>
  <c r="K43" i="1"/>
  <c r="E59" i="1"/>
  <c r="E83" i="1"/>
  <c r="D92" i="1"/>
  <c r="D49" i="6"/>
  <c r="D72" i="6"/>
  <c r="H43" i="6"/>
  <c r="C132" i="8"/>
  <c r="H129" i="1" s="1"/>
  <c r="H128" i="1" s="1"/>
  <c r="O46" i="1"/>
  <c r="H13" i="11"/>
  <c r="D26" i="11"/>
  <c r="E26" i="11"/>
  <c r="G5" i="11"/>
  <c r="K15" i="11"/>
  <c r="E17" i="11"/>
  <c r="J29" i="11"/>
  <c r="E13" i="11"/>
  <c r="I17" i="11"/>
  <c r="F9" i="11"/>
  <c r="G9" i="11"/>
  <c r="G19" i="11"/>
  <c r="H26" i="11"/>
  <c r="H32" i="11"/>
  <c r="K19" i="11"/>
  <c r="J6" i="11"/>
  <c r="D15" i="11"/>
  <c r="E18" i="11"/>
  <c r="I20" i="11"/>
  <c r="G11" i="11"/>
  <c r="E15" i="11"/>
  <c r="D17" i="11"/>
  <c r="F18" i="11"/>
  <c r="J20" i="11"/>
  <c r="D32" i="11"/>
  <c r="H41" i="11"/>
  <c r="G15" i="11"/>
  <c r="C9" i="11"/>
  <c r="H15" i="11"/>
  <c r="F17" i="11"/>
  <c r="K18" i="11"/>
  <c r="G29" i="11"/>
  <c r="I32" i="11"/>
  <c r="J16" i="11"/>
  <c r="C18" i="11"/>
  <c r="I18" i="11"/>
  <c r="D9" i="11"/>
  <c r="I15" i="11"/>
  <c r="H17" i="11"/>
  <c r="H29" i="11"/>
  <c r="I14" i="11"/>
  <c r="D31" i="11"/>
  <c r="C11" i="11"/>
  <c r="C13" i="11"/>
  <c r="D19" i="11"/>
  <c r="E31" i="11"/>
  <c r="D11" i="11"/>
  <c r="D13" i="11"/>
  <c r="C15" i="11"/>
  <c r="I16" i="11"/>
  <c r="E19" i="11"/>
  <c r="K21" i="11"/>
  <c r="H31" i="11"/>
  <c r="I43" i="11"/>
  <c r="J12" i="11"/>
  <c r="F5" i="11"/>
  <c r="H11" i="11"/>
  <c r="G13" i="11"/>
  <c r="I19" i="11"/>
  <c r="I12" i="11"/>
  <c r="I13" i="11"/>
  <c r="C10" i="11"/>
  <c r="K14" i="11"/>
  <c r="C21" i="11"/>
  <c r="D28" i="11"/>
  <c r="D51" i="11"/>
  <c r="C55" i="11"/>
  <c r="I56" i="11"/>
  <c r="J7" i="11"/>
  <c r="E9" i="11"/>
  <c r="E10" i="11"/>
  <c r="E11" i="11"/>
  <c r="K13" i="11"/>
  <c r="G17" i="11"/>
  <c r="G18" i="11"/>
  <c r="H19" i="11"/>
  <c r="D21" i="11"/>
  <c r="I28" i="11"/>
  <c r="I29" i="11"/>
  <c r="F31" i="11"/>
  <c r="F34" i="11"/>
  <c r="H51" i="11"/>
  <c r="D55" i="11"/>
  <c r="J56" i="11"/>
  <c r="J28" i="11"/>
  <c r="E55" i="11"/>
  <c r="D4" i="11"/>
  <c r="D8" i="11"/>
  <c r="C14" i="11"/>
  <c r="F21" i="11"/>
  <c r="E6" i="11"/>
  <c r="H9" i="11"/>
  <c r="E14" i="11"/>
  <c r="K17" i="11"/>
  <c r="G21" i="11"/>
  <c r="F26" i="11"/>
  <c r="C29" i="11"/>
  <c r="F30" i="11"/>
  <c r="F44" i="11"/>
  <c r="F52" i="11"/>
  <c r="H55" i="11"/>
  <c r="I51" i="11"/>
  <c r="D6" i="11"/>
  <c r="G55" i="11"/>
  <c r="H4" i="11"/>
  <c r="I8" i="11"/>
  <c r="I10" i="11"/>
  <c r="I11" i="11"/>
  <c r="I4" i="11"/>
  <c r="F6" i="11"/>
  <c r="J8" i="11"/>
  <c r="I9" i="11"/>
  <c r="K10" i="11"/>
  <c r="K11" i="11"/>
  <c r="F13" i="11"/>
  <c r="F14" i="11"/>
  <c r="C17" i="11"/>
  <c r="C19" i="11"/>
  <c r="H21" i="11"/>
  <c r="D29" i="11"/>
  <c r="G30" i="11"/>
  <c r="H44" i="11"/>
  <c r="G52" i="11"/>
  <c r="I55" i="11"/>
  <c r="F10" i="11"/>
  <c r="E21" i="11"/>
  <c r="G10" i="11"/>
  <c r="H6" i="11"/>
  <c r="K9" i="11"/>
  <c r="G14" i="11"/>
  <c r="I21" i="11"/>
  <c r="F29" i="11"/>
  <c r="K55" i="11"/>
  <c r="C27" i="11"/>
  <c r="H5" i="11"/>
  <c r="D7" i="11"/>
  <c r="K8" i="11"/>
  <c r="C12" i="11"/>
  <c r="K12" i="11"/>
  <c r="C16" i="11"/>
  <c r="K16" i="11"/>
  <c r="C20" i="11"/>
  <c r="K20" i="11"/>
  <c r="D27" i="11"/>
  <c r="K28" i="11"/>
  <c r="H30" i="11"/>
  <c r="J32" i="11"/>
  <c r="G40" i="11"/>
  <c r="J51" i="11"/>
  <c r="H52" i="11"/>
  <c r="C56" i="11"/>
  <c r="K56" i="11"/>
  <c r="C4" i="11"/>
  <c r="K4" i="11"/>
  <c r="I5" i="11"/>
  <c r="G6" i="11"/>
  <c r="E7" i="11"/>
  <c r="C8" i="11"/>
  <c r="H10" i="11"/>
  <c r="F11" i="11"/>
  <c r="D12" i="11"/>
  <c r="H14" i="11"/>
  <c r="F15" i="11"/>
  <c r="D16" i="11"/>
  <c r="H18" i="11"/>
  <c r="F19" i="11"/>
  <c r="D20" i="11"/>
  <c r="G26" i="11"/>
  <c r="E27" i="11"/>
  <c r="C28" i="11"/>
  <c r="I30" i="11"/>
  <c r="G31" i="11"/>
  <c r="C32" i="11"/>
  <c r="K32" i="11"/>
  <c r="H43" i="11"/>
  <c r="C51" i="11"/>
  <c r="K51" i="11"/>
  <c r="I52" i="11"/>
  <c r="F55" i="11"/>
  <c r="D56" i="11"/>
  <c r="F40" i="11"/>
  <c r="J30" i="11"/>
  <c r="J52" i="11"/>
  <c r="E56" i="11"/>
  <c r="E4" i="11"/>
  <c r="C5" i="11"/>
  <c r="K5" i="11"/>
  <c r="I6" i="11"/>
  <c r="G7" i="11"/>
  <c r="F8" i="11"/>
  <c r="F12" i="11"/>
  <c r="J14" i="11"/>
  <c r="F16" i="11"/>
  <c r="J18" i="11"/>
  <c r="F20" i="11"/>
  <c r="I26" i="11"/>
  <c r="G27" i="11"/>
  <c r="F28" i="11"/>
  <c r="C30" i="11"/>
  <c r="K30" i="11"/>
  <c r="I31" i="11"/>
  <c r="E32" i="11"/>
  <c r="D41" i="11"/>
  <c r="E51" i="11"/>
  <c r="C52" i="11"/>
  <c r="K52" i="11"/>
  <c r="F56" i="11"/>
  <c r="F7" i="11"/>
  <c r="E12" i="11"/>
  <c r="F4" i="11"/>
  <c r="D5" i="11"/>
  <c r="H7" i="11"/>
  <c r="G8" i="11"/>
  <c r="G12" i="11"/>
  <c r="G16" i="11"/>
  <c r="G20" i="11"/>
  <c r="H27" i="11"/>
  <c r="G28" i="11"/>
  <c r="D30" i="11"/>
  <c r="J31" i="11"/>
  <c r="E41" i="11"/>
  <c r="F51" i="11"/>
  <c r="D52" i="11"/>
  <c r="G56" i="11"/>
  <c r="C7" i="11"/>
  <c r="K7" i="11"/>
  <c r="E16" i="11"/>
  <c r="E20" i="11"/>
  <c r="F27" i="11"/>
  <c r="C6" i="11"/>
  <c r="C26" i="11"/>
  <c r="C31" i="11"/>
  <c r="I39" i="11"/>
  <c r="F41" i="11"/>
  <c r="G44" i="11"/>
  <c r="D47" i="3"/>
  <c r="D45" i="3"/>
  <c r="D48" i="3"/>
  <c r="D46" i="3"/>
  <c r="D44" i="3"/>
  <c r="F44" i="3"/>
  <c r="F47" i="3"/>
  <c r="F48" i="3"/>
  <c r="F45" i="3"/>
  <c r="F46" i="3"/>
  <c r="G44" i="3"/>
  <c r="G45" i="3"/>
  <c r="G46" i="3"/>
  <c r="G47" i="3"/>
  <c r="G48" i="3"/>
  <c r="H45" i="3"/>
  <c r="D42" i="11"/>
  <c r="J43" i="11"/>
  <c r="C39" i="11"/>
  <c r="K39" i="11"/>
  <c r="I40" i="11"/>
  <c r="G41" i="11"/>
  <c r="E42" i="11"/>
  <c r="C43" i="11"/>
  <c r="K43" i="11"/>
  <c r="I44" i="11"/>
  <c r="E39" i="11"/>
  <c r="C40" i="11"/>
  <c r="I41" i="11"/>
  <c r="G42" i="11"/>
  <c r="E43" i="11"/>
  <c r="C44" i="11"/>
  <c r="K44" i="11"/>
  <c r="B47" i="3"/>
  <c r="D39" i="11"/>
  <c r="J40" i="11"/>
  <c r="F42" i="11"/>
  <c r="D43" i="11"/>
  <c r="J44" i="11"/>
  <c r="B48" i="3"/>
  <c r="F39" i="11"/>
  <c r="D40" i="11"/>
  <c r="J41" i="11"/>
  <c r="H42" i="11"/>
  <c r="F43" i="11"/>
  <c r="D44" i="11"/>
  <c r="B46" i="3"/>
  <c r="E104" i="3"/>
  <c r="J42" i="11"/>
  <c r="C42" i="11"/>
  <c r="K42" i="11"/>
  <c r="J39" i="11"/>
  <c r="E42" i="3"/>
  <c r="C41" i="11"/>
  <c r="C53" i="4"/>
  <c r="C56" i="4" s="1"/>
  <c r="B75" i="4"/>
  <c r="D61" i="11"/>
  <c r="B50" i="4"/>
  <c r="B53" i="4" s="1"/>
  <c r="B58" i="4" s="1"/>
  <c r="B64" i="4" s="1"/>
  <c r="F61" i="11"/>
  <c r="B81" i="4"/>
  <c r="C61" i="11"/>
  <c r="G61" i="11"/>
  <c r="B88" i="4"/>
  <c r="B111" i="4"/>
  <c r="H61" i="11"/>
  <c r="B74" i="4"/>
  <c r="C60" i="11"/>
  <c r="D60" i="11"/>
  <c r="D62" i="11"/>
  <c r="D76" i="4"/>
  <c r="G60" i="11"/>
  <c r="I61" i="11"/>
  <c r="F62" i="11"/>
  <c r="B77" i="4"/>
  <c r="B84" i="4"/>
  <c r="D89" i="4"/>
  <c r="C87" i="4"/>
  <c r="E60" i="11"/>
  <c r="D75" i="4"/>
  <c r="F60" i="11"/>
  <c r="C88" i="4"/>
  <c r="J61" i="11"/>
  <c r="B85" i="4"/>
  <c r="B102" i="4"/>
  <c r="C82" i="4"/>
  <c r="C86" i="4"/>
  <c r="G95" i="6" l="1"/>
  <c r="K40" i="11"/>
  <c r="F95" i="6"/>
  <c r="S50" i="1"/>
  <c r="C95" i="6"/>
  <c r="S46" i="1"/>
  <c r="S49" i="1"/>
  <c r="H44" i="3"/>
  <c r="C47" i="3"/>
  <c r="Q49" i="1"/>
  <c r="H48" i="3"/>
  <c r="H46" i="3"/>
  <c r="L50" i="1"/>
  <c r="R49" i="1"/>
  <c r="B255" i="8"/>
  <c r="B15" i="6" s="1"/>
  <c r="J26" i="11" s="1"/>
  <c r="R50" i="1"/>
  <c r="R47" i="1"/>
  <c r="I47" i="6"/>
  <c r="S45" i="1"/>
  <c r="I51" i="6"/>
  <c r="R46" i="1"/>
  <c r="I48" i="6"/>
  <c r="I50" i="6"/>
  <c r="B95" i="6"/>
  <c r="B37" i="10"/>
  <c r="C65" i="6"/>
  <c r="J43" i="1"/>
  <c r="J46" i="1" s="1"/>
  <c r="C55" i="6"/>
  <c r="C56" i="6" s="1"/>
  <c r="D213" i="8"/>
  <c r="D214" i="8" s="1"/>
  <c r="D224" i="8" s="1"/>
  <c r="P47" i="1"/>
  <c r="P50" i="1"/>
  <c r="B88" i="6"/>
  <c r="L46" i="1"/>
  <c r="B40" i="10"/>
  <c r="K60" i="11"/>
  <c r="P46" i="1"/>
  <c r="P49" i="1"/>
  <c r="Q45" i="1"/>
  <c r="C39" i="10"/>
  <c r="L45" i="1"/>
  <c r="B38" i="10"/>
  <c r="Q47" i="1"/>
  <c r="Q50" i="1"/>
  <c r="L48" i="1"/>
  <c r="B39" i="10"/>
  <c r="C255" i="8"/>
  <c r="C15" i="6" s="1"/>
  <c r="J27" i="11" s="1"/>
  <c r="C247" i="8"/>
  <c r="C127" i="6" s="1"/>
  <c r="B128" i="6"/>
  <c r="B17" i="6" s="1"/>
  <c r="K26" i="11" s="1"/>
  <c r="C78" i="6"/>
  <c r="E102" i="1"/>
  <c r="C36" i="10"/>
  <c r="O51" i="1"/>
  <c r="O52" i="1" s="1"/>
  <c r="O54" i="1" s="1"/>
  <c r="O55" i="1" s="1"/>
  <c r="C38" i="10"/>
  <c r="C37" i="10"/>
  <c r="C63" i="8"/>
  <c r="D102" i="1"/>
  <c r="C44" i="3"/>
  <c r="C46" i="3"/>
  <c r="C48" i="3"/>
  <c r="D49" i="3"/>
  <c r="D50" i="3" s="1"/>
  <c r="D113" i="3" s="1"/>
  <c r="C79" i="6"/>
  <c r="C63" i="6"/>
  <c r="C76" i="6"/>
  <c r="B81" i="6"/>
  <c r="B63" i="6"/>
  <c r="B78" i="6"/>
  <c r="B76" i="6"/>
  <c r="B61" i="6"/>
  <c r="H50" i="6"/>
  <c r="H48" i="6"/>
  <c r="H45" i="6"/>
  <c r="H47" i="6"/>
  <c r="H51" i="6"/>
  <c r="K49" i="1"/>
  <c r="K46" i="1"/>
  <c r="K50" i="1"/>
  <c r="K48" i="1"/>
  <c r="K45" i="1"/>
  <c r="D52" i="8"/>
  <c r="D51" i="8"/>
  <c r="D50" i="8"/>
  <c r="D49" i="8"/>
  <c r="D48" i="8"/>
  <c r="D47" i="8"/>
  <c r="D46" i="8"/>
  <c r="D45" i="8"/>
  <c r="D44" i="8"/>
  <c r="H51" i="8"/>
  <c r="H47" i="8"/>
  <c r="H52" i="8"/>
  <c r="H48" i="8"/>
  <c r="H44" i="8"/>
  <c r="H45" i="8"/>
  <c r="H50" i="8"/>
  <c r="H49" i="8"/>
  <c r="H46" i="8"/>
  <c r="G63" i="8"/>
  <c r="M51" i="1"/>
  <c r="M52" i="1" s="1"/>
  <c r="C94" i="1"/>
  <c r="C89" i="1"/>
  <c r="C79" i="1"/>
  <c r="C63" i="1"/>
  <c r="C82" i="1"/>
  <c r="B49" i="3"/>
  <c r="B50" i="3" s="1"/>
  <c r="B113" i="3" s="1"/>
  <c r="B117" i="3" s="1"/>
  <c r="D52" i="6"/>
  <c r="D53" i="6" s="1"/>
  <c r="N51" i="1"/>
  <c r="N52" i="1" s="1"/>
  <c r="G50" i="8"/>
  <c r="C49" i="8"/>
  <c r="G46" i="8"/>
  <c r="C45" i="8"/>
  <c r="G51" i="8"/>
  <c r="C50" i="8"/>
  <c r="G47" i="8"/>
  <c r="C46" i="8"/>
  <c r="C51" i="8"/>
  <c r="G48" i="8"/>
  <c r="C48" i="8"/>
  <c r="G45" i="8"/>
  <c r="G52" i="8"/>
  <c r="C47" i="8"/>
  <c r="G44" i="8"/>
  <c r="G49" i="8"/>
  <c r="C44" i="8"/>
  <c r="C52" i="8"/>
  <c r="G49" i="3"/>
  <c r="G50" i="3" s="1"/>
  <c r="F49" i="3"/>
  <c r="F50" i="3" s="1"/>
  <c r="E47" i="3"/>
  <c r="E44" i="3"/>
  <c r="E45" i="3"/>
  <c r="E46" i="3"/>
  <c r="B60" i="4"/>
  <c r="C55" i="4"/>
  <c r="C58" i="4" s="1"/>
  <c r="C64" i="4" s="1"/>
  <c r="B62" i="4"/>
  <c r="B61" i="4"/>
  <c r="B63" i="4"/>
  <c r="B114" i="4"/>
  <c r="D68" i="4"/>
  <c r="D69" i="4" s="1"/>
  <c r="D118" i="4"/>
  <c r="D94" i="4"/>
  <c r="Q51" i="1" l="1"/>
  <c r="Q52" i="1" s="1"/>
  <c r="R51" i="1"/>
  <c r="R52" i="1" s="1"/>
  <c r="S51" i="1"/>
  <c r="S52" i="1" s="1"/>
  <c r="S93" i="1" s="1"/>
  <c r="I52" i="6"/>
  <c r="I53" i="6" s="1"/>
  <c r="I87" i="6" s="1"/>
  <c r="H49" i="3"/>
  <c r="H50" i="3" s="1"/>
  <c r="H52" i="3" s="1"/>
  <c r="H53" i="3" s="1"/>
  <c r="J49" i="1"/>
  <c r="D52" i="3"/>
  <c r="D53" i="3" s="1"/>
  <c r="J45" i="1"/>
  <c r="B52" i="3"/>
  <c r="B53" i="3" s="1"/>
  <c r="B104" i="3"/>
  <c r="J47" i="1"/>
  <c r="Q93" i="1"/>
  <c r="Q92" i="1"/>
  <c r="D105" i="3"/>
  <c r="J50" i="1"/>
  <c r="C49" i="3"/>
  <c r="C50" i="3" s="1"/>
  <c r="C52" i="3" s="1"/>
  <c r="C53" i="3" s="1"/>
  <c r="C41" i="10"/>
  <c r="C42" i="10" s="1"/>
  <c r="C65" i="10" s="1"/>
  <c r="L51" i="1"/>
  <c r="L52" i="1" s="1"/>
  <c r="L92" i="1" s="1"/>
  <c r="S92" i="1"/>
  <c r="Q102" i="1"/>
  <c r="Q106" i="1" s="1"/>
  <c r="B41" i="10"/>
  <c r="B42" i="10" s="1"/>
  <c r="B72" i="10" s="1"/>
  <c r="B76" i="10" s="1"/>
  <c r="D215" i="8"/>
  <c r="D220" i="8"/>
  <c r="P51" i="1"/>
  <c r="P52" i="1" s="1"/>
  <c r="Q54" i="1"/>
  <c r="Q55" i="1" s="1"/>
  <c r="D104" i="3"/>
  <c r="S54" i="1"/>
  <c r="S55" i="1" s="1"/>
  <c r="B65" i="4"/>
  <c r="B66" i="4" s="1"/>
  <c r="B118" i="4" s="1"/>
  <c r="B122" i="4" s="1"/>
  <c r="N54" i="1"/>
  <c r="N55" i="1" s="1"/>
  <c r="M54" i="1"/>
  <c r="M55" i="1" s="1"/>
  <c r="E49" i="3"/>
  <c r="E50" i="3" s="1"/>
  <c r="E52" i="3" s="1"/>
  <c r="D88" i="6"/>
  <c r="D55" i="6"/>
  <c r="D56" i="6" s="1"/>
  <c r="D95" i="6"/>
  <c r="R102" i="1"/>
  <c r="R106" i="1" s="1"/>
  <c r="R92" i="1"/>
  <c r="R93" i="1"/>
  <c r="R54" i="1"/>
  <c r="R55" i="1" s="1"/>
  <c r="K51" i="1"/>
  <c r="K52" i="1" s="1"/>
  <c r="H52" i="6"/>
  <c r="H53" i="6" s="1"/>
  <c r="E53" i="3"/>
  <c r="F113" i="3"/>
  <c r="F104" i="3"/>
  <c r="F52" i="3"/>
  <c r="F53" i="3" s="1"/>
  <c r="G104" i="3"/>
  <c r="G52" i="3"/>
  <c r="G53" i="3" s="1"/>
  <c r="G113" i="3"/>
  <c r="G117" i="3" s="1"/>
  <c r="C63" i="4"/>
  <c r="C60" i="4"/>
  <c r="C61" i="4"/>
  <c r="C62" i="4"/>
  <c r="S102" i="1" l="1"/>
  <c r="S106" i="1" s="1"/>
  <c r="C113" i="3"/>
  <c r="C104" i="3"/>
  <c r="H104" i="3"/>
  <c r="H113" i="3"/>
  <c r="H117" i="3" s="1"/>
  <c r="I95" i="6"/>
  <c r="I99" i="6" s="1"/>
  <c r="I86" i="6"/>
  <c r="I55" i="6"/>
  <c r="I56" i="6" s="1"/>
  <c r="C44" i="10"/>
  <c r="C45" i="10" s="1"/>
  <c r="C46" i="10" s="1"/>
  <c r="C72" i="10"/>
  <c r="C76" i="10" s="1"/>
  <c r="L102" i="1"/>
  <c r="L106" i="1" s="1"/>
  <c r="J51" i="1"/>
  <c r="J52" i="1" s="1"/>
  <c r="J102" i="1" s="1"/>
  <c r="J106" i="1" s="1"/>
  <c r="L54" i="1"/>
  <c r="L55" i="1" s="1"/>
  <c r="L93" i="1"/>
  <c r="B44" i="10"/>
  <c r="B45" i="10" s="1"/>
  <c r="B46" i="10" s="1"/>
  <c r="D223" i="8"/>
  <c r="D218" i="8"/>
  <c r="B65" i="10"/>
  <c r="B68" i="4"/>
  <c r="B69" i="4" s="1"/>
  <c r="P92" i="1"/>
  <c r="P54" i="1"/>
  <c r="P55" i="1" s="1"/>
  <c r="P93" i="1"/>
  <c r="P102" i="1"/>
  <c r="P106" i="1" s="1"/>
  <c r="K102" i="1"/>
  <c r="K106" i="1" s="1"/>
  <c r="K92" i="1"/>
  <c r="K54" i="1"/>
  <c r="K55" i="1" s="1"/>
  <c r="K93" i="1"/>
  <c r="H86" i="6"/>
  <c r="H95" i="6"/>
  <c r="H99" i="6" s="1"/>
  <c r="H87" i="6"/>
  <c r="H55" i="6"/>
  <c r="H56" i="6" s="1"/>
  <c r="J93" i="1"/>
  <c r="E48" i="3"/>
  <c r="E54" i="3" s="1"/>
  <c r="E113" i="3" s="1"/>
  <c r="C65" i="4"/>
  <c r="C66" i="4" s="1"/>
  <c r="C68" i="4" s="1"/>
  <c r="J92" i="1" l="1"/>
  <c r="J54" i="1"/>
  <c r="J55" i="1" s="1"/>
  <c r="C69" i="4"/>
  <c r="C94" i="4"/>
  <c r="C118" i="4"/>
  <c r="C1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Kinchin, NREL</author>
    <author>ckinchin</author>
    <author>Wang, Yuxi</author>
  </authors>
  <commentList>
    <comment ref="J10" authorId="0" shapeId="0" xr:uid="{7976B573-3919-4FD9-A0E4-0C678EBC8283}">
      <text>
        <r>
          <rPr>
            <b/>
            <sz val="9"/>
            <color indexed="81"/>
            <rFont val="Tahoma"/>
            <family val="2"/>
          </rPr>
          <t>Christopher Kinchin, NREL:</t>
        </r>
        <r>
          <rPr>
            <sz val="9"/>
            <color indexed="81"/>
            <rFont val="Tahoma"/>
            <family val="2"/>
          </rPr>
          <t xml:space="preserve">
From Table 38 in 2014 INL feedstock supply report "Feedstock Supply System Design and Analysis, The Feedstock Logistics Design Case for Multiple Conversion Pathways”.
https://bioenergy.inl.gov/Reports/Feedstock%20Supply%20System%20Design%20and%20Analysis.pdf
</t>
        </r>
      </text>
    </comment>
    <comment ref="G11" authorId="1" shapeId="0" xr:uid="{00000000-0006-0000-0200-000002000000}">
      <text>
        <r>
          <rPr>
            <b/>
            <sz val="9"/>
            <color indexed="81"/>
            <rFont val="Tahoma"/>
            <family val="2"/>
          </rPr>
          <t>ckinchin:</t>
        </r>
        <r>
          <rPr>
            <sz val="9"/>
            <color indexed="81"/>
            <rFont val="Tahoma"/>
            <family val="2"/>
          </rPr>
          <t xml:space="preserve">
From Calculation sheet in this workbook.
</t>
        </r>
      </text>
    </comment>
    <comment ref="H11" authorId="1" shapeId="0" xr:uid="{00000000-0006-0000-0200-000003000000}">
      <text>
        <r>
          <rPr>
            <b/>
            <sz val="9"/>
            <color indexed="81"/>
            <rFont val="Tahoma"/>
            <family val="2"/>
          </rPr>
          <t>ckinchin:</t>
        </r>
        <r>
          <rPr>
            <sz val="9"/>
            <color indexed="81"/>
            <rFont val="Tahoma"/>
            <family val="2"/>
          </rPr>
          <t xml:space="preserve">
From Calculation sheet in this workbook.
</t>
        </r>
      </text>
    </comment>
    <comment ref="I11" authorId="1" shapeId="0" xr:uid="{00000000-0006-0000-0200-000004000000}">
      <text>
        <r>
          <rPr>
            <b/>
            <sz val="9"/>
            <color indexed="81"/>
            <rFont val="Tahoma"/>
            <family val="2"/>
          </rPr>
          <t>ckinchin:</t>
        </r>
        <r>
          <rPr>
            <sz val="9"/>
            <color indexed="81"/>
            <rFont val="Tahoma"/>
            <family val="2"/>
          </rPr>
          <t xml:space="preserve">
From Calculation sheet in this workbook.
</t>
        </r>
      </text>
    </comment>
    <comment ref="B15" authorId="1" shapeId="0" xr:uid="{00000000-0006-0000-0200-000006000000}">
      <text>
        <r>
          <rPr>
            <b/>
            <sz val="9"/>
            <color indexed="81"/>
            <rFont val="Tahoma"/>
            <family val="2"/>
          </rPr>
          <t>ckinchin:</t>
        </r>
        <r>
          <rPr>
            <sz val="9"/>
            <color indexed="81"/>
            <rFont val="Tahoma"/>
            <family val="2"/>
          </rPr>
          <t xml:space="preserve">
Does not include LPG co-product.</t>
        </r>
      </text>
    </comment>
    <comment ref="C15" authorId="1" shapeId="0" xr:uid="{00000000-0006-0000-0200-000007000000}">
      <text>
        <r>
          <rPr>
            <b/>
            <sz val="9"/>
            <color indexed="81"/>
            <rFont val="Tahoma"/>
            <family val="2"/>
          </rPr>
          <t>ckinchin:</t>
        </r>
        <r>
          <rPr>
            <sz val="9"/>
            <color indexed="81"/>
            <rFont val="Tahoma"/>
            <family val="2"/>
          </rPr>
          <t xml:space="preserve">
No LPG co-product for this case.</t>
        </r>
      </text>
    </comment>
    <comment ref="D15" authorId="1" shapeId="0" xr:uid="{00000000-0006-0000-0200-000008000000}">
      <text>
        <r>
          <rPr>
            <b/>
            <sz val="9"/>
            <color indexed="81"/>
            <rFont val="Tahoma"/>
            <family val="2"/>
          </rPr>
          <t>ckinchin:</t>
        </r>
        <r>
          <rPr>
            <sz val="9"/>
            <color indexed="81"/>
            <rFont val="Tahoma"/>
            <family val="2"/>
          </rPr>
          <t xml:space="preserve">
This same value is presented as $/Mg in the journal publication, and gal/Dry US ton feedstock in the Summary page of the DCFROR workbook.  It's actually GGE/Dry US ton feedstock.</t>
        </r>
      </text>
    </comment>
    <comment ref="E15" authorId="1" shapeId="0" xr:uid="{00000000-0006-0000-0200-000009000000}">
      <text>
        <r>
          <rPr>
            <b/>
            <sz val="9"/>
            <color indexed="81"/>
            <rFont val="Tahoma"/>
            <family val="2"/>
          </rPr>
          <t>ckinchin:</t>
        </r>
        <r>
          <rPr>
            <sz val="9"/>
            <color indexed="81"/>
            <rFont val="Tahoma"/>
            <family val="2"/>
          </rPr>
          <t xml:space="preserve">
This same value is presented as $/Mg in the journal publication, and gal/Dry US ton feedstock in the Summary page of the DCFROR workbook.  It's actually GGE/Dry US ton feedstock.</t>
        </r>
      </text>
    </comment>
    <comment ref="D17" authorId="1" shapeId="0" xr:uid="{00000000-0006-0000-0200-00000A000000}">
      <text>
        <r>
          <rPr>
            <b/>
            <sz val="9"/>
            <color indexed="81"/>
            <rFont val="Tahoma"/>
            <family val="2"/>
          </rPr>
          <t>ckinchin:</t>
        </r>
        <r>
          <rPr>
            <sz val="9"/>
            <color indexed="81"/>
            <rFont val="Tahoma"/>
            <family val="2"/>
          </rPr>
          <t xml:space="preserve">
This value is presented as $/GGE in the journal publication, but is presented as $/gal in the Summary page of the DCFROR workbook.  $/GGE is correct.</t>
        </r>
      </text>
    </comment>
    <comment ref="E17" authorId="1" shapeId="0" xr:uid="{00000000-0006-0000-0200-00000B000000}">
      <text>
        <r>
          <rPr>
            <b/>
            <sz val="9"/>
            <color indexed="81"/>
            <rFont val="Tahoma"/>
            <family val="2"/>
          </rPr>
          <t>ckinchin:</t>
        </r>
        <r>
          <rPr>
            <sz val="9"/>
            <color indexed="81"/>
            <rFont val="Tahoma"/>
            <family val="2"/>
          </rPr>
          <t xml:space="preserve">
This value is presented as $/GGE in the journal publication, but is presented as $/gal in the Summary page of the DCFROR workbook.  $/GGE is correct.</t>
        </r>
      </text>
    </comment>
    <comment ref="B20" authorId="1" shapeId="0" xr:uid="{00000000-0006-0000-0200-00000C000000}">
      <text>
        <r>
          <rPr>
            <b/>
            <sz val="9"/>
            <color indexed="81"/>
            <rFont val="Tahoma"/>
            <family val="2"/>
          </rPr>
          <t>ckinchin:</t>
        </r>
        <r>
          <rPr>
            <sz val="9"/>
            <color indexed="81"/>
            <rFont val="Tahoma"/>
            <family val="2"/>
          </rPr>
          <t xml:space="preserve">
Does not include installation cost.</t>
        </r>
      </text>
    </comment>
    <comment ref="C20" authorId="1" shapeId="0" xr:uid="{00000000-0006-0000-0200-00000D000000}">
      <text>
        <r>
          <rPr>
            <b/>
            <sz val="9"/>
            <color indexed="81"/>
            <rFont val="Tahoma"/>
            <family val="2"/>
          </rPr>
          <t>ckinchin:</t>
        </r>
        <r>
          <rPr>
            <sz val="9"/>
            <color indexed="81"/>
            <rFont val="Tahoma"/>
            <family val="2"/>
          </rPr>
          <t xml:space="preserve">
Does not include installation cost.</t>
        </r>
      </text>
    </comment>
    <comment ref="B21" authorId="1" shapeId="0" xr:uid="{00000000-0006-0000-0200-00000F000000}">
      <text>
        <r>
          <rPr>
            <b/>
            <sz val="9"/>
            <color indexed="81"/>
            <rFont val="Tahoma"/>
            <family val="2"/>
          </rPr>
          <t>ckinchin:</t>
        </r>
        <r>
          <rPr>
            <sz val="9"/>
            <color indexed="81"/>
            <rFont val="Tahoma"/>
            <family val="2"/>
          </rPr>
          <t xml:space="preserve">
Does not include installation cost.</t>
        </r>
      </text>
    </comment>
    <comment ref="C21" authorId="1" shapeId="0" xr:uid="{00000000-0006-0000-0200-000010000000}">
      <text>
        <r>
          <rPr>
            <b/>
            <sz val="9"/>
            <color indexed="81"/>
            <rFont val="Tahoma"/>
            <family val="2"/>
          </rPr>
          <t>ckinchin:</t>
        </r>
        <r>
          <rPr>
            <sz val="9"/>
            <color indexed="81"/>
            <rFont val="Tahoma"/>
            <family val="2"/>
          </rPr>
          <t xml:space="preserve">
Does not include installation cost.</t>
        </r>
      </text>
    </comment>
    <comment ref="B23" authorId="1" shapeId="0" xr:uid="{00000000-0006-0000-0200-000012000000}">
      <text>
        <r>
          <rPr>
            <b/>
            <sz val="9"/>
            <color indexed="81"/>
            <rFont val="Tahoma"/>
            <family val="2"/>
          </rPr>
          <t>ckinchin:</t>
        </r>
        <r>
          <rPr>
            <sz val="9"/>
            <color indexed="81"/>
            <rFont val="Tahoma"/>
            <family val="2"/>
          </rPr>
          <t xml:space="preserve">
Does not include installation cost.</t>
        </r>
      </text>
    </comment>
    <comment ref="C23" authorId="1" shapeId="0" xr:uid="{00000000-0006-0000-0200-000013000000}">
      <text>
        <r>
          <rPr>
            <b/>
            <sz val="9"/>
            <color indexed="81"/>
            <rFont val="Tahoma"/>
            <family val="2"/>
          </rPr>
          <t>ckinchin:</t>
        </r>
        <r>
          <rPr>
            <sz val="9"/>
            <color indexed="81"/>
            <rFont val="Tahoma"/>
            <family val="2"/>
          </rPr>
          <t xml:space="preserve">
Does not include installation cost.</t>
        </r>
      </text>
    </comment>
    <comment ref="G23" authorId="1" shapeId="0" xr:uid="{00000000-0006-0000-0200-000014000000}">
      <text>
        <r>
          <rPr>
            <b/>
            <sz val="9"/>
            <color indexed="81"/>
            <rFont val="Tahoma"/>
            <family val="2"/>
          </rPr>
          <t>ckinchin:</t>
        </r>
        <r>
          <rPr>
            <sz val="9"/>
            <color indexed="81"/>
            <rFont val="Tahoma"/>
            <family val="2"/>
          </rPr>
          <t xml:space="preserve">
Acid Gas Removal is included in this value, but listed separately in the publication.  The cost of water gas shift (WGS) is included in this value.</t>
        </r>
      </text>
    </comment>
    <comment ref="H23" authorId="1" shapeId="0" xr:uid="{00000000-0006-0000-0200-000015000000}">
      <text>
        <r>
          <rPr>
            <b/>
            <sz val="9"/>
            <color indexed="81"/>
            <rFont val="Tahoma"/>
            <family val="2"/>
          </rPr>
          <t>ckinchin:</t>
        </r>
        <r>
          <rPr>
            <sz val="9"/>
            <color indexed="81"/>
            <rFont val="Tahoma"/>
            <family val="2"/>
          </rPr>
          <t xml:space="preserve">
Acid Gas Removal is included in this value, but listed separately in the publication.  The cost of water gas shift (WGS) is included in this value.</t>
        </r>
      </text>
    </comment>
    <comment ref="I23" authorId="1" shapeId="0" xr:uid="{00000000-0006-0000-0200-000016000000}">
      <text>
        <r>
          <rPr>
            <b/>
            <sz val="9"/>
            <color indexed="81"/>
            <rFont val="Tahoma"/>
            <family val="2"/>
          </rPr>
          <t>ckinchin:</t>
        </r>
        <r>
          <rPr>
            <sz val="9"/>
            <color indexed="81"/>
            <rFont val="Tahoma"/>
            <family val="2"/>
          </rPr>
          <t xml:space="preserve">
Acid Gas Removal is included in this value, but listed separately in the publication.  The cost of water gas shift (WGS) is included in this value.</t>
        </r>
      </text>
    </comment>
    <comment ref="J23" authorId="0" shapeId="0" xr:uid="{5CC7E266-C725-490E-96D3-121B8856B4D0}">
      <text>
        <r>
          <rPr>
            <b/>
            <sz val="9"/>
            <color indexed="81"/>
            <rFont val="Tahoma"/>
            <family val="2"/>
          </rPr>
          <t>Christopher Kinchin, NREL:</t>
        </r>
        <r>
          <rPr>
            <sz val="9"/>
            <color indexed="81"/>
            <rFont val="Tahoma"/>
            <family val="2"/>
          </rPr>
          <t xml:space="preserve">
Includes Acid Gas Removal, which is grouped with Methanol Synthesis capital costs in the design report.</t>
        </r>
      </text>
    </comment>
    <comment ref="B24" authorId="1" shapeId="0" xr:uid="{00000000-0006-0000-0200-000018000000}">
      <text>
        <r>
          <rPr>
            <b/>
            <sz val="9"/>
            <color indexed="81"/>
            <rFont val="Tahoma"/>
            <family val="2"/>
          </rPr>
          <t>ckinchin:</t>
        </r>
        <r>
          <rPr>
            <sz val="9"/>
            <color indexed="81"/>
            <rFont val="Tahoma"/>
            <family val="2"/>
          </rPr>
          <t xml:space="preserve">
Does not include installation cost.</t>
        </r>
      </text>
    </comment>
    <comment ref="C24" authorId="1" shapeId="0" xr:uid="{00000000-0006-0000-0200-000019000000}">
      <text>
        <r>
          <rPr>
            <b/>
            <sz val="9"/>
            <color indexed="81"/>
            <rFont val="Tahoma"/>
            <family val="2"/>
          </rPr>
          <t>ckinchin:</t>
        </r>
        <r>
          <rPr>
            <sz val="9"/>
            <color indexed="81"/>
            <rFont val="Tahoma"/>
            <family val="2"/>
          </rPr>
          <t xml:space="preserve">
Does not include installation cost.</t>
        </r>
      </text>
    </comment>
    <comment ref="G24" authorId="1" shapeId="0" xr:uid="{00000000-0006-0000-0200-00001A000000}">
      <text>
        <r>
          <rPr>
            <b/>
            <sz val="9"/>
            <color indexed="81"/>
            <rFont val="Tahoma"/>
            <family val="2"/>
          </rPr>
          <t>ckinchin:</t>
        </r>
        <r>
          <rPr>
            <sz val="9"/>
            <color indexed="81"/>
            <rFont val="Tahoma"/>
            <family val="2"/>
          </rPr>
          <t xml:space="preserve">
Includes Separations.</t>
        </r>
      </text>
    </comment>
    <comment ref="H24" authorId="1" shapeId="0" xr:uid="{00000000-0006-0000-0200-00001B000000}">
      <text>
        <r>
          <rPr>
            <b/>
            <sz val="9"/>
            <color indexed="81"/>
            <rFont val="Tahoma"/>
            <family val="2"/>
          </rPr>
          <t>ckinchin:</t>
        </r>
        <r>
          <rPr>
            <sz val="9"/>
            <color indexed="81"/>
            <rFont val="Tahoma"/>
            <family val="2"/>
          </rPr>
          <t xml:space="preserve">
Includes Separations.</t>
        </r>
      </text>
    </comment>
    <comment ref="I24" authorId="1" shapeId="0" xr:uid="{00000000-0006-0000-0200-00001C000000}">
      <text>
        <r>
          <rPr>
            <b/>
            <sz val="9"/>
            <color indexed="81"/>
            <rFont val="Tahoma"/>
            <family val="2"/>
          </rPr>
          <t>ckinchin:</t>
        </r>
        <r>
          <rPr>
            <sz val="9"/>
            <color indexed="81"/>
            <rFont val="Tahoma"/>
            <family val="2"/>
          </rPr>
          <t xml:space="preserve">
Includes Separations.</t>
        </r>
      </text>
    </comment>
    <comment ref="J24" authorId="0" shapeId="0" xr:uid="{A9AD1AE4-619F-4C07-9BE2-7E31DE81B049}">
      <text>
        <r>
          <rPr>
            <b/>
            <sz val="9"/>
            <color indexed="81"/>
            <rFont val="Tahoma"/>
            <family val="2"/>
          </rPr>
          <t>Christopher Kinchin, NREL:</t>
        </r>
        <r>
          <rPr>
            <sz val="9"/>
            <color indexed="81"/>
            <rFont val="Tahoma"/>
            <family val="2"/>
          </rPr>
          <t xml:space="preserve">
Includes only methanol synthesis capital costs.</t>
        </r>
      </text>
    </comment>
    <comment ref="B28" authorId="1" shapeId="0" xr:uid="{00000000-0006-0000-0200-00001D000000}">
      <text>
        <r>
          <rPr>
            <b/>
            <sz val="9"/>
            <color indexed="81"/>
            <rFont val="Tahoma"/>
            <family val="2"/>
          </rPr>
          <t>ckinchin:</t>
        </r>
        <r>
          <rPr>
            <sz val="9"/>
            <color indexed="81"/>
            <rFont val="Tahoma"/>
            <family val="2"/>
          </rPr>
          <t xml:space="preserve">
Does not include installation cost.</t>
        </r>
      </text>
    </comment>
    <comment ref="C28" authorId="1" shapeId="0" xr:uid="{00000000-0006-0000-0200-00001E000000}">
      <text>
        <r>
          <rPr>
            <b/>
            <sz val="9"/>
            <color indexed="81"/>
            <rFont val="Tahoma"/>
            <family val="2"/>
          </rPr>
          <t>ckinchin:</t>
        </r>
        <r>
          <rPr>
            <sz val="9"/>
            <color indexed="81"/>
            <rFont val="Tahoma"/>
            <family val="2"/>
          </rPr>
          <t xml:space="preserve">
Does not include installation cost.</t>
        </r>
      </text>
    </comment>
    <comment ref="D33" authorId="1" shapeId="0" xr:uid="{00000000-0006-0000-0200-000020000000}">
      <text>
        <r>
          <rPr>
            <b/>
            <sz val="9"/>
            <color indexed="81"/>
            <rFont val="Tahoma"/>
            <family val="2"/>
          </rPr>
          <t>ckinchin:</t>
        </r>
        <r>
          <rPr>
            <sz val="9"/>
            <color indexed="81"/>
            <rFont val="Tahoma"/>
            <family val="2"/>
          </rPr>
          <t xml:space="preserve">
Cryogenic air separation.</t>
        </r>
      </text>
    </comment>
    <comment ref="E33" authorId="1" shapeId="0" xr:uid="{00000000-0006-0000-0200-000021000000}">
      <text>
        <r>
          <rPr>
            <b/>
            <sz val="9"/>
            <color indexed="81"/>
            <rFont val="Tahoma"/>
            <family val="2"/>
          </rPr>
          <t>ckinchin:</t>
        </r>
        <r>
          <rPr>
            <sz val="9"/>
            <color indexed="81"/>
            <rFont val="Tahoma"/>
            <family val="2"/>
          </rPr>
          <t xml:space="preserve">
Cryogenic air separation.</t>
        </r>
      </text>
    </comment>
    <comment ref="C34" authorId="1" shapeId="0" xr:uid="{00000000-0006-0000-0200-000023000000}">
      <text>
        <r>
          <rPr>
            <b/>
            <sz val="9"/>
            <color indexed="81"/>
            <rFont val="Tahoma"/>
            <family val="2"/>
          </rPr>
          <t>ckinchin:</t>
        </r>
        <r>
          <rPr>
            <sz val="9"/>
            <color indexed="81"/>
            <rFont val="Tahoma"/>
            <family val="2"/>
          </rPr>
          <t xml:space="preserve">
Does not include installation cost.
</t>
        </r>
      </text>
    </comment>
    <comment ref="B35" authorId="1" shapeId="0" xr:uid="{00000000-0006-0000-0200-000024000000}">
      <text>
        <r>
          <rPr>
            <b/>
            <sz val="9"/>
            <color indexed="81"/>
            <rFont val="Tahoma"/>
            <family val="2"/>
          </rPr>
          <t>ckinchin:</t>
        </r>
        <r>
          <rPr>
            <sz val="9"/>
            <color indexed="81"/>
            <rFont val="Tahoma"/>
            <family val="2"/>
          </rPr>
          <t xml:space="preserve">
Does not include installation cost.</t>
        </r>
      </text>
    </comment>
    <comment ref="C35" authorId="1" shapeId="0" xr:uid="{00000000-0006-0000-0200-000025000000}">
      <text>
        <r>
          <rPr>
            <b/>
            <sz val="9"/>
            <color indexed="81"/>
            <rFont val="Tahoma"/>
            <family val="2"/>
          </rPr>
          <t>ckinchin:</t>
        </r>
        <r>
          <rPr>
            <sz val="9"/>
            <color indexed="81"/>
            <rFont val="Tahoma"/>
            <family val="2"/>
          </rPr>
          <t xml:space="preserve">
Does not include installation cost.</t>
        </r>
      </text>
    </comment>
    <comment ref="D36" authorId="1" shapeId="0" xr:uid="{00000000-0006-0000-0200-000026000000}">
      <text>
        <r>
          <rPr>
            <b/>
            <sz val="9"/>
            <color indexed="81"/>
            <rFont val="Tahoma"/>
            <family val="2"/>
          </rPr>
          <t>ckinchin:</t>
        </r>
        <r>
          <rPr>
            <sz val="9"/>
            <color indexed="81"/>
            <rFont val="Tahoma"/>
            <family val="2"/>
          </rPr>
          <t xml:space="preserve">
Called Balance of Plant in journal article and DCFROR workbook.  Journal article says its 11% of TIC, but DCFROR workbook calculates it as 12%.</t>
        </r>
      </text>
    </comment>
    <comment ref="E36" authorId="1" shapeId="0" xr:uid="{00000000-0006-0000-0200-000027000000}">
      <text>
        <r>
          <rPr>
            <b/>
            <sz val="9"/>
            <color indexed="81"/>
            <rFont val="Tahoma"/>
            <family val="2"/>
          </rPr>
          <t>ckinchin:</t>
        </r>
        <r>
          <rPr>
            <sz val="9"/>
            <color indexed="81"/>
            <rFont val="Tahoma"/>
            <family val="2"/>
          </rPr>
          <t xml:space="preserve">
Called Balance of Plant in journal article and DCFROR workbook.  Journal article says its 11% of TIC, but DCFROR workbook calculates it as 12%.</t>
        </r>
      </text>
    </comment>
    <comment ref="B37" authorId="1" shapeId="0" xr:uid="{00000000-0006-0000-0200-000028000000}">
      <text>
        <r>
          <rPr>
            <b/>
            <sz val="9"/>
            <color indexed="81"/>
            <rFont val="Tahoma"/>
            <family val="2"/>
          </rPr>
          <t>ckinchin:</t>
        </r>
        <r>
          <rPr>
            <sz val="9"/>
            <color indexed="81"/>
            <rFont val="Tahoma"/>
            <family val="2"/>
          </rPr>
          <t xml:space="preserve">
Does not include installation cost.</t>
        </r>
      </text>
    </comment>
    <comment ref="C37" authorId="1" shapeId="0" xr:uid="{00000000-0006-0000-0200-000029000000}">
      <text>
        <r>
          <rPr>
            <b/>
            <sz val="9"/>
            <color indexed="81"/>
            <rFont val="Tahoma"/>
            <family val="2"/>
          </rPr>
          <t>ckinchin:</t>
        </r>
        <r>
          <rPr>
            <sz val="9"/>
            <color indexed="81"/>
            <rFont val="Tahoma"/>
            <family val="2"/>
          </rPr>
          <t xml:space="preserve">
Does not include installation cost.</t>
        </r>
      </text>
    </comment>
    <comment ref="B38" authorId="1" shapeId="0" xr:uid="{00000000-0006-0000-0200-00002A000000}">
      <text>
        <r>
          <rPr>
            <b/>
            <sz val="9"/>
            <color indexed="81"/>
            <rFont val="Tahoma"/>
            <family val="2"/>
          </rPr>
          <t>ckinchin:</t>
        </r>
        <r>
          <rPr>
            <sz val="9"/>
            <color indexed="81"/>
            <rFont val="Tahoma"/>
            <family val="2"/>
          </rPr>
          <t xml:space="preserve">
Installation factor applied to Total Purrchased Equipment Cost.</t>
        </r>
      </text>
    </comment>
    <comment ref="C38" authorId="1" shapeId="0" xr:uid="{00000000-0006-0000-0200-00002B000000}">
      <text>
        <r>
          <rPr>
            <b/>
            <sz val="9"/>
            <color indexed="81"/>
            <rFont val="Tahoma"/>
            <family val="2"/>
          </rPr>
          <t>ckinchin:</t>
        </r>
        <r>
          <rPr>
            <sz val="9"/>
            <color indexed="81"/>
            <rFont val="Tahoma"/>
            <family val="2"/>
          </rPr>
          <t xml:space="preserve">
Installation factor applied to Total Purrchased Equipment Cost.</t>
        </r>
      </text>
    </comment>
    <comment ref="P38" authorId="0" shapeId="0" xr:uid="{545A6375-D4C9-4BC7-9F21-01D4BA8B92B2}">
      <text>
        <r>
          <rPr>
            <b/>
            <sz val="9"/>
            <color indexed="81"/>
            <rFont val="Tahoma"/>
            <family val="2"/>
          </rPr>
          <t>Christopher Kinchin, NREL:</t>
        </r>
        <r>
          <rPr>
            <sz val="9"/>
            <color indexed="81"/>
            <rFont val="Tahoma"/>
            <family val="2"/>
          </rPr>
          <t xml:space="preserve">
Does not incude feedstock handling.</t>
        </r>
      </text>
    </comment>
    <comment ref="Q38" authorId="0" shapeId="0" xr:uid="{BEDD8135-E899-4803-B8CE-BA29BE437D52}">
      <text>
        <r>
          <rPr>
            <b/>
            <sz val="9"/>
            <color indexed="81"/>
            <rFont val="Tahoma"/>
            <family val="2"/>
          </rPr>
          <t>Christopher Kinchin, NREL:</t>
        </r>
        <r>
          <rPr>
            <sz val="9"/>
            <color indexed="81"/>
            <rFont val="Tahoma"/>
            <family val="2"/>
          </rPr>
          <t xml:space="preserve">
Does not incude feedstock handling.</t>
        </r>
      </text>
    </comment>
    <comment ref="J41" authorId="0" shapeId="0" xr:uid="{85ABCDBF-786C-44AD-9C21-BFE3AE821BAD}">
      <text>
        <r>
          <rPr>
            <b/>
            <sz val="9"/>
            <color indexed="81"/>
            <rFont val="Tahoma"/>
            <family val="2"/>
          </rPr>
          <t>Christopher Kinchin, NREL:</t>
        </r>
        <r>
          <rPr>
            <sz val="9"/>
            <color indexed="81"/>
            <rFont val="Tahoma"/>
            <family val="2"/>
          </rPr>
          <t xml:space="preserve">
Includes feed handling and drying capital costs.</t>
        </r>
      </text>
    </comment>
    <comment ref="K41" authorId="0" shapeId="0" xr:uid="{EDE4C288-2473-49B7-8307-19537F6F1AB6}">
      <text>
        <r>
          <rPr>
            <b/>
            <sz val="9"/>
            <color indexed="81"/>
            <rFont val="Tahoma"/>
            <family val="2"/>
          </rPr>
          <t>Christopher Kinchin, NREL:</t>
        </r>
        <r>
          <rPr>
            <sz val="9"/>
            <color indexed="81"/>
            <rFont val="Tahoma"/>
            <family val="2"/>
          </rPr>
          <t xml:space="preserve">
4% of ISBL.</t>
        </r>
      </text>
    </comment>
    <comment ref="L41" authorId="0" shapeId="0" xr:uid="{E9B6391B-0E42-4550-9973-51CC2DD823FC}">
      <text>
        <r>
          <rPr>
            <b/>
            <sz val="9"/>
            <color indexed="81"/>
            <rFont val="Tahoma"/>
            <family val="2"/>
          </rPr>
          <t>Christopher Kinchin, NREL:</t>
        </r>
        <r>
          <rPr>
            <sz val="9"/>
            <color indexed="81"/>
            <rFont val="Tahoma"/>
            <family val="2"/>
          </rPr>
          <t xml:space="preserve">
4% of ISBL.</t>
        </r>
      </text>
    </comment>
    <comment ref="M41" authorId="0" shapeId="0" xr:uid="{5F0880B7-CFDA-4B55-AA69-9E8887730239}">
      <text>
        <r>
          <rPr>
            <b/>
            <sz val="9"/>
            <color indexed="81"/>
            <rFont val="Tahoma"/>
            <family val="2"/>
          </rPr>
          <t>Christopher Kinchin, NREL:</t>
        </r>
        <r>
          <rPr>
            <sz val="9"/>
            <color indexed="81"/>
            <rFont val="Tahoma"/>
            <family val="2"/>
          </rPr>
          <t xml:space="preserve">
4% of ISBL.</t>
        </r>
      </text>
    </comment>
    <comment ref="N41" authorId="0" shapeId="0" xr:uid="{197452BF-2517-4E08-969B-63E96E4189A3}">
      <text>
        <r>
          <rPr>
            <b/>
            <sz val="9"/>
            <color indexed="81"/>
            <rFont val="Tahoma"/>
            <family val="2"/>
          </rPr>
          <t>Christopher Kinchin, NREL:</t>
        </r>
        <r>
          <rPr>
            <sz val="9"/>
            <color indexed="81"/>
            <rFont val="Tahoma"/>
            <family val="2"/>
          </rPr>
          <t xml:space="preserve">
4% of ISBL.</t>
        </r>
      </text>
    </comment>
    <comment ref="O41" authorId="0" shapeId="0" xr:uid="{0E73F104-79F9-4C6A-A754-5FEBA1177C87}">
      <text>
        <r>
          <rPr>
            <b/>
            <sz val="9"/>
            <color indexed="81"/>
            <rFont val="Tahoma"/>
            <family val="2"/>
          </rPr>
          <t>Christopher Kinchin, NREL:</t>
        </r>
        <r>
          <rPr>
            <sz val="9"/>
            <color indexed="81"/>
            <rFont val="Tahoma"/>
            <family val="2"/>
          </rPr>
          <t xml:space="preserve">
4% of ISBL.</t>
        </r>
      </text>
    </comment>
    <comment ref="P41" authorId="0" shapeId="0" xr:uid="{49E98305-0A8E-4ADA-BB31-7B5C8E3B0996}">
      <text>
        <r>
          <rPr>
            <b/>
            <sz val="9"/>
            <color indexed="81"/>
            <rFont val="Tahoma"/>
            <family val="2"/>
          </rPr>
          <t>Christopher Kinchin, NREL:</t>
        </r>
        <r>
          <rPr>
            <sz val="9"/>
            <color indexed="81"/>
            <rFont val="Tahoma"/>
            <family val="2"/>
          </rPr>
          <t xml:space="preserve">
4% of ISBL.</t>
        </r>
      </text>
    </comment>
    <comment ref="Q41" authorId="0" shapeId="0" xr:uid="{C627701E-1C1A-4C15-9015-9D006F224EEE}">
      <text>
        <r>
          <rPr>
            <b/>
            <sz val="9"/>
            <color indexed="81"/>
            <rFont val="Tahoma"/>
            <family val="2"/>
          </rPr>
          <t>Christopher Kinchin, NREL:</t>
        </r>
        <r>
          <rPr>
            <sz val="9"/>
            <color indexed="81"/>
            <rFont val="Tahoma"/>
            <family val="2"/>
          </rPr>
          <t xml:space="preserve">
4% of ISBL.</t>
        </r>
      </text>
    </comment>
    <comment ref="R41" authorId="0" shapeId="0" xr:uid="{7F37C2BA-74EB-438A-B131-6222F00C1EAB}">
      <text>
        <r>
          <rPr>
            <b/>
            <sz val="9"/>
            <color indexed="81"/>
            <rFont val="Tahoma"/>
            <family val="2"/>
          </rPr>
          <t>Christopher Kinchin, NREL:</t>
        </r>
        <r>
          <rPr>
            <sz val="9"/>
            <color indexed="81"/>
            <rFont val="Tahoma"/>
            <family val="2"/>
          </rPr>
          <t xml:space="preserve">
4% of ISBL.</t>
        </r>
      </text>
    </comment>
    <comment ref="S41" authorId="0" shapeId="0" xr:uid="{55E9E650-A485-4C9A-A085-6B8B34495A77}">
      <text>
        <r>
          <rPr>
            <b/>
            <sz val="9"/>
            <color indexed="81"/>
            <rFont val="Tahoma"/>
            <family val="2"/>
          </rPr>
          <t>Christopher Kinchin, NREL:</t>
        </r>
        <r>
          <rPr>
            <sz val="9"/>
            <color indexed="81"/>
            <rFont val="Tahoma"/>
            <family val="2"/>
          </rPr>
          <t xml:space="preserve">
4% of ISBL.</t>
        </r>
      </text>
    </comment>
    <comment ref="J45" authorId="0" shapeId="0" xr:uid="{2B9F91CB-358D-43F4-A320-4B224BFD78CF}">
      <text>
        <r>
          <rPr>
            <b/>
            <sz val="9"/>
            <color indexed="81"/>
            <rFont val="Tahoma"/>
            <family val="2"/>
          </rPr>
          <t>Christopher Kinchin, NREL:</t>
        </r>
        <r>
          <rPr>
            <sz val="9"/>
            <color indexed="81"/>
            <rFont val="Tahoma"/>
            <family val="2"/>
          </rPr>
          <t xml:space="preserve">
10% of TDC.
</t>
        </r>
      </text>
    </comment>
    <comment ref="K45" authorId="0" shapeId="0" xr:uid="{1D78FA50-B883-4BA9-8818-6344E70FFA83}">
      <text>
        <r>
          <rPr>
            <b/>
            <sz val="9"/>
            <color indexed="81"/>
            <rFont val="Tahoma"/>
            <family val="2"/>
          </rPr>
          <t>Christopher Kinchin, NREL:</t>
        </r>
        <r>
          <rPr>
            <sz val="9"/>
            <color indexed="81"/>
            <rFont val="Tahoma"/>
            <family val="2"/>
          </rPr>
          <t xml:space="preserve">
10% of TDC.</t>
        </r>
      </text>
    </comment>
    <comment ref="L45" authorId="0" shapeId="0" xr:uid="{4B885DE6-F421-49B5-939D-596DC6B7AEC4}">
      <text>
        <r>
          <rPr>
            <b/>
            <sz val="9"/>
            <color indexed="81"/>
            <rFont val="Tahoma"/>
            <family val="2"/>
          </rPr>
          <t>Christopher Kinchin, NREL:</t>
        </r>
        <r>
          <rPr>
            <sz val="9"/>
            <color indexed="81"/>
            <rFont val="Tahoma"/>
            <family val="2"/>
          </rPr>
          <t xml:space="preserve">
10% of TDC.</t>
        </r>
      </text>
    </comment>
    <comment ref="M45" authorId="0" shapeId="0" xr:uid="{7838E4BA-8C85-48B2-9D61-471347527626}">
      <text>
        <r>
          <rPr>
            <b/>
            <sz val="9"/>
            <color indexed="81"/>
            <rFont val="Tahoma"/>
            <family val="2"/>
          </rPr>
          <t>Christopher Kinchin, NREL:</t>
        </r>
        <r>
          <rPr>
            <sz val="9"/>
            <color indexed="81"/>
            <rFont val="Tahoma"/>
            <family val="2"/>
          </rPr>
          <t xml:space="preserve">
10% of TDC.</t>
        </r>
      </text>
    </comment>
    <comment ref="N45" authorId="0" shapeId="0" xr:uid="{665CE4CD-3B95-4AFC-80FE-D4902B649944}">
      <text>
        <r>
          <rPr>
            <b/>
            <sz val="9"/>
            <color indexed="81"/>
            <rFont val="Tahoma"/>
            <family val="2"/>
          </rPr>
          <t>Christopher Kinchin, NREL:</t>
        </r>
        <r>
          <rPr>
            <sz val="9"/>
            <color indexed="81"/>
            <rFont val="Tahoma"/>
            <family val="2"/>
          </rPr>
          <t xml:space="preserve">
10% of TDC.</t>
        </r>
      </text>
    </comment>
    <comment ref="O45" authorId="0" shapeId="0" xr:uid="{6C63A195-8193-429F-B384-78EB2D849171}">
      <text>
        <r>
          <rPr>
            <b/>
            <sz val="9"/>
            <color indexed="81"/>
            <rFont val="Tahoma"/>
            <family val="2"/>
          </rPr>
          <t>Christopher Kinchin, NREL:</t>
        </r>
        <r>
          <rPr>
            <sz val="9"/>
            <color indexed="81"/>
            <rFont val="Tahoma"/>
            <family val="2"/>
          </rPr>
          <t xml:space="preserve">
10% of TDC.</t>
        </r>
      </text>
    </comment>
    <comment ref="P45" authorId="0" shapeId="0" xr:uid="{81AFAD88-74A2-4D9D-BD1B-A92898A76CA8}">
      <text>
        <r>
          <rPr>
            <b/>
            <sz val="9"/>
            <color indexed="81"/>
            <rFont val="Tahoma"/>
            <family val="2"/>
          </rPr>
          <t>Christopher Kinchin, NREL:</t>
        </r>
        <r>
          <rPr>
            <sz val="9"/>
            <color indexed="81"/>
            <rFont val="Tahoma"/>
            <family val="2"/>
          </rPr>
          <t xml:space="preserve">
10% of TDC.</t>
        </r>
      </text>
    </comment>
    <comment ref="Q45" authorId="0" shapeId="0" xr:uid="{D70311C7-9A6E-4B27-AF34-B9D9BE2C075A}">
      <text>
        <r>
          <rPr>
            <b/>
            <sz val="9"/>
            <color indexed="81"/>
            <rFont val="Tahoma"/>
            <family val="2"/>
          </rPr>
          <t>Christopher Kinchin, NREL:</t>
        </r>
        <r>
          <rPr>
            <sz val="9"/>
            <color indexed="81"/>
            <rFont val="Tahoma"/>
            <family val="2"/>
          </rPr>
          <t xml:space="preserve">
10% of TDC.</t>
        </r>
      </text>
    </comment>
    <comment ref="R45" authorId="0" shapeId="0" xr:uid="{1432A4DF-DD46-4819-99D7-5D1A042701EE}">
      <text>
        <r>
          <rPr>
            <b/>
            <sz val="9"/>
            <color indexed="81"/>
            <rFont val="Tahoma"/>
            <family val="2"/>
          </rPr>
          <t>Christopher Kinchin, NREL:</t>
        </r>
        <r>
          <rPr>
            <sz val="9"/>
            <color indexed="81"/>
            <rFont val="Tahoma"/>
            <family val="2"/>
          </rPr>
          <t xml:space="preserve">
10% of TDC.</t>
        </r>
      </text>
    </comment>
    <comment ref="S45" authorId="0" shapeId="0" xr:uid="{3FAAE49A-542C-4205-82DE-5374868E96F4}">
      <text>
        <r>
          <rPr>
            <b/>
            <sz val="9"/>
            <color indexed="81"/>
            <rFont val="Tahoma"/>
            <family val="2"/>
          </rPr>
          <t>Christopher Kinchin, NREL:</t>
        </r>
        <r>
          <rPr>
            <sz val="9"/>
            <color indexed="81"/>
            <rFont val="Tahoma"/>
            <family val="2"/>
          </rPr>
          <t xml:space="preserve">
10% of TDC.</t>
        </r>
      </text>
    </comment>
    <comment ref="J46" authorId="0" shapeId="0" xr:uid="{3A986E0A-3A98-4F59-985B-275FD3A10697}">
      <text>
        <r>
          <rPr>
            <b/>
            <sz val="9"/>
            <color indexed="81"/>
            <rFont val="Tahoma"/>
            <family val="2"/>
          </rPr>
          <t>Christopher Kinchin, NREL:</t>
        </r>
        <r>
          <rPr>
            <sz val="9"/>
            <color indexed="81"/>
            <rFont val="Tahoma"/>
            <family val="2"/>
          </rPr>
          <t xml:space="preserve">
20% of TDC.
</t>
        </r>
      </text>
    </comment>
    <comment ref="K46" authorId="0" shapeId="0" xr:uid="{1F6F8861-CDEB-45BB-AA4A-9217A7D335BB}">
      <text>
        <r>
          <rPr>
            <b/>
            <sz val="9"/>
            <color indexed="81"/>
            <rFont val="Tahoma"/>
            <family val="2"/>
          </rPr>
          <t>Christopher Kinchin, NREL:</t>
        </r>
        <r>
          <rPr>
            <sz val="9"/>
            <color indexed="81"/>
            <rFont val="Tahoma"/>
            <family val="2"/>
          </rPr>
          <t xml:space="preserve">
20% of TDC.</t>
        </r>
      </text>
    </comment>
    <comment ref="L46" authorId="0" shapeId="0" xr:uid="{24C42D1F-EC64-4809-A6C5-26F6AD60D793}">
      <text>
        <r>
          <rPr>
            <b/>
            <sz val="9"/>
            <color indexed="81"/>
            <rFont val="Tahoma"/>
            <family val="2"/>
          </rPr>
          <t>Christopher Kinchin, NREL:</t>
        </r>
        <r>
          <rPr>
            <sz val="9"/>
            <color indexed="81"/>
            <rFont val="Tahoma"/>
            <family val="2"/>
          </rPr>
          <t xml:space="preserve">
20% of TDC.</t>
        </r>
      </text>
    </comment>
    <comment ref="M46" authorId="0" shapeId="0" xr:uid="{93F3A8D0-3D54-4F61-9A72-EF36A5FA5927}">
      <text>
        <r>
          <rPr>
            <b/>
            <sz val="9"/>
            <color indexed="81"/>
            <rFont val="Tahoma"/>
            <family val="2"/>
          </rPr>
          <t>Christopher Kinchin, NREL:</t>
        </r>
        <r>
          <rPr>
            <sz val="9"/>
            <color indexed="81"/>
            <rFont val="Tahoma"/>
            <family val="2"/>
          </rPr>
          <t xml:space="preserve">
20% of TDC.</t>
        </r>
      </text>
    </comment>
    <comment ref="N46" authorId="0" shapeId="0" xr:uid="{906A31E2-B74E-4F25-8FB3-38AA7E8BE661}">
      <text>
        <r>
          <rPr>
            <b/>
            <sz val="9"/>
            <color indexed="81"/>
            <rFont val="Tahoma"/>
            <family val="2"/>
          </rPr>
          <t>Christopher Kinchin, NREL:</t>
        </r>
        <r>
          <rPr>
            <sz val="9"/>
            <color indexed="81"/>
            <rFont val="Tahoma"/>
            <family val="2"/>
          </rPr>
          <t xml:space="preserve">
20% of TDC.</t>
        </r>
      </text>
    </comment>
    <comment ref="O46" authorId="0" shapeId="0" xr:uid="{DDC3A3A7-F91A-4EC2-989E-CFD9E8A76878}">
      <text>
        <r>
          <rPr>
            <b/>
            <sz val="9"/>
            <color indexed="81"/>
            <rFont val="Tahoma"/>
            <family val="2"/>
          </rPr>
          <t>Christopher Kinchin, NREL:</t>
        </r>
        <r>
          <rPr>
            <sz val="9"/>
            <color indexed="81"/>
            <rFont val="Tahoma"/>
            <family val="2"/>
          </rPr>
          <t xml:space="preserve">
20% of TDC.</t>
        </r>
      </text>
    </comment>
    <comment ref="P46" authorId="0" shapeId="0" xr:uid="{3A719683-D0BF-411C-94B9-035140510899}">
      <text>
        <r>
          <rPr>
            <b/>
            <sz val="9"/>
            <color indexed="81"/>
            <rFont val="Tahoma"/>
            <family val="2"/>
          </rPr>
          <t>Christopher Kinchin, NREL:</t>
        </r>
        <r>
          <rPr>
            <sz val="9"/>
            <color indexed="81"/>
            <rFont val="Tahoma"/>
            <family val="2"/>
          </rPr>
          <t xml:space="preserve">
10% of TDC.</t>
        </r>
      </text>
    </comment>
    <comment ref="Q46" authorId="0" shapeId="0" xr:uid="{1BE4B294-AEB5-4061-BCF4-E53D60E34657}">
      <text>
        <r>
          <rPr>
            <b/>
            <sz val="9"/>
            <color indexed="81"/>
            <rFont val="Tahoma"/>
            <family val="2"/>
          </rPr>
          <t>Christopher Kinchin, NREL:</t>
        </r>
        <r>
          <rPr>
            <sz val="9"/>
            <color indexed="81"/>
            <rFont val="Tahoma"/>
            <family val="2"/>
          </rPr>
          <t xml:space="preserve">
10% of TDC.</t>
        </r>
      </text>
    </comment>
    <comment ref="R46" authorId="0" shapeId="0" xr:uid="{C0C9EAB8-22E8-4CFC-B6D0-AA46E96726E0}">
      <text>
        <r>
          <rPr>
            <b/>
            <sz val="9"/>
            <color indexed="81"/>
            <rFont val="Tahoma"/>
            <family val="2"/>
          </rPr>
          <t>Christopher Kinchin, NREL:</t>
        </r>
        <r>
          <rPr>
            <sz val="9"/>
            <color indexed="81"/>
            <rFont val="Tahoma"/>
            <family val="2"/>
          </rPr>
          <t xml:space="preserve">
20% of TDC.</t>
        </r>
      </text>
    </comment>
    <comment ref="S46" authorId="0" shapeId="0" xr:uid="{49F8E9D0-C9E8-4860-9A6B-33CB5DACDE65}">
      <text>
        <r>
          <rPr>
            <b/>
            <sz val="9"/>
            <color indexed="81"/>
            <rFont val="Tahoma"/>
            <family val="2"/>
          </rPr>
          <t>Christopher Kinchin, NREL:</t>
        </r>
        <r>
          <rPr>
            <sz val="9"/>
            <color indexed="81"/>
            <rFont val="Tahoma"/>
            <family val="2"/>
          </rPr>
          <t xml:space="preserve">
20% of TDC.</t>
        </r>
      </text>
    </comment>
    <comment ref="J47" authorId="0" shapeId="0" xr:uid="{590A4315-4367-4E18-BAE1-21F15609F6B8}">
      <text>
        <r>
          <rPr>
            <b/>
            <sz val="9"/>
            <color indexed="81"/>
            <rFont val="Tahoma"/>
            <family val="2"/>
          </rPr>
          <t>Christopher Kinchin, NREL:</t>
        </r>
        <r>
          <rPr>
            <sz val="9"/>
            <color indexed="81"/>
            <rFont val="Tahoma"/>
            <family val="2"/>
          </rPr>
          <t xml:space="preserve">
10% of TDC.
</t>
        </r>
      </text>
    </comment>
    <comment ref="P47" authorId="0" shapeId="0" xr:uid="{BDAED1AB-1E9F-443E-AF82-B23ACD956B39}">
      <text>
        <r>
          <rPr>
            <b/>
            <sz val="9"/>
            <color indexed="81"/>
            <rFont val="Tahoma"/>
            <family val="2"/>
          </rPr>
          <t>Christopher Kinchin, NREL:</t>
        </r>
        <r>
          <rPr>
            <sz val="9"/>
            <color indexed="81"/>
            <rFont val="Tahoma"/>
            <family val="2"/>
          </rPr>
          <t xml:space="preserve">
20% of TDC.</t>
        </r>
      </text>
    </comment>
    <comment ref="Q47" authorId="0" shapeId="0" xr:uid="{0FF99663-5832-4C37-96CC-32EDCEDA432E}">
      <text>
        <r>
          <rPr>
            <b/>
            <sz val="9"/>
            <color indexed="81"/>
            <rFont val="Tahoma"/>
            <family val="2"/>
          </rPr>
          <t>Christopher Kinchin, NREL:</t>
        </r>
        <r>
          <rPr>
            <sz val="9"/>
            <color indexed="81"/>
            <rFont val="Tahoma"/>
            <family val="2"/>
          </rPr>
          <t xml:space="preserve">
20% of TDC.</t>
        </r>
      </text>
    </comment>
    <comment ref="R47" authorId="0" shapeId="0" xr:uid="{B8FF4DEC-A3F3-45BC-8FD6-78D85B1FBF0E}">
      <text>
        <r>
          <rPr>
            <b/>
            <sz val="9"/>
            <color indexed="81"/>
            <rFont val="Tahoma"/>
            <family val="2"/>
          </rPr>
          <t>Christopher Kinchin, NREL:</t>
        </r>
        <r>
          <rPr>
            <sz val="9"/>
            <color indexed="81"/>
            <rFont val="Tahoma"/>
            <family val="2"/>
          </rPr>
          <t xml:space="preserve">
10% of TDC.</t>
        </r>
      </text>
    </comment>
    <comment ref="S47" authorId="0" shapeId="0" xr:uid="{A8C80DEA-5868-43A9-9D32-09691C323E63}">
      <text>
        <r>
          <rPr>
            <b/>
            <sz val="9"/>
            <color indexed="81"/>
            <rFont val="Tahoma"/>
            <family val="2"/>
          </rPr>
          <t>Christopher Kinchin, NREL:</t>
        </r>
        <r>
          <rPr>
            <sz val="9"/>
            <color indexed="81"/>
            <rFont val="Tahoma"/>
            <family val="2"/>
          </rPr>
          <t xml:space="preserve">
10% of TDC.</t>
        </r>
      </text>
    </comment>
    <comment ref="K48" authorId="0" shapeId="0" xr:uid="{4E3B875A-7135-4641-B807-CA38C3A01B5E}">
      <text>
        <r>
          <rPr>
            <b/>
            <sz val="9"/>
            <color indexed="81"/>
            <rFont val="Tahoma"/>
            <family val="2"/>
          </rPr>
          <t>Christopher Kinchin, NREL:</t>
        </r>
        <r>
          <rPr>
            <sz val="9"/>
            <color indexed="81"/>
            <rFont val="Tahoma"/>
            <family val="2"/>
          </rPr>
          <t xml:space="preserve">
10% of TDC.</t>
        </r>
      </text>
    </comment>
    <comment ref="L48" authorId="0" shapeId="0" xr:uid="{3F86D5BB-6A1D-41AE-B494-CE0221E7EE8E}">
      <text>
        <r>
          <rPr>
            <b/>
            <sz val="9"/>
            <color indexed="81"/>
            <rFont val="Tahoma"/>
            <family val="2"/>
          </rPr>
          <t>Christopher Kinchin, NREL:</t>
        </r>
        <r>
          <rPr>
            <sz val="9"/>
            <color indexed="81"/>
            <rFont val="Tahoma"/>
            <family val="2"/>
          </rPr>
          <t xml:space="preserve">
10% of TDC.</t>
        </r>
      </text>
    </comment>
    <comment ref="M48" authorId="0" shapeId="0" xr:uid="{F03F7C17-AD63-495F-928E-D4F28C8E61B8}">
      <text>
        <r>
          <rPr>
            <b/>
            <sz val="9"/>
            <color indexed="81"/>
            <rFont val="Tahoma"/>
            <family val="2"/>
          </rPr>
          <t>Christopher Kinchin, NREL:</t>
        </r>
        <r>
          <rPr>
            <sz val="9"/>
            <color indexed="81"/>
            <rFont val="Tahoma"/>
            <family val="2"/>
          </rPr>
          <t xml:space="preserve">
10% of TDC.</t>
        </r>
      </text>
    </comment>
    <comment ref="N48" authorId="0" shapeId="0" xr:uid="{0E983A87-52CF-49A7-91BC-B97A427981AE}">
      <text>
        <r>
          <rPr>
            <b/>
            <sz val="9"/>
            <color indexed="81"/>
            <rFont val="Tahoma"/>
            <family val="2"/>
          </rPr>
          <t>Christopher Kinchin, NREL:</t>
        </r>
        <r>
          <rPr>
            <sz val="9"/>
            <color indexed="81"/>
            <rFont val="Tahoma"/>
            <family val="2"/>
          </rPr>
          <t xml:space="preserve">
10% of TDC.</t>
        </r>
      </text>
    </comment>
    <comment ref="O48" authorId="0" shapeId="0" xr:uid="{958483A5-0CBF-4582-AB6C-5FA06D936C1A}">
      <text>
        <r>
          <rPr>
            <b/>
            <sz val="9"/>
            <color indexed="81"/>
            <rFont val="Tahoma"/>
            <family val="2"/>
          </rPr>
          <t>Christopher Kinchin, NREL:</t>
        </r>
        <r>
          <rPr>
            <sz val="9"/>
            <color indexed="81"/>
            <rFont val="Tahoma"/>
            <family val="2"/>
          </rPr>
          <t xml:space="preserve">
10% of TDC.</t>
        </r>
      </text>
    </comment>
    <comment ref="D49" authorId="1" shapeId="0" xr:uid="{00000000-0006-0000-0200-000033000000}">
      <text>
        <r>
          <rPr>
            <b/>
            <sz val="9"/>
            <color indexed="81"/>
            <rFont val="Tahoma"/>
            <family val="2"/>
          </rPr>
          <t>ckinchin:</t>
        </r>
        <r>
          <rPr>
            <sz val="9"/>
            <color indexed="81"/>
            <rFont val="Tahoma"/>
            <family val="2"/>
          </rPr>
          <t xml:space="preserve">
In the source DCFROR workbook, Project Contingency is not part of indirect costs.  It’s calculated as 20% of Total Direct and Indirect Costs (TDIC).</t>
        </r>
      </text>
    </comment>
    <comment ref="E49" authorId="1" shapeId="0" xr:uid="{00000000-0006-0000-0200-000034000000}">
      <text>
        <r>
          <rPr>
            <b/>
            <sz val="9"/>
            <color indexed="81"/>
            <rFont val="Tahoma"/>
            <family val="2"/>
          </rPr>
          <t>ckinchin:</t>
        </r>
        <r>
          <rPr>
            <sz val="9"/>
            <color indexed="81"/>
            <rFont val="Tahoma"/>
            <family val="2"/>
          </rPr>
          <t xml:space="preserve">
In the source DCFROR workbook, Project Contingency is not part of indirect costs.  It’s calculated as 20% of Total Direct and Indirect Costs (TDIC).</t>
        </r>
      </text>
    </comment>
    <comment ref="J49" authorId="0" shapeId="0" xr:uid="{39E22A20-73E6-4CA7-8912-3C3AD3FB19B4}">
      <text>
        <r>
          <rPr>
            <b/>
            <sz val="9"/>
            <color indexed="81"/>
            <rFont val="Tahoma"/>
            <family val="2"/>
          </rPr>
          <t>Christopher Kinchin, NREL:</t>
        </r>
        <r>
          <rPr>
            <sz val="9"/>
            <color indexed="81"/>
            <rFont val="Tahoma"/>
            <family val="2"/>
          </rPr>
          <t xml:space="preserve">
10% of TDC.
</t>
        </r>
      </text>
    </comment>
    <comment ref="K49" authorId="0" shapeId="0" xr:uid="{1EE7892B-4332-47B3-A0C9-544BBFFE5796}">
      <text>
        <r>
          <rPr>
            <b/>
            <sz val="9"/>
            <color indexed="81"/>
            <rFont val="Tahoma"/>
            <family val="2"/>
          </rPr>
          <t>Christopher Kinchin, NREL:</t>
        </r>
        <r>
          <rPr>
            <sz val="9"/>
            <color indexed="81"/>
            <rFont val="Tahoma"/>
            <family val="2"/>
          </rPr>
          <t xml:space="preserve">
10% of TDC.</t>
        </r>
      </text>
    </comment>
    <comment ref="L49" authorId="0" shapeId="0" xr:uid="{F42104D4-2FEE-4A08-BEF2-F0EC900B488A}">
      <text>
        <r>
          <rPr>
            <b/>
            <sz val="9"/>
            <color indexed="81"/>
            <rFont val="Tahoma"/>
            <family val="2"/>
          </rPr>
          <t>Christopher Kinchin, NREL:</t>
        </r>
        <r>
          <rPr>
            <sz val="9"/>
            <color indexed="81"/>
            <rFont val="Tahoma"/>
            <family val="2"/>
          </rPr>
          <t xml:space="preserve">
10% of TDC.</t>
        </r>
      </text>
    </comment>
    <comment ref="M49" authorId="0" shapeId="0" xr:uid="{954EFC8C-BCD9-45A2-8C25-3EC379B521B2}">
      <text>
        <r>
          <rPr>
            <b/>
            <sz val="9"/>
            <color indexed="81"/>
            <rFont val="Tahoma"/>
            <family val="2"/>
          </rPr>
          <t>Christopher Kinchin, NREL:</t>
        </r>
        <r>
          <rPr>
            <sz val="9"/>
            <color indexed="81"/>
            <rFont val="Tahoma"/>
            <family val="2"/>
          </rPr>
          <t xml:space="preserve">
10% of TDC.</t>
        </r>
      </text>
    </comment>
    <comment ref="N49" authorId="0" shapeId="0" xr:uid="{B6931A69-C949-4913-8CB1-9A2D6BEA2529}">
      <text>
        <r>
          <rPr>
            <b/>
            <sz val="9"/>
            <color indexed="81"/>
            <rFont val="Tahoma"/>
            <family val="2"/>
          </rPr>
          <t>Christopher Kinchin, NREL:</t>
        </r>
        <r>
          <rPr>
            <sz val="9"/>
            <color indexed="81"/>
            <rFont val="Tahoma"/>
            <family val="2"/>
          </rPr>
          <t xml:space="preserve">
10% of TDC.</t>
        </r>
      </text>
    </comment>
    <comment ref="O49" authorId="0" shapeId="0" xr:uid="{21D86859-D0B0-41B2-84D1-2E14A787FB5B}">
      <text>
        <r>
          <rPr>
            <b/>
            <sz val="9"/>
            <color indexed="81"/>
            <rFont val="Tahoma"/>
            <family val="2"/>
          </rPr>
          <t>Christopher Kinchin, NREL:</t>
        </r>
        <r>
          <rPr>
            <sz val="9"/>
            <color indexed="81"/>
            <rFont val="Tahoma"/>
            <family val="2"/>
          </rPr>
          <t xml:space="preserve">
10% of TDC.</t>
        </r>
      </text>
    </comment>
    <comment ref="P49" authorId="0" shapeId="0" xr:uid="{7AE35203-6DDD-400E-8A1C-EF5E5C062B42}">
      <text>
        <r>
          <rPr>
            <b/>
            <sz val="9"/>
            <color indexed="81"/>
            <rFont val="Tahoma"/>
            <family val="2"/>
          </rPr>
          <t>Christopher Kinchin, NREL:</t>
        </r>
        <r>
          <rPr>
            <sz val="9"/>
            <color indexed="81"/>
            <rFont val="Tahoma"/>
            <family val="2"/>
          </rPr>
          <t xml:space="preserve">
10% of TDC.</t>
        </r>
      </text>
    </comment>
    <comment ref="Q49" authorId="0" shapeId="0" xr:uid="{3AA26724-E7F1-40E5-9789-A01BB3E60E50}">
      <text>
        <r>
          <rPr>
            <b/>
            <sz val="9"/>
            <color indexed="81"/>
            <rFont val="Tahoma"/>
            <family val="2"/>
          </rPr>
          <t>Christopher Kinchin, NREL:</t>
        </r>
        <r>
          <rPr>
            <sz val="9"/>
            <color indexed="81"/>
            <rFont val="Tahoma"/>
            <family val="2"/>
          </rPr>
          <t xml:space="preserve">
10% of TDC.</t>
        </r>
      </text>
    </comment>
    <comment ref="R49" authorId="0" shapeId="0" xr:uid="{AF419626-267E-4C1B-A3D2-C83C36DFB232}">
      <text>
        <r>
          <rPr>
            <b/>
            <sz val="9"/>
            <color indexed="81"/>
            <rFont val="Tahoma"/>
            <family val="2"/>
          </rPr>
          <t>Christopher Kinchin, NREL:</t>
        </r>
        <r>
          <rPr>
            <sz val="9"/>
            <color indexed="81"/>
            <rFont val="Tahoma"/>
            <family val="2"/>
          </rPr>
          <t xml:space="preserve">
10% of TDC.</t>
        </r>
      </text>
    </comment>
    <comment ref="S49" authorId="0" shapeId="0" xr:uid="{4E865755-81C0-4A2C-9997-A6DC2D9C6214}">
      <text>
        <r>
          <rPr>
            <b/>
            <sz val="9"/>
            <color indexed="81"/>
            <rFont val="Tahoma"/>
            <family val="2"/>
          </rPr>
          <t>Christopher Kinchin, NREL:</t>
        </r>
        <r>
          <rPr>
            <sz val="9"/>
            <color indexed="81"/>
            <rFont val="Tahoma"/>
            <family val="2"/>
          </rPr>
          <t xml:space="preserve">
10% of TDC.</t>
        </r>
      </text>
    </comment>
    <comment ref="J50" authorId="0" shapeId="0" xr:uid="{C5D4F2B4-E339-42BE-BBD1-75B90C0A5D7B}">
      <text>
        <r>
          <rPr>
            <b/>
            <sz val="9"/>
            <color indexed="81"/>
            <rFont val="Tahoma"/>
            <family val="2"/>
          </rPr>
          <t>Christopher Kinchin, NREL:</t>
        </r>
        <r>
          <rPr>
            <sz val="9"/>
            <color indexed="81"/>
            <rFont val="Tahoma"/>
            <family val="2"/>
          </rPr>
          <t xml:space="preserve">
10% of TDC.
</t>
        </r>
      </text>
    </comment>
    <comment ref="K50" authorId="0" shapeId="0" xr:uid="{7C34CE65-6E22-4D31-A342-2C972D3AA257}">
      <text>
        <r>
          <rPr>
            <b/>
            <sz val="9"/>
            <color indexed="81"/>
            <rFont val="Tahoma"/>
            <family val="2"/>
          </rPr>
          <t>Christopher Kinchin, NREL:</t>
        </r>
        <r>
          <rPr>
            <sz val="9"/>
            <color indexed="81"/>
            <rFont val="Tahoma"/>
            <family val="2"/>
          </rPr>
          <t xml:space="preserve">
10% of TDC.</t>
        </r>
      </text>
    </comment>
    <comment ref="L50" authorId="0" shapeId="0" xr:uid="{C3C15A8B-2654-4B65-87CD-AA633246B89E}">
      <text>
        <r>
          <rPr>
            <b/>
            <sz val="9"/>
            <color indexed="81"/>
            <rFont val="Tahoma"/>
            <family val="2"/>
          </rPr>
          <t>Christopher Kinchin, NREL:</t>
        </r>
        <r>
          <rPr>
            <sz val="9"/>
            <color indexed="81"/>
            <rFont val="Tahoma"/>
            <family val="2"/>
          </rPr>
          <t xml:space="preserve">
10% of TDC.</t>
        </r>
      </text>
    </comment>
    <comment ref="M50" authorId="0" shapeId="0" xr:uid="{3552D406-207E-470C-8052-CFA40706973E}">
      <text>
        <r>
          <rPr>
            <b/>
            <sz val="9"/>
            <color indexed="81"/>
            <rFont val="Tahoma"/>
            <family val="2"/>
          </rPr>
          <t>Christopher Kinchin, NREL:</t>
        </r>
        <r>
          <rPr>
            <sz val="9"/>
            <color indexed="81"/>
            <rFont val="Tahoma"/>
            <family val="2"/>
          </rPr>
          <t xml:space="preserve">
10% of TDC.</t>
        </r>
      </text>
    </comment>
    <comment ref="N50" authorId="0" shapeId="0" xr:uid="{73ACC204-F0F3-45AA-AC3D-4D0A508DC116}">
      <text>
        <r>
          <rPr>
            <b/>
            <sz val="9"/>
            <color indexed="81"/>
            <rFont val="Tahoma"/>
            <family val="2"/>
          </rPr>
          <t>Christopher Kinchin, NREL:</t>
        </r>
        <r>
          <rPr>
            <sz val="9"/>
            <color indexed="81"/>
            <rFont val="Tahoma"/>
            <family val="2"/>
          </rPr>
          <t xml:space="preserve">
10% of TDC.</t>
        </r>
      </text>
    </comment>
    <comment ref="O50" authorId="0" shapeId="0" xr:uid="{E83BD725-0DDD-44C2-A939-D93E88895B47}">
      <text>
        <r>
          <rPr>
            <b/>
            <sz val="9"/>
            <color indexed="81"/>
            <rFont val="Tahoma"/>
            <family val="2"/>
          </rPr>
          <t>Christopher Kinchin, NREL:</t>
        </r>
        <r>
          <rPr>
            <sz val="9"/>
            <color indexed="81"/>
            <rFont val="Tahoma"/>
            <family val="2"/>
          </rPr>
          <t xml:space="preserve">
10% of TDC.</t>
        </r>
      </text>
    </comment>
    <comment ref="P50" authorId="0" shapeId="0" xr:uid="{BA1B9480-162C-45B4-BF70-68647DDA9D7C}">
      <text>
        <r>
          <rPr>
            <b/>
            <sz val="9"/>
            <color indexed="81"/>
            <rFont val="Tahoma"/>
            <family val="2"/>
          </rPr>
          <t>Christopher Kinchin, NREL:</t>
        </r>
        <r>
          <rPr>
            <sz val="9"/>
            <color indexed="81"/>
            <rFont val="Tahoma"/>
            <family val="2"/>
          </rPr>
          <t xml:space="preserve">
10% of TDC.</t>
        </r>
      </text>
    </comment>
    <comment ref="Q50" authorId="0" shapeId="0" xr:uid="{5838CA49-5817-403A-BCFE-414080FF2602}">
      <text>
        <r>
          <rPr>
            <b/>
            <sz val="9"/>
            <color indexed="81"/>
            <rFont val="Tahoma"/>
            <family val="2"/>
          </rPr>
          <t>Christopher Kinchin, NREL:</t>
        </r>
        <r>
          <rPr>
            <sz val="9"/>
            <color indexed="81"/>
            <rFont val="Tahoma"/>
            <family val="2"/>
          </rPr>
          <t xml:space="preserve">
10% of TDC.</t>
        </r>
      </text>
    </comment>
    <comment ref="R50" authorId="0" shapeId="0" xr:uid="{B60F7703-AF25-43C4-B0F1-AD8D1B06F82F}">
      <text>
        <r>
          <rPr>
            <b/>
            <sz val="9"/>
            <color indexed="81"/>
            <rFont val="Tahoma"/>
            <family val="2"/>
          </rPr>
          <t>Christopher Kinchin, NREL:</t>
        </r>
        <r>
          <rPr>
            <sz val="9"/>
            <color indexed="81"/>
            <rFont val="Tahoma"/>
            <family val="2"/>
          </rPr>
          <t xml:space="preserve">
10% of TDC.</t>
        </r>
      </text>
    </comment>
    <comment ref="S50" authorId="0" shapeId="0" xr:uid="{3C62ACF8-12D9-4A35-A66E-AD2D497A6878}">
      <text>
        <r>
          <rPr>
            <b/>
            <sz val="9"/>
            <color indexed="81"/>
            <rFont val="Tahoma"/>
            <family val="2"/>
          </rPr>
          <t>Christopher Kinchin, NREL:</t>
        </r>
        <r>
          <rPr>
            <sz val="9"/>
            <color indexed="81"/>
            <rFont val="Tahoma"/>
            <family val="2"/>
          </rPr>
          <t xml:space="preserve">
10% of TDC.</t>
        </r>
      </text>
    </comment>
    <comment ref="C51" authorId="1" shapeId="0" xr:uid="{00000000-0006-0000-0200-000037000000}">
      <text>
        <r>
          <rPr>
            <b/>
            <sz val="9"/>
            <color indexed="81"/>
            <rFont val="Tahoma"/>
            <family val="2"/>
          </rPr>
          <t>ckinchin:</t>
        </r>
        <r>
          <rPr>
            <sz val="9"/>
            <color indexed="81"/>
            <rFont val="Tahoma"/>
            <family val="2"/>
          </rPr>
          <t xml:space="preserve">
This number looks high.  Total indirect costs should be 126% of TPEC, which is $136 million in the source document.  126% of $136 million is $171 million, so $272 million may be a typo in the report.</t>
        </r>
      </text>
    </comment>
    <comment ref="B53" authorId="1" shapeId="0" xr:uid="{00000000-0006-0000-0200-000039000000}">
      <text>
        <r>
          <rPr>
            <b/>
            <sz val="9"/>
            <color indexed="81"/>
            <rFont val="Tahoma"/>
            <family val="2"/>
          </rPr>
          <t>ckinchin:</t>
        </r>
        <r>
          <rPr>
            <sz val="9"/>
            <color indexed="81"/>
            <rFont val="Tahoma"/>
            <family val="2"/>
          </rPr>
          <t xml:space="preserve">
6% of TPEC, taken as a first year construction expense.</t>
        </r>
      </text>
    </comment>
    <comment ref="C53" authorId="1" shapeId="0" xr:uid="{00000000-0006-0000-0200-00003A000000}">
      <text>
        <r>
          <rPr>
            <b/>
            <sz val="9"/>
            <color indexed="81"/>
            <rFont val="Tahoma"/>
            <family val="2"/>
          </rPr>
          <t>ckinchin:</t>
        </r>
        <r>
          <rPr>
            <sz val="9"/>
            <color indexed="81"/>
            <rFont val="Tahoma"/>
            <family val="2"/>
          </rPr>
          <t xml:space="preserve">
6% of TPEC, taken as a first year construction expense.</t>
        </r>
      </text>
    </comment>
    <comment ref="D53" authorId="1" shapeId="0" xr:uid="{00000000-0006-0000-0200-00003B000000}">
      <text>
        <r>
          <rPr>
            <b/>
            <sz val="9"/>
            <color indexed="81"/>
            <rFont val="Tahoma"/>
            <family val="2"/>
          </rPr>
          <t>ckinchin:</t>
        </r>
        <r>
          <rPr>
            <sz val="9"/>
            <color indexed="81"/>
            <rFont val="Tahoma"/>
            <family val="2"/>
          </rPr>
          <t xml:space="preserve">
6% of TPEC, taken as a first year construction expense.</t>
        </r>
      </text>
    </comment>
    <comment ref="E53" authorId="1" shapeId="0" xr:uid="{00000000-0006-0000-0200-00003C000000}">
      <text>
        <r>
          <rPr>
            <b/>
            <sz val="9"/>
            <color indexed="81"/>
            <rFont val="Tahoma"/>
            <family val="2"/>
          </rPr>
          <t>ckinchin:</t>
        </r>
        <r>
          <rPr>
            <sz val="9"/>
            <color indexed="81"/>
            <rFont val="Tahoma"/>
            <family val="2"/>
          </rPr>
          <t xml:space="preserve">
6% of TPEC, taken as a first year construction expense.</t>
        </r>
      </text>
    </comment>
    <comment ref="K53" authorId="0" shapeId="0" xr:uid="{78237901-4B7D-4898-B7A9-51AEE504306F}">
      <text>
        <r>
          <rPr>
            <b/>
            <sz val="9"/>
            <color indexed="81"/>
            <rFont val="Tahoma"/>
            <family val="2"/>
          </rPr>
          <t>Christopher Kinchin, NREL:</t>
        </r>
        <r>
          <rPr>
            <sz val="9"/>
            <color indexed="81"/>
            <rFont val="Tahoma"/>
            <family val="2"/>
          </rPr>
          <t xml:space="preserve">
115 acres at 14,000 per acre.</t>
        </r>
      </text>
    </comment>
    <comment ref="L53" authorId="0" shapeId="0" xr:uid="{2E750D88-2B73-43E8-8F3C-9792623C23C5}">
      <text>
        <r>
          <rPr>
            <b/>
            <sz val="9"/>
            <color indexed="81"/>
            <rFont val="Tahoma"/>
            <family val="2"/>
          </rPr>
          <t>Christopher Kinchin, NREL:</t>
        </r>
        <r>
          <rPr>
            <sz val="9"/>
            <color indexed="81"/>
            <rFont val="Tahoma"/>
            <family val="2"/>
          </rPr>
          <t xml:space="preserve">
115 acres at 14,000 per acre.</t>
        </r>
      </text>
    </comment>
    <comment ref="M53" authorId="0" shapeId="0" xr:uid="{D5AF7CDF-182C-4B9B-B97C-26C75FC6F93B}">
      <text>
        <r>
          <rPr>
            <b/>
            <sz val="9"/>
            <color indexed="81"/>
            <rFont val="Tahoma"/>
            <family val="2"/>
          </rPr>
          <t>Christopher Kinchin, NREL:</t>
        </r>
        <r>
          <rPr>
            <sz val="9"/>
            <color indexed="81"/>
            <rFont val="Tahoma"/>
            <family val="2"/>
          </rPr>
          <t xml:space="preserve">
115 acres at 14,000 per acre.</t>
        </r>
      </text>
    </comment>
    <comment ref="N53" authorId="0" shapeId="0" xr:uid="{A56322BB-8679-406D-9D74-C8DC8A51B8CF}">
      <text>
        <r>
          <rPr>
            <b/>
            <sz val="9"/>
            <color indexed="81"/>
            <rFont val="Tahoma"/>
            <family val="2"/>
          </rPr>
          <t>Christopher Kinchin, NREL:</t>
        </r>
        <r>
          <rPr>
            <sz val="9"/>
            <color indexed="81"/>
            <rFont val="Tahoma"/>
            <family val="2"/>
          </rPr>
          <t xml:space="preserve">
115 acres at 14,000 per acre.</t>
        </r>
      </text>
    </comment>
    <comment ref="O53" authorId="0" shapeId="0" xr:uid="{9DA0DB6F-41E4-4795-B844-F9A4FC1AA436}">
      <text>
        <r>
          <rPr>
            <b/>
            <sz val="9"/>
            <color indexed="81"/>
            <rFont val="Tahoma"/>
            <family val="2"/>
          </rPr>
          <t>Christopher Kinchin, NREL:</t>
        </r>
        <r>
          <rPr>
            <sz val="9"/>
            <color indexed="81"/>
            <rFont val="Tahoma"/>
            <family val="2"/>
          </rPr>
          <t xml:space="preserve">
115 acres at 14,000 per acre.</t>
        </r>
      </text>
    </comment>
    <comment ref="P53" authorId="0" shapeId="0" xr:uid="{0F4EBADC-F2AC-45E4-A056-EEEA4E7D975C}">
      <text>
        <r>
          <rPr>
            <b/>
            <sz val="9"/>
            <color indexed="81"/>
            <rFont val="Tahoma"/>
            <family val="2"/>
          </rPr>
          <t>Christopher Kinchin, NREL:</t>
        </r>
        <r>
          <rPr>
            <sz val="9"/>
            <color indexed="81"/>
            <rFont val="Tahoma"/>
            <family val="2"/>
          </rPr>
          <t xml:space="preserve">
132 acres at $14,000 per acre.</t>
        </r>
      </text>
    </comment>
    <comment ref="Q53" authorId="0" shapeId="0" xr:uid="{C2370F6E-A6E4-4508-9CF9-8AEBC7E61F11}">
      <text>
        <r>
          <rPr>
            <b/>
            <sz val="9"/>
            <color indexed="81"/>
            <rFont val="Tahoma"/>
            <family val="2"/>
          </rPr>
          <t>Christopher Kinchin, NREL:</t>
        </r>
        <r>
          <rPr>
            <sz val="9"/>
            <color indexed="81"/>
            <rFont val="Tahoma"/>
            <family val="2"/>
          </rPr>
          <t xml:space="preserve">
132 acres at $14,000 per acre.</t>
        </r>
      </text>
    </comment>
    <comment ref="R53" authorId="0" shapeId="0" xr:uid="{8E66ACB1-E0E5-4003-87BD-2A462DA1AD52}">
      <text>
        <r>
          <rPr>
            <b/>
            <sz val="9"/>
            <color indexed="81"/>
            <rFont val="Tahoma"/>
            <family val="2"/>
          </rPr>
          <t>Christopher Kinchin, NREL:</t>
        </r>
        <r>
          <rPr>
            <sz val="9"/>
            <color indexed="81"/>
            <rFont val="Tahoma"/>
            <family val="2"/>
          </rPr>
          <t xml:space="preserve">
115 acres at $14,000/acre.</t>
        </r>
      </text>
    </comment>
    <comment ref="S53" authorId="0" shapeId="0" xr:uid="{1CFF7C73-0B18-4B78-B668-DD9D7CAB8584}">
      <text>
        <r>
          <rPr>
            <b/>
            <sz val="9"/>
            <color indexed="81"/>
            <rFont val="Tahoma"/>
            <family val="2"/>
          </rPr>
          <t>Christopher Kinchin, NREL:</t>
        </r>
        <r>
          <rPr>
            <sz val="9"/>
            <color indexed="81"/>
            <rFont val="Tahoma"/>
            <family val="2"/>
          </rPr>
          <t xml:space="preserve">
115 acres at $14,000/acre.</t>
        </r>
      </text>
    </comment>
    <comment ref="G54" authorId="1" shapeId="0" xr:uid="{00000000-0006-0000-0200-00003D000000}">
      <text>
        <r>
          <rPr>
            <b/>
            <sz val="9"/>
            <color indexed="81"/>
            <rFont val="Tahoma"/>
            <family val="2"/>
          </rPr>
          <t>ckinchin:</t>
        </r>
        <r>
          <rPr>
            <sz val="9"/>
            <color indexed="81"/>
            <rFont val="Tahoma"/>
            <family val="2"/>
          </rPr>
          <t xml:space="preserve">
Calculated from working capital % of FCI assumed in DCFROR section of this column.  Working Capital is actually never mentioned in the source document, therefore this value is assumes working capital is 5% of FCI.</t>
        </r>
      </text>
    </comment>
    <comment ref="H54" authorId="1" shapeId="0" xr:uid="{00000000-0006-0000-0200-00003E000000}">
      <text>
        <r>
          <rPr>
            <b/>
            <sz val="9"/>
            <color indexed="81"/>
            <rFont val="Tahoma"/>
            <family val="2"/>
          </rPr>
          <t>ckinchin:</t>
        </r>
        <r>
          <rPr>
            <sz val="9"/>
            <color indexed="81"/>
            <rFont val="Tahoma"/>
            <family val="2"/>
          </rPr>
          <t xml:space="preserve">
Calculated from working capital % of FCI assumed in DCFROR section of this column.  Working Capital is actually never mentioned in the source document, therefore this value is assumes working capital is 5% of FCI.</t>
        </r>
      </text>
    </comment>
    <comment ref="I54" authorId="1" shapeId="0" xr:uid="{00000000-0006-0000-0200-00003F000000}">
      <text>
        <r>
          <rPr>
            <b/>
            <sz val="9"/>
            <color indexed="81"/>
            <rFont val="Tahoma"/>
            <family val="2"/>
          </rPr>
          <t>ckinchin:</t>
        </r>
        <r>
          <rPr>
            <sz val="9"/>
            <color indexed="81"/>
            <rFont val="Tahoma"/>
            <family val="2"/>
          </rPr>
          <t xml:space="preserve">
Calculated from working capital % of FCI assumed in DCFROR section of this column.  Working Capital is actually never mentioned in the source document, therefore this value is assumes working capital is 5% of FCI.</t>
        </r>
      </text>
    </comment>
    <comment ref="J54" authorId="1" shapeId="0" xr:uid="{72433CDA-7EEA-4DE2-BF2A-003B3E838221}">
      <text>
        <r>
          <rPr>
            <b/>
            <sz val="9"/>
            <color indexed="81"/>
            <rFont val="Tahoma"/>
            <family val="2"/>
          </rPr>
          <t>ckinchin:</t>
        </r>
        <r>
          <rPr>
            <sz val="9"/>
            <color indexed="81"/>
            <rFont val="Tahoma"/>
            <family val="2"/>
          </rPr>
          <t xml:space="preserve">
Calculated from working capital % of FCI assumed in DCFROR section of this column.  Working Capital is actually never mentioned in the source document, therefore this value is assumes working capital is 5% of FCI.</t>
        </r>
      </text>
    </comment>
    <comment ref="K54" authorId="0" shapeId="0" xr:uid="{20C59D9E-38CD-4D20-ABA1-89503F684459}">
      <text>
        <r>
          <rPr>
            <b/>
            <sz val="9"/>
            <color indexed="81"/>
            <rFont val="Tahoma"/>
            <family val="2"/>
          </rPr>
          <t>Christopher Kinchin, NREL:</t>
        </r>
        <r>
          <rPr>
            <sz val="9"/>
            <color indexed="81"/>
            <rFont val="Tahoma"/>
            <family val="2"/>
          </rPr>
          <t xml:space="preserve">
5% of FCI, excluding land.</t>
        </r>
      </text>
    </comment>
    <comment ref="L54" authorId="0" shapeId="0" xr:uid="{1B700406-BF5C-4520-B24A-0F3DBD8DE3D2}">
      <text>
        <r>
          <rPr>
            <b/>
            <sz val="9"/>
            <color indexed="81"/>
            <rFont val="Tahoma"/>
            <family val="2"/>
          </rPr>
          <t>Christopher Kinchin, NREL:</t>
        </r>
        <r>
          <rPr>
            <sz val="9"/>
            <color indexed="81"/>
            <rFont val="Tahoma"/>
            <family val="2"/>
          </rPr>
          <t xml:space="preserve">
5% of FCI, excluding land.</t>
        </r>
      </text>
    </comment>
    <comment ref="M54" authorId="0" shapeId="0" xr:uid="{2913EB19-76CB-4136-BD18-FC6C08BF174D}">
      <text>
        <r>
          <rPr>
            <b/>
            <sz val="9"/>
            <color indexed="81"/>
            <rFont val="Tahoma"/>
            <family val="2"/>
          </rPr>
          <t>Christopher Kinchin, NREL:</t>
        </r>
        <r>
          <rPr>
            <sz val="9"/>
            <color indexed="81"/>
            <rFont val="Tahoma"/>
            <family val="2"/>
          </rPr>
          <t xml:space="preserve">
5% of FCI, excluding land.</t>
        </r>
      </text>
    </comment>
    <comment ref="N54" authorId="0" shapeId="0" xr:uid="{C113E591-332B-4E74-8E52-E7E85D5F8AC6}">
      <text>
        <r>
          <rPr>
            <b/>
            <sz val="9"/>
            <color indexed="81"/>
            <rFont val="Tahoma"/>
            <family val="2"/>
          </rPr>
          <t>Christopher Kinchin, NREL:</t>
        </r>
        <r>
          <rPr>
            <sz val="9"/>
            <color indexed="81"/>
            <rFont val="Tahoma"/>
            <family val="2"/>
          </rPr>
          <t xml:space="preserve">
5% of FCI, excluding land.</t>
        </r>
      </text>
    </comment>
    <comment ref="O54" authorId="0" shapeId="0" xr:uid="{EFA5CF1A-4549-4DF7-A215-73035BBB0CD6}">
      <text>
        <r>
          <rPr>
            <b/>
            <sz val="9"/>
            <color indexed="81"/>
            <rFont val="Tahoma"/>
            <family val="2"/>
          </rPr>
          <t>Christopher Kinchin, NREL:</t>
        </r>
        <r>
          <rPr>
            <sz val="9"/>
            <color indexed="81"/>
            <rFont val="Tahoma"/>
            <family val="2"/>
          </rPr>
          <t xml:space="preserve">
5% of FCI, excluding land.</t>
        </r>
      </text>
    </comment>
    <comment ref="P54" authorId="0" shapeId="0" xr:uid="{5FE1FC87-6DE6-49F6-9A19-4D8CEE0DA70D}">
      <text>
        <r>
          <rPr>
            <b/>
            <sz val="9"/>
            <color indexed="81"/>
            <rFont val="Tahoma"/>
            <family val="2"/>
          </rPr>
          <t>Christopher Kinchin, NREL:</t>
        </r>
        <r>
          <rPr>
            <sz val="9"/>
            <color indexed="81"/>
            <rFont val="Tahoma"/>
            <family val="2"/>
          </rPr>
          <t xml:space="preserve">
5% of FCI.</t>
        </r>
      </text>
    </comment>
    <comment ref="Q54" authorId="0" shapeId="0" xr:uid="{8B3B1A43-0FD1-4A50-BF06-7B27877E3A8B}">
      <text>
        <r>
          <rPr>
            <b/>
            <sz val="9"/>
            <color indexed="81"/>
            <rFont val="Tahoma"/>
            <family val="2"/>
          </rPr>
          <t>Christopher Kinchin, NREL:</t>
        </r>
        <r>
          <rPr>
            <sz val="9"/>
            <color indexed="81"/>
            <rFont val="Tahoma"/>
            <family val="2"/>
          </rPr>
          <t xml:space="preserve">
5% of FCI.</t>
        </r>
      </text>
    </comment>
    <comment ref="R54" authorId="0" shapeId="0" xr:uid="{3CCA84F6-7E77-4C07-9FFD-CBBFB24D2AE5}">
      <text>
        <r>
          <rPr>
            <b/>
            <sz val="9"/>
            <color indexed="81"/>
            <rFont val="Tahoma"/>
            <family val="2"/>
          </rPr>
          <t>Christopher Kinchin, NREL:</t>
        </r>
        <r>
          <rPr>
            <sz val="9"/>
            <color indexed="81"/>
            <rFont val="Tahoma"/>
            <family val="2"/>
          </rPr>
          <t xml:space="preserve">
5% of FCI.</t>
        </r>
      </text>
    </comment>
    <comment ref="S54" authorId="0" shapeId="0" xr:uid="{59B1CD55-31CC-4C62-948D-031A9B0EC79D}">
      <text>
        <r>
          <rPr>
            <b/>
            <sz val="9"/>
            <color indexed="81"/>
            <rFont val="Tahoma"/>
            <family val="2"/>
          </rPr>
          <t>Christopher Kinchin, NREL:</t>
        </r>
        <r>
          <rPr>
            <sz val="9"/>
            <color indexed="81"/>
            <rFont val="Tahoma"/>
            <family val="2"/>
          </rPr>
          <t xml:space="preserve">
5% of FCI.</t>
        </r>
      </text>
    </comment>
    <comment ref="T54" authorId="2" shapeId="0" xr:uid="{D1EEFEB6-1C4F-408B-BBBF-0BCEE671F237}">
      <text>
        <r>
          <rPr>
            <b/>
            <sz val="9"/>
            <color indexed="81"/>
            <rFont val="Tahoma"/>
            <family val="2"/>
          </rPr>
          <t>Wang, Yuxi:</t>
        </r>
        <r>
          <rPr>
            <sz val="9"/>
            <color indexed="81"/>
            <rFont val="Tahoma"/>
            <family val="2"/>
          </rPr>
          <t xml:space="preserve">
5% of FCI.</t>
        </r>
      </text>
    </comment>
    <comment ref="U54" authorId="2" shapeId="0" xr:uid="{196EEF22-B978-42BB-8580-314795760B8A}">
      <text>
        <r>
          <rPr>
            <b/>
            <sz val="9"/>
            <color indexed="81"/>
            <rFont val="Tahoma"/>
            <family val="2"/>
          </rPr>
          <t>Wang, Yuxi:</t>
        </r>
        <r>
          <rPr>
            <sz val="9"/>
            <color indexed="81"/>
            <rFont val="Tahoma"/>
            <family val="2"/>
          </rPr>
          <t xml:space="preserve">
5% of FCI.</t>
        </r>
      </text>
    </comment>
    <comment ref="A57" authorId="1" shapeId="0" xr:uid="{00000000-0006-0000-0200-000041000000}">
      <text>
        <r>
          <rPr>
            <b/>
            <sz val="9"/>
            <color indexed="81"/>
            <rFont val="Tahoma"/>
            <family val="2"/>
          </rPr>
          <t>ckinchin:</t>
        </r>
        <r>
          <rPr>
            <sz val="9"/>
            <color indexed="81"/>
            <rFont val="Tahoma"/>
            <family val="2"/>
          </rPr>
          <t xml:space="preserve">
From Calculations sheet in this workbook.</t>
        </r>
      </text>
    </comment>
    <comment ref="B59" authorId="0" shapeId="0" xr:uid="{9356FC28-1B1E-4151-83BB-2FF5441992E5}">
      <text>
        <r>
          <rPr>
            <b/>
            <sz val="9"/>
            <color indexed="81"/>
            <rFont val="Tahoma"/>
            <family val="2"/>
          </rPr>
          <t>Christopher Kinchin, NREL:</t>
        </r>
        <r>
          <rPr>
            <sz val="9"/>
            <color indexed="81"/>
            <rFont val="Tahoma"/>
            <family val="2"/>
          </rPr>
          <t xml:space="preserve">
Calculated from feedstock cost per dry metric ton and nameplate capacity.</t>
        </r>
      </text>
    </comment>
    <comment ref="C59" authorId="0" shapeId="0" xr:uid="{437A1CCE-E82F-4579-B102-5402DD7D39E1}">
      <text>
        <r>
          <rPr>
            <b/>
            <sz val="9"/>
            <color indexed="81"/>
            <rFont val="Tahoma"/>
            <family val="2"/>
          </rPr>
          <t>Christopher Kinchin, NREL:</t>
        </r>
        <r>
          <rPr>
            <sz val="9"/>
            <color indexed="81"/>
            <rFont val="Tahoma"/>
            <family val="2"/>
          </rPr>
          <t xml:space="preserve">
Calculated from feedstock cost per dry metric ton and nameplate capacity.</t>
        </r>
      </text>
    </comment>
    <comment ref="P61" authorId="0" shapeId="0" xr:uid="{BC512DBF-E0D0-4F04-A615-3BF242358A8E}">
      <text>
        <r>
          <rPr>
            <b/>
            <sz val="9"/>
            <color indexed="81"/>
            <rFont val="Tahoma"/>
            <family val="2"/>
          </rPr>
          <t>Christopher Kinchin, NREL:</t>
        </r>
        <r>
          <rPr>
            <sz val="9"/>
            <color indexed="81"/>
            <rFont val="Tahoma"/>
            <family val="2"/>
          </rPr>
          <t xml:space="preserve">
For reformer.</t>
        </r>
      </text>
    </comment>
    <comment ref="Q61" authorId="0" shapeId="0" xr:uid="{1F9F6A3D-BA10-4712-9584-DD851BEC559B}">
      <text>
        <r>
          <rPr>
            <b/>
            <sz val="9"/>
            <color indexed="81"/>
            <rFont val="Tahoma"/>
            <family val="2"/>
          </rPr>
          <t>Christopher Kinchin, NREL:</t>
        </r>
        <r>
          <rPr>
            <sz val="9"/>
            <color indexed="81"/>
            <rFont val="Tahoma"/>
            <family val="2"/>
          </rPr>
          <t xml:space="preserve">
For reformer.</t>
        </r>
      </text>
    </comment>
    <comment ref="C62" authorId="1" shapeId="0" xr:uid="{00000000-0006-0000-0200-000044000000}">
      <text>
        <r>
          <rPr>
            <b/>
            <sz val="9"/>
            <color indexed="81"/>
            <rFont val="Tahoma"/>
            <family val="2"/>
          </rPr>
          <t>ckinchin:</t>
        </r>
        <r>
          <rPr>
            <sz val="9"/>
            <color indexed="81"/>
            <rFont val="Tahoma"/>
            <family val="2"/>
          </rPr>
          <t xml:space="preserve">
Includes chemicals
</t>
        </r>
      </text>
    </comment>
    <comment ref="G62" authorId="1" shapeId="0" xr:uid="{00000000-0006-0000-0200-000045000000}">
      <text>
        <r>
          <rPr>
            <b/>
            <sz val="9"/>
            <color indexed="81"/>
            <rFont val="Tahoma"/>
            <family val="2"/>
          </rPr>
          <t>ckinchin:</t>
        </r>
        <r>
          <rPr>
            <sz val="9"/>
            <color indexed="81"/>
            <rFont val="Tahoma"/>
            <family val="2"/>
          </rPr>
          <t xml:space="preserve">
Includes chemicals.</t>
        </r>
      </text>
    </comment>
    <comment ref="H62" authorId="1" shapeId="0" xr:uid="{00000000-0006-0000-0200-000046000000}">
      <text>
        <r>
          <rPr>
            <b/>
            <sz val="9"/>
            <color indexed="81"/>
            <rFont val="Tahoma"/>
            <family val="2"/>
          </rPr>
          <t>ckinchin:</t>
        </r>
        <r>
          <rPr>
            <sz val="9"/>
            <color indexed="81"/>
            <rFont val="Tahoma"/>
            <family val="2"/>
          </rPr>
          <t xml:space="preserve">
Includes chemicals.</t>
        </r>
      </text>
    </comment>
    <comment ref="I62" authorId="1" shapeId="0" xr:uid="{00000000-0006-0000-0200-000047000000}">
      <text>
        <r>
          <rPr>
            <b/>
            <sz val="9"/>
            <color indexed="81"/>
            <rFont val="Tahoma"/>
            <family val="2"/>
          </rPr>
          <t>ckinchin:</t>
        </r>
        <r>
          <rPr>
            <sz val="9"/>
            <color indexed="81"/>
            <rFont val="Tahoma"/>
            <family val="2"/>
          </rPr>
          <t xml:space="preserve">
Includes chemicals.</t>
        </r>
      </text>
    </comment>
    <comment ref="P62" authorId="0" shapeId="0" xr:uid="{BD6C7FF1-F073-421E-887F-DD5AC34995DD}">
      <text>
        <r>
          <rPr>
            <b/>
            <sz val="9"/>
            <color indexed="81"/>
            <rFont val="Tahoma"/>
            <family val="2"/>
          </rPr>
          <t>Christopher Kinchin, NREL:</t>
        </r>
        <r>
          <rPr>
            <sz val="9"/>
            <color indexed="81"/>
            <rFont val="Tahoma"/>
            <family val="2"/>
          </rPr>
          <t xml:space="preserve">
Hydroisomerization catalyst.</t>
        </r>
      </text>
    </comment>
    <comment ref="Q62" authorId="0" shapeId="0" xr:uid="{CC05A332-8558-40ED-8128-F74DE875FDA1}">
      <text>
        <r>
          <rPr>
            <b/>
            <sz val="9"/>
            <color indexed="81"/>
            <rFont val="Tahoma"/>
            <family val="2"/>
          </rPr>
          <t>Christopher Kinchin, NREL:</t>
        </r>
        <r>
          <rPr>
            <sz val="9"/>
            <color indexed="81"/>
            <rFont val="Tahoma"/>
            <family val="2"/>
          </rPr>
          <t xml:space="preserve">
Hydroisomerization catalyst.</t>
        </r>
      </text>
    </comment>
    <comment ref="R62" authorId="0" shapeId="0" xr:uid="{14FBD6FF-107B-4DD4-B2BB-51432517A354}">
      <text>
        <r>
          <rPr>
            <b/>
            <sz val="9"/>
            <color indexed="81"/>
            <rFont val="Tahoma"/>
            <family val="2"/>
          </rPr>
          <t>Christopher Kinchin, NREL:</t>
        </r>
        <r>
          <rPr>
            <sz val="9"/>
            <color indexed="81"/>
            <rFont val="Tahoma"/>
            <family val="2"/>
          </rPr>
          <t xml:space="preserve">
Includes average annual cost of multiple catalysts, including zinc oxide catalyst, tar reforming catalyst, methanol synthesis catalyst, DME conversion catalyst, and beta-zeolyte catalyst.</t>
        </r>
      </text>
    </comment>
    <comment ref="S62" authorId="0" shapeId="0" xr:uid="{A4B2048D-993C-44F9-ADAD-2E7B2D0C1F75}">
      <text>
        <r>
          <rPr>
            <b/>
            <sz val="9"/>
            <color indexed="81"/>
            <rFont val="Tahoma"/>
            <family val="2"/>
          </rPr>
          <t>Christopher Kinchin, NREL:</t>
        </r>
        <r>
          <rPr>
            <sz val="9"/>
            <color indexed="81"/>
            <rFont val="Tahoma"/>
            <family val="2"/>
          </rPr>
          <t xml:space="preserve">
Includes average annual cost of multiple catalysts, including zinc oxide catalyst, tar reforming catalyst, methanol synthesis catalyst, DME conversion catalyst, and beta-zeolyte catalyst.</t>
        </r>
      </text>
    </comment>
    <comment ref="B63" authorId="0" shapeId="0" xr:uid="{0DAE5984-1F94-4395-B12E-C2ACC0044770}">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63" authorId="0" shapeId="0" xr:uid="{3C30C52E-4BD0-4633-B6BB-B4663BB8EA3D}">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M64" authorId="0" shapeId="0" xr:uid="{0E819964-016A-44D6-8F4F-F7499235D943}">
      <text>
        <r>
          <rPr>
            <b/>
            <sz val="9"/>
            <color indexed="81"/>
            <rFont val="Tahoma"/>
            <family val="2"/>
          </rPr>
          <t>Christopher Kinchin, NREL:</t>
        </r>
        <r>
          <rPr>
            <sz val="9"/>
            <color indexed="81"/>
            <rFont val="Tahoma"/>
            <family val="2"/>
          </rPr>
          <t xml:space="preserve">
Olivine and magnesium oxide.</t>
        </r>
      </text>
    </comment>
    <comment ref="N64" authorId="0" shapeId="0" xr:uid="{6B2775F7-8536-4384-ADF3-3C6E84C4D841}">
      <text>
        <r>
          <rPr>
            <b/>
            <sz val="9"/>
            <color indexed="81"/>
            <rFont val="Tahoma"/>
            <family val="2"/>
          </rPr>
          <t>Christopher Kinchin, NREL:</t>
        </r>
        <r>
          <rPr>
            <sz val="9"/>
            <color indexed="81"/>
            <rFont val="Tahoma"/>
            <family val="2"/>
          </rPr>
          <t xml:space="preserve">
Olivine and magnesium oxide.</t>
        </r>
      </text>
    </comment>
    <comment ref="O64" authorId="0" shapeId="0" xr:uid="{287621C9-9571-41A2-8A25-238EC5B2B4CD}">
      <text>
        <r>
          <rPr>
            <b/>
            <sz val="9"/>
            <color indexed="81"/>
            <rFont val="Tahoma"/>
            <family val="2"/>
          </rPr>
          <t>Christopher Kinchin, NREL:</t>
        </r>
        <r>
          <rPr>
            <sz val="9"/>
            <color indexed="81"/>
            <rFont val="Tahoma"/>
            <family val="2"/>
          </rPr>
          <t xml:space="preserve">
Olivine and magnesium oxide.</t>
        </r>
      </text>
    </comment>
    <comment ref="J77" authorId="0" shapeId="0" xr:uid="{A8770422-9A7D-43EA-A428-B732BA3288B6}">
      <text>
        <r>
          <rPr>
            <b/>
            <sz val="9"/>
            <color indexed="81"/>
            <rFont val="Tahoma"/>
            <family val="2"/>
          </rPr>
          <t>Christopher Kinchin, NREL:</t>
        </r>
        <r>
          <rPr>
            <sz val="9"/>
            <color indexed="81"/>
            <rFont val="Tahoma"/>
            <family val="2"/>
          </rPr>
          <t xml:space="preserve">
Includes LO-CAT Chemicals and Dimethyl Disulfide.</t>
        </r>
      </text>
    </comment>
    <comment ref="K77" authorId="0" shapeId="0" xr:uid="{25ADF480-259C-43F1-88BB-2F3E841F7CDF}">
      <text>
        <r>
          <rPr>
            <b/>
            <sz val="9"/>
            <color indexed="81"/>
            <rFont val="Tahoma"/>
            <family val="2"/>
          </rPr>
          <t>Christopher Kinchin, NREL:</t>
        </r>
        <r>
          <rPr>
            <sz val="9"/>
            <color indexed="81"/>
            <rFont val="Tahoma"/>
            <family val="2"/>
          </rPr>
          <t xml:space="preserve">
Includes 50 wt% caustic.</t>
        </r>
      </text>
    </comment>
    <comment ref="L78" authorId="0" shapeId="0" xr:uid="{C3B79759-F8B7-49BB-B0BA-EB854D44F320}">
      <text>
        <r>
          <rPr>
            <b/>
            <sz val="9"/>
            <color indexed="81"/>
            <rFont val="Tahoma"/>
            <family val="2"/>
          </rPr>
          <t>Christopher Kinchin, NREL:</t>
        </r>
        <r>
          <rPr>
            <sz val="9"/>
            <color indexed="81"/>
            <rFont val="Tahoma"/>
            <family val="2"/>
          </rPr>
          <t xml:space="preserve">
Includes 50 wt% caustic.</t>
        </r>
      </text>
    </comment>
    <comment ref="B79" authorId="0" shapeId="0" xr:uid="{9146E448-AA51-48B7-B54B-10064A4372EC}">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79" authorId="0" shapeId="0" xr:uid="{E309CECF-B6C8-45AE-9598-EA0DCE9F308C}">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J79" authorId="0" shapeId="0" xr:uid="{AA6DB3BE-3245-44E1-90A5-2F6DF40B5FDD}">
      <text>
        <r>
          <rPr>
            <b/>
            <sz val="9"/>
            <color indexed="81"/>
            <rFont val="Tahoma"/>
            <family val="2"/>
          </rPr>
          <t>Christopher Kinchin, NREL:</t>
        </r>
        <r>
          <rPr>
            <sz val="9"/>
            <color indexed="81"/>
            <rFont val="Tahoma"/>
            <family val="2"/>
          </rPr>
          <t xml:space="preserve">
Includes sand and ash purge, tar reformer catalysts disposal, and scrubber solids disposal.  Almost all cost is due to sand and ash purge.</t>
        </r>
      </text>
    </comment>
    <comment ref="K79" authorId="0" shapeId="0" xr:uid="{9F32BCEB-1C66-4C7C-B856-3C9B37B9A395}">
      <text>
        <r>
          <rPr>
            <b/>
            <sz val="9"/>
            <color indexed="81"/>
            <rFont val="Tahoma"/>
            <family val="2"/>
          </rPr>
          <t>Christopher Kinchin, NREL:</t>
        </r>
        <r>
          <rPr>
            <sz val="9"/>
            <color indexed="81"/>
            <rFont val="Tahoma"/>
            <family val="2"/>
          </rPr>
          <t xml:space="preserve">
Includes sand and ash purge, scrubber solids, and tar reforming catalyst disposal.</t>
        </r>
      </text>
    </comment>
    <comment ref="L79" authorId="0" shapeId="0" xr:uid="{CFE1CE21-7ACE-468C-AAEC-DB2728283BF4}">
      <text>
        <r>
          <rPr>
            <b/>
            <sz val="9"/>
            <color indexed="81"/>
            <rFont val="Tahoma"/>
            <family val="2"/>
          </rPr>
          <t>Christopher Kinchin, NREL:</t>
        </r>
        <r>
          <rPr>
            <sz val="9"/>
            <color indexed="81"/>
            <rFont val="Tahoma"/>
            <family val="2"/>
          </rPr>
          <t xml:space="preserve">
Includes sand and ash purge, scrubber solids, and tar reforming catalyst disposal.</t>
        </r>
      </text>
    </comment>
    <comment ref="P79" authorId="0" shapeId="0" xr:uid="{67901D36-4D4E-41E5-ADEB-B70FD6608870}">
      <text>
        <r>
          <rPr>
            <b/>
            <sz val="9"/>
            <color indexed="81"/>
            <rFont val="Tahoma"/>
            <family val="2"/>
          </rPr>
          <t>Christopher Kinchin, NREL:</t>
        </r>
        <r>
          <rPr>
            <sz val="9"/>
            <color indexed="81"/>
            <rFont val="Tahoma"/>
            <family val="2"/>
          </rPr>
          <t xml:space="preserve">
Includes sand and ash purge, tar reformer catalyst disposal, ZnO catalyst disposal, and FT synthesis catalyst disposal.</t>
        </r>
      </text>
    </comment>
    <comment ref="Q79" authorId="0" shapeId="0" xr:uid="{4C994C8F-C3D9-4728-AD9F-F068B9F82FC6}">
      <text>
        <r>
          <rPr>
            <b/>
            <sz val="9"/>
            <color indexed="81"/>
            <rFont val="Tahoma"/>
            <family val="2"/>
          </rPr>
          <t>Christopher Kinchin, NREL:</t>
        </r>
        <r>
          <rPr>
            <sz val="9"/>
            <color indexed="81"/>
            <rFont val="Tahoma"/>
            <family val="2"/>
          </rPr>
          <t xml:space="preserve">
Includes sand and ash purge, tar reformer catalyst disposal, ZnO catalyst disposal, and FT synthesis catalyst disposal.</t>
        </r>
      </text>
    </comment>
    <comment ref="R79" authorId="0" shapeId="0" xr:uid="{AABDB29F-965C-4827-842F-628BBC7889DB}">
      <text>
        <r>
          <rPr>
            <b/>
            <sz val="9"/>
            <color indexed="81"/>
            <rFont val="Tahoma"/>
            <family val="2"/>
          </rPr>
          <t>Christopher Kinchin, NREL:</t>
        </r>
        <r>
          <rPr>
            <sz val="9"/>
            <color indexed="81"/>
            <rFont val="Tahoma"/>
            <family val="2"/>
          </rPr>
          <t xml:space="preserve">
Includes sand and ash purge, tar reformer catalyst disposal, and scrubber solids.  Almost all cost is dedicated to sand and ash purge.</t>
        </r>
      </text>
    </comment>
    <comment ref="S79" authorId="0" shapeId="0" xr:uid="{78B5A094-A2F8-4C32-9331-6207B9030F5A}">
      <text>
        <r>
          <rPr>
            <b/>
            <sz val="9"/>
            <color indexed="81"/>
            <rFont val="Tahoma"/>
            <family val="2"/>
          </rPr>
          <t>Christopher Kinchin, NREL:</t>
        </r>
        <r>
          <rPr>
            <sz val="9"/>
            <color indexed="81"/>
            <rFont val="Tahoma"/>
            <family val="2"/>
          </rPr>
          <t xml:space="preserve">
Includes sand and ash purge, tar reformer catalyst disposal, and scrubber solids.  Almost all cost is dedicated to sand and ash purge.</t>
        </r>
      </text>
    </comment>
    <comment ref="B81" authorId="0" shapeId="0" xr:uid="{B63B7223-88E0-471C-BF11-4E52DDDB2184}">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G81" authorId="1" shapeId="0" xr:uid="{00000000-0006-0000-0200-00004C000000}">
      <text>
        <r>
          <rPr>
            <b/>
            <sz val="9"/>
            <color indexed="81"/>
            <rFont val="Tahoma"/>
            <family val="2"/>
          </rPr>
          <t>ckinchin:</t>
        </r>
        <r>
          <rPr>
            <sz val="9"/>
            <color indexed="81"/>
            <rFont val="Tahoma"/>
            <family val="2"/>
          </rPr>
          <t xml:space="preserve">
Includes other utilities in addition to electricity.</t>
        </r>
      </text>
    </comment>
    <comment ref="H81" authorId="1" shapeId="0" xr:uid="{00000000-0006-0000-0200-00004D000000}">
      <text>
        <r>
          <rPr>
            <b/>
            <sz val="9"/>
            <color indexed="81"/>
            <rFont val="Tahoma"/>
            <family val="2"/>
          </rPr>
          <t>ckinchin:</t>
        </r>
        <r>
          <rPr>
            <sz val="9"/>
            <color indexed="81"/>
            <rFont val="Tahoma"/>
            <family val="2"/>
          </rPr>
          <t xml:space="preserve">
Includes other utilities in addition to electricity.</t>
        </r>
      </text>
    </comment>
    <comment ref="I81" authorId="1" shapeId="0" xr:uid="{00000000-0006-0000-0200-00004E000000}">
      <text>
        <r>
          <rPr>
            <b/>
            <sz val="9"/>
            <color indexed="81"/>
            <rFont val="Tahoma"/>
            <family val="2"/>
          </rPr>
          <t>ckinchin:</t>
        </r>
        <r>
          <rPr>
            <sz val="9"/>
            <color indexed="81"/>
            <rFont val="Tahoma"/>
            <family val="2"/>
          </rPr>
          <t xml:space="preserve">
Includes other utilities in addition to electricity.</t>
        </r>
      </text>
    </comment>
    <comment ref="C82" authorId="0" shapeId="0" xr:uid="{5D5A4A0D-C3DB-415B-A346-43315B9603AC}">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B88" authorId="0" shapeId="0" xr:uid="{F58B8EEB-B451-449F-89F7-7202FE5B6B7A}">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G88" authorId="1" shapeId="0" xr:uid="{183DEDEE-9C49-4461-929A-AFD93C7EFDB8}">
      <text>
        <r>
          <rPr>
            <b/>
            <sz val="9"/>
            <color indexed="81"/>
            <rFont val="Tahoma"/>
            <family val="2"/>
          </rPr>
          <t>ckinchin:</t>
        </r>
        <r>
          <rPr>
            <sz val="9"/>
            <color indexed="81"/>
            <rFont val="Tahoma"/>
            <family val="2"/>
          </rPr>
          <t xml:space="preserve">
Coproduct is LPG.</t>
        </r>
      </text>
    </comment>
    <comment ref="H88" authorId="1" shapeId="0" xr:uid="{A3A2724C-2E84-4CB1-9F99-9F215E9748AF}">
      <text>
        <r>
          <rPr>
            <b/>
            <sz val="9"/>
            <color indexed="81"/>
            <rFont val="Tahoma"/>
            <family val="2"/>
          </rPr>
          <t>ckinchin:</t>
        </r>
        <r>
          <rPr>
            <sz val="9"/>
            <color indexed="81"/>
            <rFont val="Tahoma"/>
            <family val="2"/>
          </rPr>
          <t xml:space="preserve">
Coproduct is LPG.</t>
        </r>
      </text>
    </comment>
    <comment ref="I88" authorId="1" shapeId="0" xr:uid="{6F5A0851-9F64-4BEF-9A04-2D18B1AF2BBB}">
      <text>
        <r>
          <rPr>
            <b/>
            <sz val="9"/>
            <color indexed="81"/>
            <rFont val="Tahoma"/>
            <family val="2"/>
          </rPr>
          <t>ckinchin:</t>
        </r>
        <r>
          <rPr>
            <sz val="9"/>
            <color indexed="81"/>
            <rFont val="Tahoma"/>
            <family val="2"/>
          </rPr>
          <t xml:space="preserve">
Coproduct is LPG.</t>
        </r>
      </text>
    </comment>
    <comment ref="B89" authorId="0" shapeId="0" xr:uid="{C6542AC1-CE2F-4D91-97B6-6EAF94607035}">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89" authorId="0" shapeId="0" xr:uid="{C1CAD805-90A8-4869-ADE1-B38C62265B18}">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D91" authorId="1" shapeId="0" xr:uid="{00000000-0006-0000-0200-000055000000}">
      <text>
        <r>
          <rPr>
            <b/>
            <sz val="9"/>
            <color indexed="81"/>
            <rFont val="Tahoma"/>
            <family val="2"/>
          </rPr>
          <t>ckinchin:</t>
        </r>
        <r>
          <rPr>
            <sz val="9"/>
            <color indexed="81"/>
            <rFont val="Tahoma"/>
            <family val="2"/>
          </rPr>
          <t xml:space="preserve">
60% of Labor and Supervision.</t>
        </r>
      </text>
    </comment>
    <comment ref="E91" authorId="1" shapeId="0" xr:uid="{00000000-0006-0000-0200-000056000000}">
      <text>
        <r>
          <rPr>
            <b/>
            <sz val="9"/>
            <color indexed="81"/>
            <rFont val="Tahoma"/>
            <family val="2"/>
          </rPr>
          <t>ckinchin:</t>
        </r>
        <r>
          <rPr>
            <sz val="9"/>
            <color indexed="81"/>
            <rFont val="Tahoma"/>
            <family val="2"/>
          </rPr>
          <t xml:space="preserve">
60% of Labor and Supervision.</t>
        </r>
      </text>
    </comment>
    <comment ref="J91" authorId="0" shapeId="0" xr:uid="{EB506506-14FC-4308-91F6-64FFCB361527}">
      <text>
        <r>
          <rPr>
            <b/>
            <sz val="9"/>
            <color indexed="81"/>
            <rFont val="Tahoma"/>
            <family val="2"/>
          </rPr>
          <t>Christopher Kinchin, NREL:</t>
        </r>
        <r>
          <rPr>
            <sz val="9"/>
            <color indexed="81"/>
            <rFont val="Tahoma"/>
            <family val="2"/>
          </rPr>
          <t xml:space="preserve">
90% of Employee Salaries.</t>
        </r>
      </text>
    </comment>
    <comment ref="K91" authorId="0" shapeId="0" xr:uid="{A92B2DD4-4AAF-41C8-838B-AA19C6CF9B37}">
      <text>
        <r>
          <rPr>
            <b/>
            <sz val="9"/>
            <color indexed="81"/>
            <rFont val="Tahoma"/>
            <family val="2"/>
          </rPr>
          <t>Christopher Kinchin, NREL:</t>
        </r>
        <r>
          <rPr>
            <sz val="9"/>
            <color indexed="81"/>
            <rFont val="Tahoma"/>
            <family val="2"/>
          </rPr>
          <t xml:space="preserve">
90% of Labor and Supervision.</t>
        </r>
      </text>
    </comment>
    <comment ref="L91" authorId="0" shapeId="0" xr:uid="{F108FCE2-0C3D-4C55-BECA-A048547D8E23}">
      <text>
        <r>
          <rPr>
            <b/>
            <sz val="9"/>
            <color indexed="81"/>
            <rFont val="Tahoma"/>
            <family val="2"/>
          </rPr>
          <t>Christopher Kinchin, NREL:</t>
        </r>
        <r>
          <rPr>
            <sz val="9"/>
            <color indexed="81"/>
            <rFont val="Tahoma"/>
            <family val="2"/>
          </rPr>
          <t xml:space="preserve">
90% of Labor and Supervision.</t>
        </r>
      </text>
    </comment>
    <comment ref="P91" authorId="0" shapeId="0" xr:uid="{16F45894-E8B3-42BA-B2AC-E10577F43A63}">
      <text>
        <r>
          <rPr>
            <b/>
            <sz val="9"/>
            <color indexed="81"/>
            <rFont val="Tahoma"/>
            <family val="2"/>
          </rPr>
          <t>Christopher Kinchin, NREL:</t>
        </r>
        <r>
          <rPr>
            <sz val="9"/>
            <color indexed="81"/>
            <rFont val="Tahoma"/>
            <family val="2"/>
          </rPr>
          <t xml:space="preserve">
90% of Labor and Supervision (Employee Salaries).</t>
        </r>
      </text>
    </comment>
    <comment ref="Q91" authorId="0" shapeId="0" xr:uid="{D0ED33EB-5016-4B18-A4DC-A9BBC6EC39FE}">
      <text>
        <r>
          <rPr>
            <b/>
            <sz val="9"/>
            <color indexed="81"/>
            <rFont val="Tahoma"/>
            <family val="2"/>
          </rPr>
          <t>Christopher Kinchin, NREL:</t>
        </r>
        <r>
          <rPr>
            <sz val="9"/>
            <color indexed="81"/>
            <rFont val="Tahoma"/>
            <family val="2"/>
          </rPr>
          <t xml:space="preserve">
90% of Labor and Supervision (Employee Salaries).</t>
        </r>
      </text>
    </comment>
    <comment ref="R91" authorId="0" shapeId="0" xr:uid="{E391C9A9-AE94-4933-98AA-EBD3DABFB97F}">
      <text>
        <r>
          <rPr>
            <b/>
            <sz val="9"/>
            <color indexed="81"/>
            <rFont val="Tahoma"/>
            <family val="2"/>
          </rPr>
          <t>Christopher Kinchin, NREL:</t>
        </r>
        <r>
          <rPr>
            <sz val="9"/>
            <color indexed="81"/>
            <rFont val="Tahoma"/>
            <family val="2"/>
          </rPr>
          <t xml:space="preserve">
90% of Labor and Supervision (Employee Salaries).</t>
        </r>
      </text>
    </comment>
    <comment ref="S91" authorId="0" shapeId="0" xr:uid="{1AFA17B7-A1FC-4486-8C0C-F2DF4D94AC86}">
      <text>
        <r>
          <rPr>
            <b/>
            <sz val="9"/>
            <color indexed="81"/>
            <rFont val="Tahoma"/>
            <family val="2"/>
          </rPr>
          <t>Christopher Kinchin, NREL:</t>
        </r>
        <r>
          <rPr>
            <sz val="9"/>
            <color indexed="81"/>
            <rFont val="Tahoma"/>
            <family val="2"/>
          </rPr>
          <t xml:space="preserve">
90% of Labor and Supervision (Employee Salaries).</t>
        </r>
      </text>
    </comment>
    <comment ref="D92" authorId="1" shapeId="0" xr:uid="{00000000-0006-0000-0200-000058000000}">
      <text>
        <r>
          <rPr>
            <b/>
            <sz val="9"/>
            <color indexed="81"/>
            <rFont val="Tahoma"/>
            <family val="2"/>
          </rPr>
          <t>ckinchin:</t>
        </r>
        <r>
          <rPr>
            <sz val="9"/>
            <color indexed="81"/>
            <rFont val="Tahoma"/>
            <family val="2"/>
          </rPr>
          <t xml:space="preserve">
2% if TIC.</t>
        </r>
      </text>
    </comment>
    <comment ref="E92" authorId="1" shapeId="0" xr:uid="{00000000-0006-0000-0200-000059000000}">
      <text>
        <r>
          <rPr>
            <b/>
            <sz val="9"/>
            <color indexed="81"/>
            <rFont val="Tahoma"/>
            <family val="2"/>
          </rPr>
          <t>ckinchin:</t>
        </r>
        <r>
          <rPr>
            <sz val="9"/>
            <color indexed="81"/>
            <rFont val="Tahoma"/>
            <family val="2"/>
          </rPr>
          <t xml:space="preserve">
2% if TIC.</t>
        </r>
      </text>
    </comment>
    <comment ref="J92" authorId="0" shapeId="0" xr:uid="{06BC4850-237D-47DD-8268-F006AF5CDD01}">
      <text>
        <r>
          <rPr>
            <b/>
            <sz val="9"/>
            <color indexed="81"/>
            <rFont val="Tahoma"/>
            <family val="2"/>
          </rPr>
          <t>Christopher Kinchin, NREL:</t>
        </r>
        <r>
          <rPr>
            <sz val="9"/>
            <color indexed="81"/>
            <rFont val="Tahoma"/>
            <family val="2"/>
          </rPr>
          <t xml:space="preserve">
3% of FCI.</t>
        </r>
      </text>
    </comment>
    <comment ref="K92" authorId="0" shapeId="0" xr:uid="{3136E43C-B065-45F6-9174-0D1B069D0A80}">
      <text>
        <r>
          <rPr>
            <b/>
            <sz val="9"/>
            <color indexed="81"/>
            <rFont val="Tahoma"/>
            <family val="2"/>
          </rPr>
          <t>Christopher Kinchin, NREL:</t>
        </r>
        <r>
          <rPr>
            <sz val="9"/>
            <color indexed="81"/>
            <rFont val="Tahoma"/>
            <family val="2"/>
          </rPr>
          <t xml:space="preserve">
3.0% of FCI.</t>
        </r>
      </text>
    </comment>
    <comment ref="L92" authorId="0" shapeId="0" xr:uid="{9519B9C4-A74D-4127-BBCD-9623B7D64C86}">
      <text>
        <r>
          <rPr>
            <b/>
            <sz val="9"/>
            <color indexed="81"/>
            <rFont val="Tahoma"/>
            <family val="2"/>
          </rPr>
          <t>Christopher Kinchin, NREL:</t>
        </r>
        <r>
          <rPr>
            <sz val="9"/>
            <color indexed="81"/>
            <rFont val="Tahoma"/>
            <family val="2"/>
          </rPr>
          <t xml:space="preserve">
3.0% of FCI.</t>
        </r>
      </text>
    </comment>
    <comment ref="P92" authorId="0" shapeId="0" xr:uid="{45C4B713-5230-4049-98AE-3870908021F3}">
      <text>
        <r>
          <rPr>
            <b/>
            <sz val="9"/>
            <color indexed="81"/>
            <rFont val="Tahoma"/>
            <family val="2"/>
          </rPr>
          <t>Christopher Kinchin, NREL:</t>
        </r>
        <r>
          <rPr>
            <sz val="9"/>
            <color indexed="81"/>
            <rFont val="Tahoma"/>
            <family val="2"/>
          </rPr>
          <t xml:space="preserve">
3% of FCI.</t>
        </r>
      </text>
    </comment>
    <comment ref="Q92" authorId="0" shapeId="0" xr:uid="{D62CD163-BD35-4340-BB8A-AB897DB7C46C}">
      <text>
        <r>
          <rPr>
            <b/>
            <sz val="9"/>
            <color indexed="81"/>
            <rFont val="Tahoma"/>
            <family val="2"/>
          </rPr>
          <t>Christopher Kinchin, NREL:</t>
        </r>
        <r>
          <rPr>
            <sz val="9"/>
            <color indexed="81"/>
            <rFont val="Tahoma"/>
            <family val="2"/>
          </rPr>
          <t xml:space="preserve">
3% of FCI.</t>
        </r>
      </text>
    </comment>
    <comment ref="R92" authorId="0" shapeId="0" xr:uid="{6347EE5C-C502-4632-8867-E1486CCDFB4F}">
      <text>
        <r>
          <rPr>
            <b/>
            <sz val="9"/>
            <color indexed="81"/>
            <rFont val="Tahoma"/>
            <family val="2"/>
          </rPr>
          <t>Christopher Kinchin, NREL:</t>
        </r>
        <r>
          <rPr>
            <sz val="9"/>
            <color indexed="81"/>
            <rFont val="Tahoma"/>
            <family val="2"/>
          </rPr>
          <t xml:space="preserve">
3% of FCI.</t>
        </r>
      </text>
    </comment>
    <comment ref="S92" authorId="0" shapeId="0" xr:uid="{CD67508D-0C3C-46F0-9D5F-879D71391FAC}">
      <text>
        <r>
          <rPr>
            <b/>
            <sz val="9"/>
            <color indexed="81"/>
            <rFont val="Tahoma"/>
            <family val="2"/>
          </rPr>
          <t>Christopher Kinchin, NREL:</t>
        </r>
        <r>
          <rPr>
            <sz val="9"/>
            <color indexed="81"/>
            <rFont val="Tahoma"/>
            <family val="2"/>
          </rPr>
          <t xml:space="preserve">
3% of FCI.</t>
        </r>
      </text>
    </comment>
    <comment ref="D93" authorId="1" shapeId="0" xr:uid="{00000000-0006-0000-0200-00005B000000}">
      <text>
        <r>
          <rPr>
            <b/>
            <sz val="9"/>
            <color indexed="81"/>
            <rFont val="Tahoma"/>
            <family val="2"/>
          </rPr>
          <t>ckinchin:</t>
        </r>
        <r>
          <rPr>
            <sz val="9"/>
            <color indexed="81"/>
            <rFont val="Tahoma"/>
            <family val="2"/>
          </rPr>
          <t xml:space="preserve">
1.5% of TIC.</t>
        </r>
      </text>
    </comment>
    <comment ref="E93" authorId="1" shapeId="0" xr:uid="{00000000-0006-0000-0200-00005C000000}">
      <text>
        <r>
          <rPr>
            <b/>
            <sz val="9"/>
            <color indexed="81"/>
            <rFont val="Tahoma"/>
            <family val="2"/>
          </rPr>
          <t>ckinchin:</t>
        </r>
        <r>
          <rPr>
            <sz val="9"/>
            <color indexed="81"/>
            <rFont val="Tahoma"/>
            <family val="2"/>
          </rPr>
          <t xml:space="preserve">
1.5% of TIC.</t>
        </r>
      </text>
    </comment>
    <comment ref="J93" authorId="0" shapeId="0" xr:uid="{186BB621-902C-4906-A804-71DC36DCF11D}">
      <text>
        <r>
          <rPr>
            <b/>
            <sz val="9"/>
            <color indexed="81"/>
            <rFont val="Tahoma"/>
            <family val="2"/>
          </rPr>
          <t>Christopher Kinchin, NREL:</t>
        </r>
        <r>
          <rPr>
            <sz val="9"/>
            <color indexed="81"/>
            <rFont val="Tahoma"/>
            <family val="2"/>
          </rPr>
          <t xml:space="preserve">
0.007 of FCI.</t>
        </r>
      </text>
    </comment>
    <comment ref="K93" authorId="0" shapeId="0" xr:uid="{1BE5856A-F528-48FA-A6B1-4F8A6E719B8D}">
      <text>
        <r>
          <rPr>
            <b/>
            <sz val="9"/>
            <color indexed="81"/>
            <rFont val="Tahoma"/>
            <family val="2"/>
          </rPr>
          <t>Christopher Kinchin, NREL:</t>
        </r>
        <r>
          <rPr>
            <sz val="9"/>
            <color indexed="81"/>
            <rFont val="Tahoma"/>
            <family val="2"/>
          </rPr>
          <t xml:space="preserve">
0.7% of FCI.</t>
        </r>
      </text>
    </comment>
    <comment ref="L93" authorId="0" shapeId="0" xr:uid="{DB96742A-EEF7-438A-BAEA-9C8AE5572304}">
      <text>
        <r>
          <rPr>
            <b/>
            <sz val="9"/>
            <color indexed="81"/>
            <rFont val="Tahoma"/>
            <family val="2"/>
          </rPr>
          <t>Christopher Kinchin, NREL:</t>
        </r>
        <r>
          <rPr>
            <sz val="9"/>
            <color indexed="81"/>
            <rFont val="Tahoma"/>
            <family val="2"/>
          </rPr>
          <t xml:space="preserve">
0.7% of FCI.</t>
        </r>
      </text>
    </comment>
    <comment ref="P93" authorId="0" shapeId="0" xr:uid="{3AFE7710-DC33-41CA-9AF7-F19C0B7E2155}">
      <text>
        <r>
          <rPr>
            <b/>
            <sz val="9"/>
            <color indexed="81"/>
            <rFont val="Tahoma"/>
            <family val="2"/>
          </rPr>
          <t>Christopher Kinchin, NREL:</t>
        </r>
        <r>
          <rPr>
            <sz val="9"/>
            <color indexed="81"/>
            <rFont val="Tahoma"/>
            <family val="2"/>
          </rPr>
          <t xml:space="preserve">
0.7% of FCI.</t>
        </r>
      </text>
    </comment>
    <comment ref="Q93" authorId="0" shapeId="0" xr:uid="{E18EE0E0-9CF2-48EA-89A0-B8C5AC99BE5E}">
      <text>
        <r>
          <rPr>
            <b/>
            <sz val="9"/>
            <color indexed="81"/>
            <rFont val="Tahoma"/>
            <family val="2"/>
          </rPr>
          <t>Christopher Kinchin, NREL:</t>
        </r>
        <r>
          <rPr>
            <sz val="9"/>
            <color indexed="81"/>
            <rFont val="Tahoma"/>
            <family val="2"/>
          </rPr>
          <t xml:space="preserve">
0.7% of FCI.</t>
        </r>
      </text>
    </comment>
    <comment ref="R93" authorId="0" shapeId="0" xr:uid="{1F45FACD-784B-4B15-9CC1-91119794FEFA}">
      <text>
        <r>
          <rPr>
            <b/>
            <sz val="9"/>
            <color indexed="81"/>
            <rFont val="Tahoma"/>
            <family val="2"/>
          </rPr>
          <t>Christopher Kinchin, NREL:</t>
        </r>
        <r>
          <rPr>
            <sz val="9"/>
            <color indexed="81"/>
            <rFont val="Tahoma"/>
            <family val="2"/>
          </rPr>
          <t xml:space="preserve">
0.7% of FCI.</t>
        </r>
      </text>
    </comment>
    <comment ref="S93" authorId="0" shapeId="0" xr:uid="{E9E0A5AD-5B2A-40CC-AD95-80E0C7013F39}">
      <text>
        <r>
          <rPr>
            <b/>
            <sz val="9"/>
            <color indexed="81"/>
            <rFont val="Tahoma"/>
            <family val="2"/>
          </rPr>
          <t>Christopher Kinchin, NREL:</t>
        </r>
        <r>
          <rPr>
            <sz val="9"/>
            <color indexed="81"/>
            <rFont val="Tahoma"/>
            <family val="2"/>
          </rPr>
          <t xml:space="preserve">
0.7% of FCI.</t>
        </r>
      </text>
    </comment>
    <comment ref="B94" authorId="0" shapeId="0" xr:uid="{507004AF-B6C9-45CE-9052-599A5AD684A1}">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94" authorId="0" shapeId="0" xr:uid="{8109B7C2-5AC0-48D1-8D35-1B4E0AFFAA68}">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B95" authorId="0" shapeId="0" xr:uid="{2BEE1AFD-B65C-45BC-9880-E3D62C5623B7}">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95" authorId="0" shapeId="0" xr:uid="{34D1ECF2-CF9C-4238-8E60-B6267B401FE0}">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B96" authorId="0" shapeId="0" xr:uid="{2E9FCCD3-4E74-432C-B145-7B3F6B6EB7EA}">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C96" authorId="0" shapeId="0" xr:uid="{38D5D019-5AB7-453B-AADC-37AB2FD9E802}">
      <text>
        <r>
          <rPr>
            <b/>
            <sz val="9"/>
            <color indexed="81"/>
            <rFont val="Tahoma"/>
            <family val="2"/>
          </rPr>
          <t>Christopher Kinchin, NREL:</t>
        </r>
        <r>
          <rPr>
            <sz val="9"/>
            <color indexed="81"/>
            <rFont val="Tahoma"/>
            <family val="2"/>
          </rPr>
          <t xml:space="preserve">
Calculated as a ratio of OPEX costs ($/gal) compared to biomass feedstock reported in Table 4-2 in the referenced publication.</t>
        </r>
      </text>
    </comment>
    <comment ref="A99" authorId="0" shapeId="0" xr:uid="{E427C6D1-AA86-4A32-B2D8-AD7156AFBA80}">
      <text>
        <r>
          <rPr>
            <b/>
            <sz val="9"/>
            <color indexed="81"/>
            <rFont val="Tahoma"/>
            <family val="2"/>
          </rPr>
          <t>Christopher Kinchin, NREL:</t>
        </r>
        <r>
          <rPr>
            <sz val="9"/>
            <color indexed="81"/>
            <rFont val="Tahoma"/>
            <family val="2"/>
          </rPr>
          <t xml:space="preserve">
This category includes catalysts replaced less frequently than annually.</t>
        </r>
      </text>
    </comment>
    <comment ref="K99" authorId="0" shapeId="0" xr:uid="{F7CDD5AA-5EE9-4B4F-BD80-60B4D5AE3CC3}">
      <text>
        <r>
          <rPr>
            <b/>
            <sz val="9"/>
            <color indexed="81"/>
            <rFont val="Tahoma"/>
            <family val="2"/>
          </rPr>
          <t>Christopher Kinchin, NREL:</t>
        </r>
        <r>
          <rPr>
            <sz val="9"/>
            <color indexed="81"/>
            <rFont val="Tahoma"/>
            <family val="2"/>
          </rPr>
          <t xml:space="preserve">
Includes Guerbet, dehydration, oligomerization, dimerization, and hydrogenation catalysts. </t>
        </r>
      </text>
    </comment>
    <comment ref="L99" authorId="0" shapeId="0" xr:uid="{2333F724-435C-4FC9-AD17-3749DAA26667}">
      <text>
        <r>
          <rPr>
            <b/>
            <sz val="9"/>
            <color indexed="81"/>
            <rFont val="Tahoma"/>
            <family val="2"/>
          </rPr>
          <t>Christopher Kinchin, NREL:</t>
        </r>
        <r>
          <rPr>
            <sz val="9"/>
            <color indexed="81"/>
            <rFont val="Tahoma"/>
            <family val="2"/>
          </rPr>
          <t xml:space="preserve">
Includes Guerbet, dehydration, oligomerization, dimerization, and hydrogenation catalysts. </t>
        </r>
      </text>
    </comment>
    <comment ref="G107" authorId="1" shapeId="0" xr:uid="{00000000-0006-0000-0200-000060000000}">
      <text>
        <r>
          <rPr>
            <b/>
            <sz val="9"/>
            <color indexed="81"/>
            <rFont val="Tahoma"/>
            <family val="2"/>
          </rPr>
          <t>ckinchin:</t>
        </r>
        <r>
          <rPr>
            <sz val="9"/>
            <color indexed="81"/>
            <rFont val="Tahoma"/>
            <family val="2"/>
          </rPr>
          <t xml:space="preserve">
Working Capital is never mentioned in the source document, therefore this value is an assumption based on previous design reports.</t>
        </r>
      </text>
    </comment>
    <comment ref="H107" authorId="1" shapeId="0" xr:uid="{00000000-0006-0000-0200-000061000000}">
      <text>
        <r>
          <rPr>
            <b/>
            <sz val="9"/>
            <color indexed="81"/>
            <rFont val="Tahoma"/>
            <family val="2"/>
          </rPr>
          <t>ckinchin:</t>
        </r>
        <r>
          <rPr>
            <sz val="9"/>
            <color indexed="81"/>
            <rFont val="Tahoma"/>
            <family val="2"/>
          </rPr>
          <t xml:space="preserve">
Working Capital is never mentioned in the source document, therefore this value is an assumption based on previous design reports.</t>
        </r>
      </text>
    </comment>
    <comment ref="I107" authorId="1" shapeId="0" xr:uid="{00000000-0006-0000-0200-000062000000}">
      <text>
        <r>
          <rPr>
            <b/>
            <sz val="9"/>
            <color indexed="81"/>
            <rFont val="Tahoma"/>
            <family val="2"/>
          </rPr>
          <t>ckinchin:</t>
        </r>
        <r>
          <rPr>
            <sz val="9"/>
            <color indexed="81"/>
            <rFont val="Tahoma"/>
            <family val="2"/>
          </rPr>
          <t xml:space="preserve">
Working Capital is never mentioned in the source document, therefore this value is an assumption based on previous design reports.</t>
        </r>
      </text>
    </comment>
    <comment ref="B129" authorId="1" shapeId="0" xr:uid="{00000000-0006-0000-0200-000063000000}">
      <text>
        <r>
          <rPr>
            <b/>
            <sz val="9"/>
            <color indexed="81"/>
            <rFont val="Tahoma"/>
            <family val="2"/>
          </rPr>
          <t>ckinchin:</t>
        </r>
        <r>
          <rPr>
            <sz val="9"/>
            <color indexed="81"/>
            <rFont val="Tahoma"/>
            <family val="2"/>
          </rPr>
          <t xml:space="preserve">
Does not include LPG co-product.</t>
        </r>
      </text>
    </comment>
    <comment ref="C129" authorId="1" shapeId="0" xr:uid="{00000000-0006-0000-0200-000064000000}">
      <text>
        <r>
          <rPr>
            <b/>
            <sz val="9"/>
            <color indexed="81"/>
            <rFont val="Tahoma"/>
            <family val="2"/>
          </rPr>
          <t>ckinchin:</t>
        </r>
        <r>
          <rPr>
            <sz val="9"/>
            <color indexed="81"/>
            <rFont val="Tahoma"/>
            <family val="2"/>
          </rPr>
          <t xml:space="preserve">
No LPG co-product for this case.</t>
        </r>
      </text>
    </comment>
    <comment ref="B134" authorId="1" shapeId="0" xr:uid="{00000000-0006-0000-0200-000065000000}">
      <text>
        <r>
          <rPr>
            <b/>
            <sz val="9"/>
            <color indexed="81"/>
            <rFont val="Tahoma"/>
            <family val="2"/>
          </rPr>
          <t>ckinchin:</t>
        </r>
        <r>
          <rPr>
            <sz val="9"/>
            <color indexed="81"/>
            <rFont val="Tahoma"/>
            <family val="2"/>
          </rPr>
          <t xml:space="preserve">
Does not include LPG co-product.</t>
        </r>
      </text>
    </comment>
    <comment ref="C134" authorId="1" shapeId="0" xr:uid="{00000000-0006-0000-0200-000066000000}">
      <text>
        <r>
          <rPr>
            <b/>
            <sz val="9"/>
            <color indexed="81"/>
            <rFont val="Tahoma"/>
            <family val="2"/>
          </rPr>
          <t>ckinchin:</t>
        </r>
        <r>
          <rPr>
            <sz val="9"/>
            <color indexed="81"/>
            <rFont val="Tahoma"/>
            <family val="2"/>
          </rPr>
          <t xml:space="preserve">
No LPG co-product for this case.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Christopher Kinchin, NREL</author>
    <author>Wang, Yuxi</author>
    <author>ckinchin</author>
  </authors>
  <commentList>
    <comment ref="F10" authorId="0" shapeId="0" xr:uid="{75E94FFA-C915-44D0-B2C0-F4B67BE71BCE}">
      <text>
        <r>
          <rPr>
            <b/>
            <sz val="9"/>
            <color indexed="81"/>
            <rFont val="Tahoma"/>
            <family val="2"/>
          </rPr>
          <t>Christopher Kinchin, NREL:</t>
        </r>
        <r>
          <rPr>
            <sz val="9"/>
            <color indexed="81"/>
            <rFont val="Tahoma"/>
            <family val="2"/>
          </rPr>
          <t xml:space="preserve">
From Table 38 in 2014 INL feedstock supply report "Feedstock Supply System Design and Analysis, The Feedstock Logistics Design Case for Multiple Conversion Pathways”.
https://bioenergy.inl.gov/Reports/Feedstock%20Supply%20System%20Design%20and%20Analysis.pdf
</t>
        </r>
      </text>
    </comment>
    <comment ref="G10" authorId="0" shapeId="0" xr:uid="{32C7DC6F-9BFF-40E5-B49A-37626FAA8CB5}">
      <text>
        <r>
          <rPr>
            <b/>
            <sz val="9"/>
            <color indexed="81"/>
            <rFont val="Tahoma"/>
            <family val="2"/>
          </rPr>
          <t>Christopher Kinchin, NREL:</t>
        </r>
        <r>
          <rPr>
            <sz val="9"/>
            <color indexed="81"/>
            <rFont val="Tahoma"/>
            <family val="2"/>
          </rPr>
          <t xml:space="preserve">
From Table 38 in 2014 INL feedstock supply report "Feedstock Supply System Design and Analysis, The Feedstock Logistics Design Case for Multiple Conversion Pathways”.
https://bioenergy.inl.gov/Reports/Feedstock%20Supply%20System%20Design%20and%20Analysis.pdf
</t>
        </r>
      </text>
    </comment>
    <comment ref="F11" authorId="0" shapeId="0" xr:uid="{D2F071CA-350D-4F90-9C20-4C8A5442CEBF}">
      <text>
        <r>
          <rPr>
            <b/>
            <sz val="9"/>
            <color indexed="81"/>
            <rFont val="Tahoma"/>
            <family val="2"/>
          </rPr>
          <t>Christopher Kinchin, NREL:</t>
        </r>
        <r>
          <rPr>
            <sz val="9"/>
            <color indexed="81"/>
            <rFont val="Tahoma"/>
            <family val="2"/>
          </rPr>
          <t xml:space="preserve">
Includes capital up to throat of the pyrloyzer.</t>
        </r>
      </text>
    </comment>
    <comment ref="G11" authorId="0" shapeId="0" xr:uid="{B61AAC39-8A0D-4F13-8DD9-A4036BD143EB}">
      <text>
        <r>
          <rPr>
            <b/>
            <sz val="9"/>
            <color indexed="81"/>
            <rFont val="Tahoma"/>
            <family val="2"/>
          </rPr>
          <t>Christopher Kinchin, NREL:</t>
        </r>
        <r>
          <rPr>
            <sz val="9"/>
            <color indexed="81"/>
            <rFont val="Tahoma"/>
            <family val="2"/>
          </rPr>
          <t xml:space="preserve">
Includes capital up to throat of the pyrloyzer.</t>
        </r>
      </text>
    </comment>
    <comment ref="H11" authorId="0" shapeId="0" xr:uid="{A29FB0DE-C6B1-44AA-BA0F-3A492935045E}">
      <text>
        <r>
          <rPr>
            <b/>
            <sz val="9"/>
            <color indexed="81"/>
            <rFont val="Tahoma"/>
            <family val="2"/>
          </rPr>
          <t>Christopher Kinchin, NREL:</t>
        </r>
        <r>
          <rPr>
            <sz val="9"/>
            <color indexed="81"/>
            <rFont val="Tahoma"/>
            <family val="2"/>
          </rPr>
          <t xml:space="preserve">
Includes capital up to throat of the pyrloyzer.</t>
        </r>
      </text>
    </comment>
    <comment ref="I11" authorId="0" shapeId="0" xr:uid="{624A427C-5D79-4B71-AFFF-D4CEBD49405C}">
      <text>
        <r>
          <rPr>
            <b/>
            <sz val="9"/>
            <color indexed="81"/>
            <rFont val="Tahoma"/>
            <family val="2"/>
          </rPr>
          <t>Christopher Kinchin, NREL:</t>
        </r>
        <r>
          <rPr>
            <sz val="9"/>
            <color indexed="81"/>
            <rFont val="Tahoma"/>
            <family val="2"/>
          </rPr>
          <t xml:space="preserve">
Includes capital up to throat of the pyrloyzer.</t>
        </r>
      </text>
    </comment>
    <comment ref="J11" authorId="1" shapeId="0" xr:uid="{7B35C6F0-E9EF-4CDC-8939-B90CCEB84822}">
      <text>
        <r>
          <rPr>
            <b/>
            <sz val="9"/>
            <color indexed="81"/>
            <rFont val="Tahoma"/>
            <family val="2"/>
          </rPr>
          <t>Wang, Yuxi:</t>
        </r>
        <r>
          <rPr>
            <sz val="9"/>
            <color indexed="81"/>
            <rFont val="Tahoma"/>
            <family val="2"/>
          </rPr>
          <t xml:space="preserve">
Includes capital up to throat of pyrolyzer.</t>
        </r>
      </text>
    </comment>
    <comment ref="K11" authorId="1" shapeId="0" xr:uid="{F1A46AFA-48FA-4D6C-9158-5961CFF1AF85}">
      <text>
        <r>
          <rPr>
            <b/>
            <sz val="9"/>
            <color indexed="81"/>
            <rFont val="Tahoma"/>
            <family val="2"/>
          </rPr>
          <t>Wang, Yuxi:</t>
        </r>
        <r>
          <rPr>
            <sz val="9"/>
            <color indexed="81"/>
            <rFont val="Tahoma"/>
            <family val="2"/>
          </rPr>
          <t xml:space="preserve">
Includes capital up to throat of pyrolyzer.</t>
        </r>
      </text>
    </comment>
    <comment ref="B20" authorId="2" shapeId="0" xr:uid="{00000000-0006-0000-0300-000008000000}">
      <text>
        <r>
          <rPr>
            <b/>
            <sz val="9"/>
            <color indexed="81"/>
            <rFont val="Tahoma"/>
            <family val="2"/>
          </rPr>
          <t>ckinchin:</t>
        </r>
        <r>
          <rPr>
            <sz val="9"/>
            <color indexed="81"/>
            <rFont val="Tahoma"/>
            <family val="2"/>
          </rPr>
          <t xml:space="preserve">
Called pretreatment in source document and DCFROR spreadsheet.</t>
        </r>
      </text>
    </comment>
    <comment ref="C20" authorId="2" shapeId="0" xr:uid="{00000000-0006-0000-0300-000009000000}">
      <text>
        <r>
          <rPr>
            <b/>
            <sz val="9"/>
            <color indexed="81"/>
            <rFont val="Tahoma"/>
            <family val="2"/>
          </rPr>
          <t>ckinchin:</t>
        </r>
        <r>
          <rPr>
            <sz val="9"/>
            <color indexed="81"/>
            <rFont val="Tahoma"/>
            <family val="2"/>
          </rPr>
          <t xml:space="preserve">
Called pretreatment in source document and DCFROR spreadsheet.</t>
        </r>
      </text>
    </comment>
    <comment ref="E21" authorId="2" shapeId="0" xr:uid="{00000000-0006-0000-0300-00000F000000}">
      <text>
        <r>
          <rPr>
            <b/>
            <sz val="9"/>
            <color indexed="81"/>
            <rFont val="Tahoma"/>
            <family val="2"/>
          </rPr>
          <t>ckinchin:</t>
        </r>
        <r>
          <rPr>
            <sz val="9"/>
            <color indexed="81"/>
            <rFont val="Tahoma"/>
            <family val="2"/>
          </rPr>
          <t xml:space="preserve">
Includes quench, pyrolysis oil filters, and other equipment from filtration and heat recovery section, minus BFW heater and steam generator.
</t>
        </r>
      </text>
    </comment>
    <comment ref="F21" authorId="0" shapeId="0" xr:uid="{7C595268-EE9B-4B6F-B6A6-68761B8C38CF}">
      <text>
        <r>
          <rPr>
            <b/>
            <sz val="9"/>
            <color indexed="81"/>
            <rFont val="Tahoma"/>
            <family val="2"/>
          </rPr>
          <t>Christopher Kinchin, NREL:</t>
        </r>
        <r>
          <rPr>
            <sz val="9"/>
            <color indexed="81"/>
            <rFont val="Tahoma"/>
            <family val="2"/>
          </rPr>
          <t xml:space="preserve">
Includes vapor upgrading.</t>
        </r>
      </text>
    </comment>
    <comment ref="G21" authorId="0" shapeId="0" xr:uid="{772DE92D-1494-4581-A713-4AFC8FC4A28D}">
      <text>
        <r>
          <rPr>
            <b/>
            <sz val="9"/>
            <color indexed="81"/>
            <rFont val="Tahoma"/>
            <family val="2"/>
          </rPr>
          <t>Christopher Kinchin, NREL:</t>
        </r>
        <r>
          <rPr>
            <sz val="9"/>
            <color indexed="81"/>
            <rFont val="Tahoma"/>
            <family val="2"/>
          </rPr>
          <t xml:space="preserve">
Includes vapor upgrading.</t>
        </r>
      </text>
    </comment>
    <comment ref="H21" authorId="0" shapeId="0" xr:uid="{CB8F17C8-45E3-4243-A73E-114DB23FADA4}">
      <text>
        <r>
          <rPr>
            <b/>
            <sz val="9"/>
            <color indexed="81"/>
            <rFont val="Tahoma"/>
            <family val="2"/>
          </rPr>
          <t>Christopher Kinchin, NREL:</t>
        </r>
        <r>
          <rPr>
            <sz val="9"/>
            <color indexed="81"/>
            <rFont val="Tahoma"/>
            <family val="2"/>
          </rPr>
          <t xml:space="preserve">
Includes vapor upgrading.</t>
        </r>
      </text>
    </comment>
    <comment ref="I21" authorId="0" shapeId="0" xr:uid="{957DE016-CB81-458E-9132-9C74997F1156}">
      <text>
        <r>
          <rPr>
            <b/>
            <sz val="9"/>
            <color indexed="81"/>
            <rFont val="Tahoma"/>
            <family val="2"/>
          </rPr>
          <t>Christopher Kinchin, NREL:</t>
        </r>
        <r>
          <rPr>
            <sz val="9"/>
            <color indexed="81"/>
            <rFont val="Tahoma"/>
            <family val="2"/>
          </rPr>
          <t xml:space="preserve">
Includes vapor upgrading.</t>
        </r>
      </text>
    </comment>
    <comment ref="J21" authorId="1" shapeId="0" xr:uid="{E78C4C76-A5B8-415C-9296-502138F75DF9}">
      <text>
        <r>
          <rPr>
            <b/>
            <sz val="9"/>
            <color indexed="81"/>
            <rFont val="Tahoma"/>
            <family val="2"/>
          </rPr>
          <t>Wang, Yuxi:</t>
        </r>
        <r>
          <rPr>
            <sz val="9"/>
            <color indexed="81"/>
            <rFont val="Tahoma"/>
            <family val="2"/>
          </rPr>
          <t xml:space="preserve">
Includes vapor upgrading.</t>
        </r>
      </text>
    </comment>
    <comment ref="K21" authorId="1" shapeId="0" xr:uid="{FDCA86E6-9EA3-41DF-8B8F-4F2686E4255E}">
      <text>
        <r>
          <rPr>
            <b/>
            <sz val="9"/>
            <color indexed="81"/>
            <rFont val="Tahoma"/>
            <family val="2"/>
          </rPr>
          <t>Wang, Yuxi:</t>
        </r>
        <r>
          <rPr>
            <sz val="9"/>
            <color indexed="81"/>
            <rFont val="Tahoma"/>
            <family val="2"/>
          </rPr>
          <t xml:space="preserve">
Includes vapor upgrading.</t>
        </r>
      </text>
    </comment>
    <comment ref="E22" authorId="2" shapeId="0" xr:uid="{00000000-0006-0000-0300-000014000000}">
      <text>
        <r>
          <rPr>
            <b/>
            <sz val="9"/>
            <color indexed="81"/>
            <rFont val="Tahoma"/>
            <family val="2"/>
          </rPr>
          <t>ckinchin:</t>
        </r>
        <r>
          <rPr>
            <sz val="9"/>
            <color indexed="81"/>
            <rFont val="Tahoma"/>
            <family val="2"/>
          </rPr>
          <t xml:space="preserve">
Included in the cost of the pyrolysis section.</t>
        </r>
      </text>
    </comment>
    <comment ref="F22" authorId="0" shapeId="0" xr:uid="{89FD86A8-3C32-4BA9-A378-DF3A70B08F73}">
      <text>
        <r>
          <rPr>
            <b/>
            <sz val="9"/>
            <color indexed="81"/>
            <rFont val="Tahoma"/>
            <family val="2"/>
          </rPr>
          <t>Christopher Kinchin, NREL:</t>
        </r>
        <r>
          <rPr>
            <sz val="9"/>
            <color indexed="81"/>
            <rFont val="Tahoma"/>
            <family val="2"/>
          </rPr>
          <t xml:space="preserve">
Includes pyrolysis vapor condensation and separation, and hydrogen recycle and water-gas shift</t>
        </r>
      </text>
    </comment>
    <comment ref="G22" authorId="0" shapeId="0" xr:uid="{539CD6F8-673F-4FB4-BA7C-2C9E8F28A4C2}">
      <text>
        <r>
          <rPr>
            <b/>
            <sz val="9"/>
            <color indexed="81"/>
            <rFont val="Tahoma"/>
            <family val="2"/>
          </rPr>
          <t>Christopher Kinchin, NREL:</t>
        </r>
        <r>
          <rPr>
            <sz val="9"/>
            <color indexed="81"/>
            <rFont val="Tahoma"/>
            <family val="2"/>
          </rPr>
          <t xml:space="preserve">
Includes pyrolysis vapor condensation and separation, and hydrogen recycle and water-gas shift</t>
        </r>
      </text>
    </comment>
    <comment ref="B23" authorId="2" shapeId="0" xr:uid="{00000000-0006-0000-0300-000019000000}">
      <text>
        <r>
          <rPr>
            <b/>
            <sz val="9"/>
            <color indexed="81"/>
            <rFont val="Tahoma"/>
            <family val="2"/>
          </rPr>
          <t>ckinchin:</t>
        </r>
        <r>
          <rPr>
            <sz val="9"/>
            <color indexed="81"/>
            <rFont val="Tahoma"/>
            <family val="2"/>
          </rPr>
          <t xml:space="preserve">
The source document reports the hydrogen plant as part of the hydroprocessing area, but using the DCFROR workbook, the cost of equipment necessary to produce hydrogen are included instead in the Hydrogen Production line of this spreadsheet.</t>
        </r>
      </text>
    </comment>
    <comment ref="F23" authorId="0" shapeId="0" xr:uid="{210A958A-9CA1-4F8F-B101-DE51B63134ED}">
      <text>
        <r>
          <rPr>
            <b/>
            <sz val="9"/>
            <color indexed="81"/>
            <rFont val="Tahoma"/>
            <family val="2"/>
          </rPr>
          <t>Christopher Kinchin, NREL:</t>
        </r>
        <r>
          <rPr>
            <sz val="9"/>
            <color indexed="81"/>
            <rFont val="Tahoma"/>
            <family val="2"/>
          </rPr>
          <t xml:space="preserve">
Includes hydroprocessing and whole oil fractionation.</t>
        </r>
      </text>
    </comment>
    <comment ref="G23" authorId="0" shapeId="0" xr:uid="{79D431DA-6C62-4FBA-A9B9-9F8631919245}">
      <text>
        <r>
          <rPr>
            <b/>
            <sz val="9"/>
            <color indexed="81"/>
            <rFont val="Tahoma"/>
            <family val="2"/>
          </rPr>
          <t>Christopher Kinchin, NREL:</t>
        </r>
        <r>
          <rPr>
            <sz val="9"/>
            <color indexed="81"/>
            <rFont val="Tahoma"/>
            <family val="2"/>
          </rPr>
          <t xml:space="preserve">
Includes hydroprocessing and whole oil fractionation.</t>
        </r>
      </text>
    </comment>
    <comment ref="E25" authorId="2" shapeId="0" xr:uid="{00000000-0006-0000-0300-00001E000000}">
      <text>
        <r>
          <rPr>
            <b/>
            <sz val="9"/>
            <color indexed="81"/>
            <rFont val="Tahoma"/>
            <family val="2"/>
          </rPr>
          <t>ckinchin:</t>
        </r>
        <r>
          <rPr>
            <sz val="9"/>
            <color indexed="81"/>
            <rFont val="Tahoma"/>
            <family val="2"/>
          </rPr>
          <t xml:space="preserve">
Hydrocracking and Separation are in the same cost section.</t>
        </r>
      </text>
    </comment>
    <comment ref="F25" authorId="2" shapeId="0" xr:uid="{704947BB-B50D-4679-9C59-48D9F03E975B}">
      <text>
        <r>
          <rPr>
            <b/>
            <sz val="9"/>
            <color indexed="81"/>
            <rFont val="Tahoma"/>
            <family val="2"/>
          </rPr>
          <t>ckinchin:</t>
        </r>
        <r>
          <rPr>
            <sz val="9"/>
            <color indexed="81"/>
            <rFont val="Tahoma"/>
            <family val="2"/>
          </rPr>
          <t xml:space="preserve">
Hydrocracking and Separation are in the same cost section.</t>
        </r>
      </text>
    </comment>
    <comment ref="B34" authorId="2" shapeId="0" xr:uid="{00000000-0006-0000-0300-000022000000}">
      <text>
        <r>
          <rPr>
            <b/>
            <sz val="9"/>
            <color indexed="81"/>
            <rFont val="Tahoma"/>
            <family val="2"/>
          </rPr>
          <t>ckinchin:</t>
        </r>
        <r>
          <rPr>
            <sz val="9"/>
            <color indexed="81"/>
            <rFont val="Tahoma"/>
            <family val="2"/>
          </rPr>
          <t xml:space="preserve">
Listed as Combustion Area in the source document.</t>
        </r>
      </text>
    </comment>
    <comment ref="C34" authorId="2" shapeId="0" xr:uid="{00000000-0006-0000-0300-000023000000}">
      <text>
        <r>
          <rPr>
            <b/>
            <sz val="9"/>
            <color indexed="81"/>
            <rFont val="Tahoma"/>
            <family val="2"/>
          </rPr>
          <t>ckinchin:</t>
        </r>
        <r>
          <rPr>
            <sz val="9"/>
            <color indexed="81"/>
            <rFont val="Tahoma"/>
            <family val="2"/>
          </rPr>
          <t xml:space="preserve">
Listed as Combustion Area in the source document.</t>
        </r>
      </text>
    </comment>
    <comment ref="E34" authorId="2" shapeId="0" xr:uid="{00000000-0006-0000-0300-000024000000}">
      <text>
        <r>
          <rPr>
            <b/>
            <sz val="9"/>
            <color indexed="81"/>
            <rFont val="Tahoma"/>
            <family val="2"/>
          </rPr>
          <t>ckinchin:</t>
        </r>
        <r>
          <rPr>
            <sz val="9"/>
            <color indexed="81"/>
            <rFont val="Tahoma"/>
            <family val="2"/>
          </rPr>
          <t xml:space="preserve">
Includes Steam Gen - Char Burner Exhaust, andBFW HTR - Char Burner Exhaust, from Filtration and Heat Recovery</t>
        </r>
      </text>
    </comment>
    <comment ref="C35" authorId="2" shapeId="0" xr:uid="{00000000-0006-0000-0300-000029000000}">
      <text>
        <r>
          <rPr>
            <b/>
            <sz val="9"/>
            <color indexed="81"/>
            <rFont val="Tahoma"/>
            <family val="2"/>
          </rPr>
          <t>ckinchin:</t>
        </r>
        <r>
          <rPr>
            <sz val="9"/>
            <color indexed="81"/>
            <rFont val="Tahoma"/>
            <family val="2"/>
          </rPr>
          <t xml:space="preserve">
The cooling tower was not included in the TIC calculation for the co-located case, but was for the stand-alone case.  Not sure if this was intentional or a mistake.</t>
        </r>
      </text>
    </comment>
    <comment ref="D37" authorId="2" shapeId="0" xr:uid="{00000000-0006-0000-0300-00002A000000}">
      <text>
        <r>
          <rPr>
            <b/>
            <sz val="9"/>
            <color indexed="81"/>
            <rFont val="Tahoma"/>
            <family val="2"/>
          </rPr>
          <t>ckinchin:</t>
        </r>
        <r>
          <rPr>
            <sz val="9"/>
            <color indexed="81"/>
            <rFont val="Tahoma"/>
            <family val="2"/>
          </rPr>
          <t xml:space="preserve">
35% of TIC (not including contingency).</t>
        </r>
      </text>
    </comment>
    <comment ref="F40" authorId="0" shapeId="0" xr:uid="{15A85FFE-7CE9-474D-9933-EA4509169DB5}">
      <text>
        <r>
          <rPr>
            <b/>
            <sz val="9"/>
            <color indexed="81"/>
            <rFont val="Tahoma"/>
            <family val="2"/>
          </rPr>
          <t>Christopher Kinchin, NREL:</t>
        </r>
        <r>
          <rPr>
            <sz val="9"/>
            <color indexed="81"/>
            <rFont val="Tahoma"/>
            <family val="2"/>
          </rPr>
          <t xml:space="preserve">
4% of ISBL.</t>
        </r>
      </text>
    </comment>
    <comment ref="G40" authorId="0" shapeId="0" xr:uid="{83FDC289-A506-41FA-BD97-B050A50BE29C}">
      <text>
        <r>
          <rPr>
            <b/>
            <sz val="9"/>
            <color indexed="81"/>
            <rFont val="Tahoma"/>
            <family val="2"/>
          </rPr>
          <t>Christopher Kinchin, NREL:</t>
        </r>
        <r>
          <rPr>
            <sz val="9"/>
            <color indexed="81"/>
            <rFont val="Tahoma"/>
            <family val="2"/>
          </rPr>
          <t xml:space="preserve">
4% of ISBL</t>
        </r>
      </text>
    </comment>
    <comment ref="H40" authorId="0" shapeId="0" xr:uid="{7A7E7B1C-3E23-4C90-B5E7-CCA39F53560A}">
      <text>
        <r>
          <rPr>
            <b/>
            <sz val="9"/>
            <color indexed="81"/>
            <rFont val="Tahoma"/>
            <family val="2"/>
          </rPr>
          <t>Christopher Kinchin, NREL:</t>
        </r>
        <r>
          <rPr>
            <sz val="9"/>
            <color indexed="81"/>
            <rFont val="Tahoma"/>
            <family val="2"/>
          </rPr>
          <t xml:space="preserve">
4% of ISBL.</t>
        </r>
      </text>
    </comment>
    <comment ref="I40" authorId="0" shapeId="0" xr:uid="{36C88D9E-6D7B-48A5-9573-EEB190F17990}">
      <text>
        <r>
          <rPr>
            <b/>
            <sz val="9"/>
            <color indexed="81"/>
            <rFont val="Tahoma"/>
            <family val="2"/>
          </rPr>
          <t>Christopher Kinchin, NREL:</t>
        </r>
        <r>
          <rPr>
            <sz val="9"/>
            <color indexed="81"/>
            <rFont val="Tahoma"/>
            <family val="2"/>
          </rPr>
          <t xml:space="preserve">
4% of ISBL.</t>
        </r>
      </text>
    </comment>
    <comment ref="J40" authorId="1" shapeId="0" xr:uid="{26134263-0782-4A5F-B565-D039B2A2FEB9}">
      <text>
        <r>
          <rPr>
            <b/>
            <sz val="9"/>
            <color indexed="81"/>
            <rFont val="Tahoma"/>
            <family val="2"/>
          </rPr>
          <t>Wang, Yuxi:</t>
        </r>
        <r>
          <rPr>
            <sz val="9"/>
            <color indexed="81"/>
            <rFont val="Tahoma"/>
            <family val="2"/>
          </rPr>
          <t xml:space="preserve">
4.0% of ISBL.</t>
        </r>
      </text>
    </comment>
    <comment ref="K40" authorId="1" shapeId="0" xr:uid="{0379A972-5B67-4772-9EA5-3F8E9D13614D}">
      <text>
        <r>
          <rPr>
            <b/>
            <sz val="9"/>
            <color indexed="81"/>
            <rFont val="Tahoma"/>
            <family val="2"/>
          </rPr>
          <t>Wang, Yuxi:</t>
        </r>
        <r>
          <rPr>
            <sz val="9"/>
            <color indexed="81"/>
            <rFont val="Tahoma"/>
            <family val="2"/>
          </rPr>
          <t xml:space="preserve">
4.0% of ISBL.</t>
        </r>
      </text>
    </comment>
    <comment ref="D41" authorId="2" shapeId="0" xr:uid="{00000000-0006-0000-0300-00002B000000}">
      <text>
        <r>
          <rPr>
            <b/>
            <sz val="9"/>
            <color indexed="81"/>
            <rFont val="Tahoma"/>
            <family val="2"/>
          </rPr>
          <t>ckinchin:</t>
        </r>
        <r>
          <rPr>
            <sz val="9"/>
            <color indexed="81"/>
            <rFont val="Tahoma"/>
            <family val="2"/>
          </rPr>
          <t xml:space="preserve">
4% of ISBL.</t>
        </r>
      </text>
    </comment>
    <comment ref="F41" authorId="0" shapeId="0" xr:uid="{656F803F-BE2B-4230-B25C-47A6EDBADA24}">
      <text>
        <r>
          <rPr>
            <b/>
            <sz val="9"/>
            <color indexed="81"/>
            <rFont val="Tahoma"/>
            <family val="2"/>
          </rPr>
          <t>Christopher Kinchin, NREL:</t>
        </r>
        <r>
          <rPr>
            <sz val="9"/>
            <color indexed="81"/>
            <rFont val="Tahoma"/>
            <family val="2"/>
          </rPr>
          <t xml:space="preserve">
10% of ISBL.</t>
        </r>
      </text>
    </comment>
    <comment ref="G41" authorId="0" shapeId="0" xr:uid="{A6EE5EE6-18AF-4761-97E4-4DCFDA5FE9E5}">
      <text>
        <r>
          <rPr>
            <b/>
            <sz val="9"/>
            <color indexed="81"/>
            <rFont val="Tahoma"/>
            <family val="2"/>
          </rPr>
          <t>Christopher Kinchin, NREL:</t>
        </r>
        <r>
          <rPr>
            <sz val="9"/>
            <color indexed="81"/>
            <rFont val="Tahoma"/>
            <family val="2"/>
          </rPr>
          <t xml:space="preserve">
10% of ISBL</t>
        </r>
      </text>
    </comment>
    <comment ref="H41" authorId="0" shapeId="0" xr:uid="{1BD85B06-7153-4E84-BF3D-6C775A010A82}">
      <text>
        <r>
          <rPr>
            <b/>
            <sz val="9"/>
            <color indexed="81"/>
            <rFont val="Tahoma"/>
            <family val="2"/>
          </rPr>
          <t>Christopher Kinchin, NREL:</t>
        </r>
        <r>
          <rPr>
            <sz val="9"/>
            <color indexed="81"/>
            <rFont val="Tahoma"/>
            <family val="2"/>
          </rPr>
          <t xml:space="preserve">
10% of ISBL.</t>
        </r>
      </text>
    </comment>
    <comment ref="I41" authorId="0" shapeId="0" xr:uid="{621B1233-016B-444C-B1E7-CD9A1785CA5A}">
      <text>
        <r>
          <rPr>
            <b/>
            <sz val="9"/>
            <color indexed="81"/>
            <rFont val="Tahoma"/>
            <family val="2"/>
          </rPr>
          <t>Christopher Kinchin, NREL:</t>
        </r>
        <r>
          <rPr>
            <sz val="9"/>
            <color indexed="81"/>
            <rFont val="Tahoma"/>
            <family val="2"/>
          </rPr>
          <t xml:space="preserve">
10% of ISBL.</t>
        </r>
      </text>
    </comment>
    <comment ref="J41" authorId="1" shapeId="0" xr:uid="{D7385808-FE71-429B-98F8-20096E6C782D}">
      <text>
        <r>
          <rPr>
            <b/>
            <sz val="9"/>
            <color indexed="81"/>
            <rFont val="Tahoma"/>
            <family val="2"/>
          </rPr>
          <t>Wang, Yuxi:</t>
        </r>
        <r>
          <rPr>
            <sz val="9"/>
            <color indexed="81"/>
            <rFont val="Tahoma"/>
            <family val="2"/>
          </rPr>
          <t xml:space="preserve">
10.0% of ISBL.</t>
        </r>
      </text>
    </comment>
    <comment ref="K41" authorId="1" shapeId="0" xr:uid="{85BD7F6E-5F86-4547-AAF9-31E1690F7FDF}">
      <text>
        <r>
          <rPr>
            <b/>
            <sz val="9"/>
            <color indexed="81"/>
            <rFont val="Tahoma"/>
            <family val="2"/>
          </rPr>
          <t>Wang, Yuxi:</t>
        </r>
        <r>
          <rPr>
            <sz val="9"/>
            <color indexed="81"/>
            <rFont val="Tahoma"/>
            <family val="2"/>
          </rPr>
          <t xml:space="preserve">
10.0% of ISBL.</t>
        </r>
      </text>
    </comment>
    <comment ref="F42" authorId="0" shapeId="0" xr:uid="{ADFAAED8-0A3E-403C-9377-D99D12EFF51F}">
      <text>
        <r>
          <rPr>
            <b/>
            <sz val="9"/>
            <color indexed="81"/>
            <rFont val="Tahoma"/>
            <family val="2"/>
          </rPr>
          <t>Christopher Kinchin, NREL:</t>
        </r>
        <r>
          <rPr>
            <sz val="9"/>
            <color indexed="81"/>
            <rFont val="Tahoma"/>
            <family val="2"/>
          </rPr>
          <t xml:space="preserve">
4.5% of ISBL.</t>
        </r>
      </text>
    </comment>
    <comment ref="G42" authorId="0" shapeId="0" xr:uid="{D1772412-BA4A-47E4-97F0-D10627DEED91}">
      <text>
        <r>
          <rPr>
            <b/>
            <sz val="9"/>
            <color indexed="81"/>
            <rFont val="Tahoma"/>
            <family val="2"/>
          </rPr>
          <t>Christopher Kinchin, NREL:</t>
        </r>
        <r>
          <rPr>
            <sz val="9"/>
            <color indexed="81"/>
            <rFont val="Tahoma"/>
            <family val="2"/>
          </rPr>
          <t xml:space="preserve">
4.5% of ISBL</t>
        </r>
      </text>
    </comment>
    <comment ref="H42" authorId="0" shapeId="0" xr:uid="{9A5730F4-5165-4162-B6A4-76052A34847D}">
      <text>
        <r>
          <rPr>
            <b/>
            <sz val="9"/>
            <color indexed="81"/>
            <rFont val="Tahoma"/>
            <family val="2"/>
          </rPr>
          <t>Christopher Kinchin, NREL:</t>
        </r>
        <r>
          <rPr>
            <sz val="9"/>
            <color indexed="81"/>
            <rFont val="Tahoma"/>
            <family val="2"/>
          </rPr>
          <t xml:space="preserve">
4.5% of ISBL.</t>
        </r>
      </text>
    </comment>
    <comment ref="I42" authorId="0" shapeId="0" xr:uid="{FA5144C8-CE83-4297-A46D-13C4A841BC60}">
      <text>
        <r>
          <rPr>
            <b/>
            <sz val="9"/>
            <color indexed="81"/>
            <rFont val="Tahoma"/>
            <family val="2"/>
          </rPr>
          <t>Christopher Kinchin, NREL:</t>
        </r>
        <r>
          <rPr>
            <sz val="9"/>
            <color indexed="81"/>
            <rFont val="Tahoma"/>
            <family val="2"/>
          </rPr>
          <t xml:space="preserve">
4.5% of ISBL.</t>
        </r>
      </text>
    </comment>
    <comment ref="J42" authorId="1" shapeId="0" xr:uid="{86646241-C3AD-49C7-A47C-DB746A344C42}">
      <text>
        <r>
          <rPr>
            <b/>
            <sz val="9"/>
            <color indexed="81"/>
            <rFont val="Tahoma"/>
            <family val="2"/>
          </rPr>
          <t>Wang, Yuxi:</t>
        </r>
        <r>
          <rPr>
            <sz val="9"/>
            <color indexed="81"/>
            <rFont val="Tahoma"/>
            <family val="2"/>
          </rPr>
          <t xml:space="preserve">
4.5% of ISBL.</t>
        </r>
      </text>
    </comment>
    <comment ref="K42" authorId="1" shapeId="0" xr:uid="{CB57C412-8D73-49C2-887B-CD333A594F0B}">
      <text>
        <r>
          <rPr>
            <b/>
            <sz val="9"/>
            <color indexed="81"/>
            <rFont val="Tahoma"/>
            <family val="2"/>
          </rPr>
          <t>Wang, Yuxi:</t>
        </r>
        <r>
          <rPr>
            <sz val="9"/>
            <color indexed="81"/>
            <rFont val="Tahoma"/>
            <family val="2"/>
          </rPr>
          <t xml:space="preserve">
4.5% of ISBL.</t>
        </r>
      </text>
    </comment>
    <comment ref="D43" authorId="2" shapeId="0" xr:uid="{00000000-0006-0000-0300-00002C000000}">
      <text>
        <r>
          <rPr>
            <b/>
            <sz val="9"/>
            <color indexed="81"/>
            <rFont val="Tahoma"/>
            <family val="2"/>
          </rPr>
          <t>ckinchin:</t>
        </r>
        <r>
          <rPr>
            <sz val="9"/>
            <color indexed="81"/>
            <rFont val="Tahoma"/>
            <family val="2"/>
          </rPr>
          <t xml:space="preserve">
There is a mistake in the technical report here.  In the report, land is considered a direct cost, and is therefore included in the Total Direct Cost (TDC) calculation.  TDC is reported as $118,359751.  Indirect costs are then reported as a percentage of TDC, but as a percentage of the non-land TDC presented here, rather than the $18 million TDC in the technical report.</t>
        </r>
      </text>
    </comment>
    <comment ref="F45" authorId="0" shapeId="0" xr:uid="{C5393676-43D2-4F99-A49C-36967207AD8F}">
      <text>
        <r>
          <rPr>
            <b/>
            <sz val="9"/>
            <color indexed="81"/>
            <rFont val="Tahoma"/>
            <family val="2"/>
          </rPr>
          <t>Christopher Kinchin, NREL:</t>
        </r>
        <r>
          <rPr>
            <sz val="9"/>
            <color indexed="81"/>
            <rFont val="Tahoma"/>
            <family val="2"/>
          </rPr>
          <t xml:space="preserve">
10% of TDC.</t>
        </r>
      </text>
    </comment>
    <comment ref="G45" authorId="0" shapeId="0" xr:uid="{7F92AE91-3E8D-431F-A954-33DB08F8CC15}">
      <text>
        <r>
          <rPr>
            <b/>
            <sz val="9"/>
            <color indexed="81"/>
            <rFont val="Tahoma"/>
            <family val="2"/>
          </rPr>
          <t>Christopher Kinchin, NREL:</t>
        </r>
        <r>
          <rPr>
            <sz val="9"/>
            <color indexed="81"/>
            <rFont val="Tahoma"/>
            <family val="2"/>
          </rPr>
          <t xml:space="preserve">
10% of TDC.</t>
        </r>
      </text>
    </comment>
    <comment ref="H45" authorId="0" shapeId="0" xr:uid="{B63A0207-68F9-4BB2-B9EB-830F6675FD37}">
      <text>
        <r>
          <rPr>
            <b/>
            <sz val="9"/>
            <color indexed="81"/>
            <rFont val="Tahoma"/>
            <family val="2"/>
          </rPr>
          <t>Christopher Kinchin, NREL:</t>
        </r>
        <r>
          <rPr>
            <sz val="9"/>
            <color indexed="81"/>
            <rFont val="Tahoma"/>
            <family val="2"/>
          </rPr>
          <t xml:space="preserve">
10% of TDC.</t>
        </r>
      </text>
    </comment>
    <comment ref="I45" authorId="0" shapeId="0" xr:uid="{560169AD-2E64-4B53-925D-8163DB6F2715}">
      <text>
        <r>
          <rPr>
            <b/>
            <sz val="9"/>
            <color indexed="81"/>
            <rFont val="Tahoma"/>
            <family val="2"/>
          </rPr>
          <t>Christopher Kinchin, NREL:</t>
        </r>
        <r>
          <rPr>
            <sz val="9"/>
            <color indexed="81"/>
            <rFont val="Tahoma"/>
            <family val="2"/>
          </rPr>
          <t xml:space="preserve">
10% of TDC.</t>
        </r>
      </text>
    </comment>
    <comment ref="J45" authorId="1" shapeId="0" xr:uid="{D21236CD-AA41-4EF6-9A5D-C52993971480}">
      <text>
        <r>
          <rPr>
            <b/>
            <sz val="9"/>
            <color indexed="81"/>
            <rFont val="Tahoma"/>
            <family val="2"/>
          </rPr>
          <t>Wang, Yuxi:</t>
        </r>
        <r>
          <rPr>
            <sz val="9"/>
            <color indexed="81"/>
            <rFont val="Tahoma"/>
            <family val="2"/>
          </rPr>
          <t xml:space="preserve">
10.0% of TDC (ex land).</t>
        </r>
      </text>
    </comment>
    <comment ref="K45" authorId="1" shapeId="0" xr:uid="{839F3D7A-81B0-4ACC-B56B-54F6B5E0D036}">
      <text>
        <r>
          <rPr>
            <b/>
            <sz val="9"/>
            <color indexed="81"/>
            <rFont val="Tahoma"/>
            <family val="2"/>
          </rPr>
          <t>Wang, Yuxi:</t>
        </r>
        <r>
          <rPr>
            <sz val="9"/>
            <color indexed="81"/>
            <rFont val="Tahoma"/>
            <family val="2"/>
          </rPr>
          <t xml:space="preserve">
10.0% of TDC (ex land).</t>
        </r>
      </text>
    </comment>
    <comment ref="D46" authorId="2" shapeId="0" xr:uid="{00000000-0006-0000-0300-000030000000}">
      <text>
        <r>
          <rPr>
            <b/>
            <sz val="9"/>
            <color indexed="81"/>
            <rFont val="Tahoma"/>
            <family val="2"/>
          </rPr>
          <t>ckinchin:</t>
        </r>
        <r>
          <rPr>
            <sz val="9"/>
            <color indexed="81"/>
            <rFont val="Tahoma"/>
            <family val="2"/>
          </rPr>
          <t xml:space="preserve">
10% of TDC.  </t>
        </r>
      </text>
    </comment>
    <comment ref="D47" authorId="2" shapeId="0" xr:uid="{00000000-0006-0000-0300-000031000000}">
      <text>
        <r>
          <rPr>
            <b/>
            <sz val="9"/>
            <color indexed="81"/>
            <rFont val="Tahoma"/>
            <family val="2"/>
          </rPr>
          <t>ckinchin:</t>
        </r>
        <r>
          <rPr>
            <sz val="9"/>
            <color indexed="81"/>
            <rFont val="Tahoma"/>
            <family val="2"/>
          </rPr>
          <t xml:space="preserve">
20% of TDC.</t>
        </r>
      </text>
    </comment>
    <comment ref="F47" authorId="0" shapeId="0" xr:uid="{37B9E324-FF9A-4F43-83DD-7BFC3E8D984F}">
      <text>
        <r>
          <rPr>
            <b/>
            <sz val="9"/>
            <color indexed="81"/>
            <rFont val="Tahoma"/>
            <family val="2"/>
          </rPr>
          <t>Christopher Kinchin, NREL:</t>
        </r>
        <r>
          <rPr>
            <sz val="9"/>
            <color indexed="81"/>
            <rFont val="Tahoma"/>
            <family val="2"/>
          </rPr>
          <t xml:space="preserve">
10% of TDC.</t>
        </r>
      </text>
    </comment>
    <comment ref="G47" authorId="0" shapeId="0" xr:uid="{5F9D625A-5170-46DB-915A-2193EB7DEF2C}">
      <text>
        <r>
          <rPr>
            <b/>
            <sz val="9"/>
            <color indexed="81"/>
            <rFont val="Tahoma"/>
            <family val="2"/>
          </rPr>
          <t>Christopher Kinchin, NREL:</t>
        </r>
        <r>
          <rPr>
            <sz val="9"/>
            <color indexed="81"/>
            <rFont val="Tahoma"/>
            <family val="2"/>
          </rPr>
          <t xml:space="preserve">
20% of TDC.</t>
        </r>
      </text>
    </comment>
    <comment ref="H47" authorId="0" shapeId="0" xr:uid="{149BEDE1-E57B-4D55-9FC1-1CFC32A88229}">
      <text>
        <r>
          <rPr>
            <b/>
            <sz val="9"/>
            <color indexed="81"/>
            <rFont val="Tahoma"/>
            <family val="2"/>
          </rPr>
          <t>Christopher Kinchin, NREL:</t>
        </r>
        <r>
          <rPr>
            <sz val="9"/>
            <color indexed="81"/>
            <rFont val="Tahoma"/>
            <family val="2"/>
          </rPr>
          <t xml:space="preserve">
20% of TDC.</t>
        </r>
      </text>
    </comment>
    <comment ref="I47" authorId="0" shapeId="0" xr:uid="{605F4A91-4EF2-4493-98CB-8B1B1CC2D3C2}">
      <text>
        <r>
          <rPr>
            <b/>
            <sz val="9"/>
            <color indexed="81"/>
            <rFont val="Tahoma"/>
            <family val="2"/>
          </rPr>
          <t>Christopher Kinchin, NREL:</t>
        </r>
        <r>
          <rPr>
            <sz val="9"/>
            <color indexed="81"/>
            <rFont val="Tahoma"/>
            <family val="2"/>
          </rPr>
          <t xml:space="preserve">
20% of TDC.</t>
        </r>
      </text>
    </comment>
    <comment ref="J47" authorId="1" shapeId="0" xr:uid="{6D1B5278-5E72-4710-8BF5-48141E00DAF1}">
      <text>
        <r>
          <rPr>
            <b/>
            <sz val="9"/>
            <color indexed="81"/>
            <rFont val="Tahoma"/>
            <family val="2"/>
          </rPr>
          <t xml:space="preserve">Wang, Yuxi
</t>
        </r>
        <r>
          <rPr>
            <sz val="9"/>
            <color indexed="81"/>
            <rFont val="Tahoma"/>
            <family val="2"/>
          </rPr>
          <t>20.0% of TDC (ex land).</t>
        </r>
      </text>
    </comment>
    <comment ref="K47" authorId="1" shapeId="0" xr:uid="{70B4F4E0-4AB3-4A14-B80F-7F3A82D6EDE2}">
      <text>
        <r>
          <rPr>
            <b/>
            <sz val="9"/>
            <color indexed="81"/>
            <rFont val="Tahoma"/>
            <family val="2"/>
          </rPr>
          <t xml:space="preserve">Wang, Yuxi
</t>
        </r>
        <r>
          <rPr>
            <sz val="9"/>
            <color indexed="81"/>
            <rFont val="Tahoma"/>
            <family val="2"/>
          </rPr>
          <t>20.0% of TDC (ex land).</t>
        </r>
      </text>
    </comment>
    <comment ref="H48" authorId="0" shapeId="0" xr:uid="{7D71E39E-1A71-44DB-A227-878DFCCDE16E}">
      <text>
        <r>
          <rPr>
            <b/>
            <sz val="9"/>
            <color indexed="81"/>
            <rFont val="Tahoma"/>
            <family val="2"/>
          </rPr>
          <t>Christopher Kinchin, NREL:</t>
        </r>
        <r>
          <rPr>
            <sz val="9"/>
            <color indexed="81"/>
            <rFont val="Tahoma"/>
            <family val="2"/>
          </rPr>
          <t xml:space="preserve">
10% of TDC.</t>
        </r>
      </text>
    </comment>
    <comment ref="I48" authorId="0" shapeId="0" xr:uid="{D69D17F0-7F58-448D-AABF-CED372DD1A92}">
      <text>
        <r>
          <rPr>
            <b/>
            <sz val="9"/>
            <color indexed="81"/>
            <rFont val="Tahoma"/>
            <family val="2"/>
          </rPr>
          <t>Christopher Kinchin, NREL:</t>
        </r>
        <r>
          <rPr>
            <sz val="9"/>
            <color indexed="81"/>
            <rFont val="Tahoma"/>
            <family val="2"/>
          </rPr>
          <t xml:space="preserve">
10% of TDC.</t>
        </r>
      </text>
    </comment>
    <comment ref="D49" authorId="2" shapeId="0" xr:uid="{00000000-0006-0000-0300-000035000000}">
      <text>
        <r>
          <rPr>
            <b/>
            <sz val="9"/>
            <color indexed="81"/>
            <rFont val="Tahoma"/>
            <family val="2"/>
          </rPr>
          <t>ckinchin:</t>
        </r>
        <r>
          <rPr>
            <sz val="9"/>
            <color indexed="81"/>
            <rFont val="Tahoma"/>
            <family val="2"/>
          </rPr>
          <t xml:space="preserve">
10% of TDC. </t>
        </r>
      </text>
    </comment>
    <comment ref="F49" authorId="0" shapeId="0" xr:uid="{57B18B61-14BD-4492-A7D5-8DAC436881BD}">
      <text>
        <r>
          <rPr>
            <b/>
            <sz val="9"/>
            <color indexed="81"/>
            <rFont val="Tahoma"/>
            <family val="2"/>
          </rPr>
          <t>Christopher Kinchin, NREL:</t>
        </r>
        <r>
          <rPr>
            <sz val="9"/>
            <color indexed="81"/>
            <rFont val="Tahoma"/>
            <family val="2"/>
          </rPr>
          <t xml:space="preserve">
10% of TDC.</t>
        </r>
      </text>
    </comment>
    <comment ref="G49" authorId="0" shapeId="0" xr:uid="{D11E7FA5-B37F-48C6-B28E-9619E6414E0E}">
      <text>
        <r>
          <rPr>
            <b/>
            <sz val="9"/>
            <color indexed="81"/>
            <rFont val="Tahoma"/>
            <family val="2"/>
          </rPr>
          <t>Christopher Kinchin, NREL:</t>
        </r>
        <r>
          <rPr>
            <sz val="9"/>
            <color indexed="81"/>
            <rFont val="Tahoma"/>
            <family val="2"/>
          </rPr>
          <t xml:space="preserve">
10% of TDC.</t>
        </r>
      </text>
    </comment>
    <comment ref="J49" authorId="1" shapeId="0" xr:uid="{6D8C2578-3F82-4FF2-8B40-735608F203F8}">
      <text>
        <r>
          <rPr>
            <b/>
            <sz val="9"/>
            <color indexed="81"/>
            <rFont val="Tahoma"/>
            <family val="2"/>
          </rPr>
          <t>Wang, Yuxi:</t>
        </r>
        <r>
          <rPr>
            <sz val="9"/>
            <color indexed="81"/>
            <rFont val="Tahoma"/>
            <family val="2"/>
          </rPr>
          <t xml:space="preserve">
10.0% of TDC (ex land).</t>
        </r>
      </text>
    </comment>
    <comment ref="K49" authorId="1" shapeId="0" xr:uid="{E73D3CB1-7B64-42C0-A102-3B94A90EDF5A}">
      <text>
        <r>
          <rPr>
            <b/>
            <sz val="9"/>
            <color indexed="81"/>
            <rFont val="Tahoma"/>
            <family val="2"/>
          </rPr>
          <t>Wang, Yuxi:</t>
        </r>
        <r>
          <rPr>
            <sz val="9"/>
            <color indexed="81"/>
            <rFont val="Tahoma"/>
            <family val="2"/>
          </rPr>
          <t xml:space="preserve">
10.0% of TDC (ex land).</t>
        </r>
      </text>
    </comment>
    <comment ref="D50" authorId="2" shapeId="0" xr:uid="{00000000-0006-0000-0300-000039000000}">
      <text>
        <r>
          <rPr>
            <b/>
            <sz val="9"/>
            <color indexed="81"/>
            <rFont val="Tahoma"/>
            <family val="2"/>
          </rPr>
          <t>ckinchin:</t>
        </r>
        <r>
          <rPr>
            <sz val="9"/>
            <color indexed="81"/>
            <rFont val="Tahoma"/>
            <family val="2"/>
          </rPr>
          <t xml:space="preserve">
30% of TDC. </t>
        </r>
      </text>
    </comment>
    <comment ref="F50" authorId="0" shapeId="0" xr:uid="{C4E5BBFA-1429-47DA-812E-BB0636A06A22}">
      <text>
        <r>
          <rPr>
            <b/>
            <sz val="9"/>
            <color indexed="81"/>
            <rFont val="Tahoma"/>
            <family val="2"/>
          </rPr>
          <t>Christopher Kinchin, NREL:</t>
        </r>
        <r>
          <rPr>
            <sz val="9"/>
            <color indexed="81"/>
            <rFont val="Tahoma"/>
            <family val="2"/>
          </rPr>
          <t xml:space="preserve">
10% of TDC.</t>
        </r>
      </text>
    </comment>
    <comment ref="G50" authorId="0" shapeId="0" xr:uid="{C6EECF4A-1BD7-4AFA-B03D-BF2105CB0318}">
      <text>
        <r>
          <rPr>
            <b/>
            <sz val="9"/>
            <color indexed="81"/>
            <rFont val="Tahoma"/>
            <family val="2"/>
          </rPr>
          <t>Christopher Kinchin, NREL:</t>
        </r>
        <r>
          <rPr>
            <sz val="9"/>
            <color indexed="81"/>
            <rFont val="Tahoma"/>
            <family val="2"/>
          </rPr>
          <t xml:space="preserve">
10% of TDC.</t>
        </r>
      </text>
    </comment>
    <comment ref="H50" authorId="0" shapeId="0" xr:uid="{7AF7A016-6E8D-46E4-A501-B4D0B049C852}">
      <text>
        <r>
          <rPr>
            <b/>
            <sz val="9"/>
            <color indexed="81"/>
            <rFont val="Tahoma"/>
            <family val="2"/>
          </rPr>
          <t>Christopher Kinchin, NREL:</t>
        </r>
        <r>
          <rPr>
            <sz val="9"/>
            <color indexed="81"/>
            <rFont val="Tahoma"/>
            <family val="2"/>
          </rPr>
          <t xml:space="preserve">
10% of TDC.</t>
        </r>
      </text>
    </comment>
    <comment ref="I50" authorId="0" shapeId="0" xr:uid="{D2280278-FB34-464E-9FFF-C684FBB1E962}">
      <text>
        <r>
          <rPr>
            <b/>
            <sz val="9"/>
            <color indexed="81"/>
            <rFont val="Tahoma"/>
            <family val="2"/>
          </rPr>
          <t>Christopher Kinchin, NREL:</t>
        </r>
        <r>
          <rPr>
            <sz val="9"/>
            <color indexed="81"/>
            <rFont val="Tahoma"/>
            <family val="2"/>
          </rPr>
          <t xml:space="preserve">
10% of TDC.</t>
        </r>
      </text>
    </comment>
    <comment ref="J50" authorId="1" shapeId="0" xr:uid="{86A17D32-75D2-476A-9CA5-7CB1512801DF}">
      <text>
        <r>
          <rPr>
            <b/>
            <sz val="9"/>
            <color indexed="81"/>
            <rFont val="Tahoma"/>
            <family val="2"/>
          </rPr>
          <t>Wang, Yuxi:</t>
        </r>
        <r>
          <rPr>
            <sz val="9"/>
            <color indexed="81"/>
            <rFont val="Tahoma"/>
            <family val="2"/>
          </rPr>
          <t xml:space="preserve">
10.0% of TDC (ex land).</t>
        </r>
      </text>
    </comment>
    <comment ref="K50" authorId="1" shapeId="0" xr:uid="{01C0CA23-AC6B-40BE-BCC3-DA466D3B12A1}">
      <text>
        <r>
          <rPr>
            <b/>
            <sz val="9"/>
            <color indexed="81"/>
            <rFont val="Tahoma"/>
            <family val="2"/>
          </rPr>
          <t>Wang, Yuxi:</t>
        </r>
        <r>
          <rPr>
            <sz val="9"/>
            <color indexed="81"/>
            <rFont val="Tahoma"/>
            <family val="2"/>
          </rPr>
          <t xml:space="preserve">
10.0% of TDC (ex land).</t>
        </r>
      </text>
    </comment>
    <comment ref="D51" authorId="2" shapeId="0" xr:uid="{00000000-0006-0000-0300-00003D000000}">
      <text>
        <r>
          <rPr>
            <b/>
            <sz val="9"/>
            <color indexed="81"/>
            <rFont val="Tahoma"/>
            <family val="2"/>
          </rPr>
          <t>ckinchin:</t>
        </r>
        <r>
          <rPr>
            <sz val="9"/>
            <color indexed="81"/>
            <rFont val="Tahoma"/>
            <family val="2"/>
          </rPr>
          <t xml:space="preserve">
10% of TDC. </t>
        </r>
      </text>
    </comment>
    <comment ref="F51" authorId="0" shapeId="0" xr:uid="{4B161AB9-CFFA-4903-9F2D-FB494B07C130}">
      <text>
        <r>
          <rPr>
            <b/>
            <sz val="9"/>
            <color indexed="81"/>
            <rFont val="Tahoma"/>
            <family val="2"/>
          </rPr>
          <t>Christopher Kinchin, NREL:</t>
        </r>
        <r>
          <rPr>
            <sz val="9"/>
            <color indexed="81"/>
            <rFont val="Tahoma"/>
            <family val="2"/>
          </rPr>
          <t xml:space="preserve">
10% of TDC.</t>
        </r>
      </text>
    </comment>
    <comment ref="G51" authorId="0" shapeId="0" xr:uid="{470CE7BB-08CF-441F-8FD4-094FCB49C0B0}">
      <text>
        <r>
          <rPr>
            <b/>
            <sz val="9"/>
            <color indexed="81"/>
            <rFont val="Tahoma"/>
            <family val="2"/>
          </rPr>
          <t>Christopher Kinchin, NREL:</t>
        </r>
        <r>
          <rPr>
            <sz val="9"/>
            <color indexed="81"/>
            <rFont val="Tahoma"/>
            <family val="2"/>
          </rPr>
          <t xml:space="preserve">
10% of TDC.</t>
        </r>
      </text>
    </comment>
    <comment ref="H51" authorId="0" shapeId="0" xr:uid="{F405CECB-CDB0-4ECE-8172-66E6722A2361}">
      <text>
        <r>
          <rPr>
            <b/>
            <sz val="9"/>
            <color indexed="81"/>
            <rFont val="Tahoma"/>
            <family val="2"/>
          </rPr>
          <t>Christopher Kinchin, NREL:</t>
        </r>
        <r>
          <rPr>
            <sz val="9"/>
            <color indexed="81"/>
            <rFont val="Tahoma"/>
            <family val="2"/>
          </rPr>
          <t xml:space="preserve">
10% of TDC.</t>
        </r>
      </text>
    </comment>
    <comment ref="I51" authorId="0" shapeId="0" xr:uid="{10EFAB36-A330-4CF3-806D-53720C84905A}">
      <text>
        <r>
          <rPr>
            <b/>
            <sz val="9"/>
            <color indexed="81"/>
            <rFont val="Tahoma"/>
            <family val="2"/>
          </rPr>
          <t>Christopher Kinchin, NREL:</t>
        </r>
        <r>
          <rPr>
            <sz val="9"/>
            <color indexed="81"/>
            <rFont val="Tahoma"/>
            <family val="2"/>
          </rPr>
          <t xml:space="preserve">
10% of TDC.</t>
        </r>
      </text>
    </comment>
    <comment ref="J51" authorId="1" shapeId="0" xr:uid="{FA09E4F5-353C-44CB-B702-92F4968D742E}">
      <text>
        <r>
          <rPr>
            <b/>
            <sz val="9"/>
            <color indexed="81"/>
            <rFont val="Tahoma"/>
            <family val="2"/>
          </rPr>
          <t>Wang, Yuxi:</t>
        </r>
        <r>
          <rPr>
            <sz val="9"/>
            <color indexed="81"/>
            <rFont val="Tahoma"/>
            <family val="2"/>
          </rPr>
          <t xml:space="preserve">
10.0% of TDC (ex land).</t>
        </r>
      </text>
    </comment>
    <comment ref="K51" authorId="1" shapeId="0" xr:uid="{D48DBB22-C9D9-47C5-86F6-9AC7BC543C56}">
      <text>
        <r>
          <rPr>
            <b/>
            <sz val="9"/>
            <color indexed="81"/>
            <rFont val="Tahoma"/>
            <family val="2"/>
          </rPr>
          <t>Wang, Yuxi:</t>
        </r>
        <r>
          <rPr>
            <sz val="9"/>
            <color indexed="81"/>
            <rFont val="Tahoma"/>
            <family val="2"/>
          </rPr>
          <t xml:space="preserve">
10.0% of TDC (ex land).</t>
        </r>
      </text>
    </comment>
    <comment ref="B52" authorId="2" shapeId="0" xr:uid="{00000000-0006-0000-0300-000041000000}">
      <text>
        <r>
          <rPr>
            <b/>
            <sz val="9"/>
            <color indexed="81"/>
            <rFont val="Tahoma"/>
            <family val="2"/>
          </rPr>
          <t>ckinchin:</t>
        </r>
        <r>
          <rPr>
            <sz val="9"/>
            <color indexed="81"/>
            <rFont val="Tahoma"/>
            <family val="2"/>
          </rPr>
          <t xml:space="preserve">
In the source document and DCFROR spreadsheet, Indirect Costs include only Engineering, Construction, and Legal and Contractors Fees.  Projected Contingency was listed as an independent capital cost, but was included in FCI.  In this spreadsheet project contingency is included in Total Indirect Costs.</t>
        </r>
      </text>
    </comment>
    <comment ref="C52" authorId="2" shapeId="0" xr:uid="{00000000-0006-0000-0300-000042000000}">
      <text>
        <r>
          <rPr>
            <b/>
            <sz val="9"/>
            <color indexed="81"/>
            <rFont val="Tahoma"/>
            <family val="2"/>
          </rPr>
          <t>ckinchin:</t>
        </r>
        <r>
          <rPr>
            <sz val="9"/>
            <color indexed="81"/>
            <rFont val="Tahoma"/>
            <family val="2"/>
          </rPr>
          <t xml:space="preserve">
In the source document and DCFROR spreadsheet, Indirect Costs include only Engineering, Construction, and Legal and Contractors Fees.  Projected Contingency was listed as an independent capital cost, but was included in FCI.  In this spreadsheet project contingency is included in Total Indirect Costs.</t>
        </r>
      </text>
    </comment>
    <comment ref="D52" authorId="2" shapeId="0" xr:uid="{00000000-0006-0000-0300-000043000000}">
      <text>
        <r>
          <rPr>
            <b/>
            <sz val="9"/>
            <color indexed="81"/>
            <rFont val="Tahoma"/>
            <family val="2"/>
          </rPr>
          <t>ckinchin:</t>
        </r>
        <r>
          <rPr>
            <sz val="9"/>
            <color indexed="81"/>
            <rFont val="Tahoma"/>
            <family val="2"/>
          </rPr>
          <t xml:space="preserve">
In the source document and DCFROR spreadsheet, Indirect Costs include only Engineering, Construction, and Legal and Contractors Fees.  Projected Contingency was listed as an independent capital cost, but was included in FCI.  In this spreadsheet project contingency is included in Total Indirect Costs.</t>
        </r>
      </text>
    </comment>
    <comment ref="D53" authorId="2" shapeId="0" xr:uid="{00000000-0006-0000-0300-000044000000}">
      <text>
        <r>
          <rPr>
            <b/>
            <sz val="9"/>
            <color indexed="81"/>
            <rFont val="Tahoma"/>
            <family val="2"/>
          </rPr>
          <t>ckinchin:</t>
        </r>
        <r>
          <rPr>
            <sz val="9"/>
            <color indexed="81"/>
            <rFont val="Tahoma"/>
            <family val="2"/>
          </rPr>
          <t xml:space="preserve">
In the technical report, this value is $211,759,552 because it includes land.</t>
        </r>
      </text>
    </comment>
    <comment ref="H54" authorId="0" shapeId="0" xr:uid="{7ECD77E3-2392-4424-B9F8-92A324BC5B51}">
      <text>
        <r>
          <rPr>
            <b/>
            <sz val="9"/>
            <color indexed="81"/>
            <rFont val="Tahoma"/>
            <family val="2"/>
          </rPr>
          <t>Christopher Kinchin, NREL:</t>
        </r>
        <r>
          <rPr>
            <sz val="9"/>
            <color indexed="81"/>
            <rFont val="Tahoma"/>
            <family val="2"/>
          </rPr>
          <t xml:space="preserve">
115 acres at $14,000 per acre. Not included in FCI.</t>
        </r>
      </text>
    </comment>
    <comment ref="I54" authorId="0" shapeId="0" xr:uid="{67B3F326-2823-4BE4-A3A7-96B2DFE066A2}">
      <text>
        <r>
          <rPr>
            <b/>
            <sz val="9"/>
            <color indexed="81"/>
            <rFont val="Tahoma"/>
            <family val="2"/>
          </rPr>
          <t>Christopher Kinchin, NREL:</t>
        </r>
        <r>
          <rPr>
            <sz val="9"/>
            <color indexed="81"/>
            <rFont val="Tahoma"/>
            <family val="2"/>
          </rPr>
          <t xml:space="preserve">
115 acres at $14,000 per acre. Not included in FCI.</t>
        </r>
      </text>
    </comment>
    <comment ref="J54" authorId="1" shapeId="0" xr:uid="{677E627F-7F1D-4DF4-8094-C45C0F969C01}">
      <text>
        <r>
          <rPr>
            <b/>
            <sz val="9"/>
            <color indexed="81"/>
            <rFont val="Tahoma"/>
            <family val="2"/>
          </rPr>
          <t>Wang, Yuxi:</t>
        </r>
        <r>
          <rPr>
            <sz val="9"/>
            <color indexed="81"/>
            <rFont val="Tahoma"/>
            <family val="2"/>
          </rPr>
          <t xml:space="preserve">
115 acres at $14,000/acre.</t>
        </r>
      </text>
    </comment>
    <comment ref="K54" authorId="1" shapeId="0" xr:uid="{2534EEA1-D68C-4A58-8429-9809254CB33A}">
      <text>
        <r>
          <rPr>
            <b/>
            <sz val="9"/>
            <color indexed="81"/>
            <rFont val="Tahoma"/>
            <family val="2"/>
          </rPr>
          <t>Wang, Yuxi:</t>
        </r>
        <r>
          <rPr>
            <sz val="9"/>
            <color indexed="81"/>
            <rFont val="Tahoma"/>
            <family val="2"/>
          </rPr>
          <t xml:space="preserve">
115 acres at $14,000/acre.</t>
        </r>
      </text>
    </comment>
    <comment ref="F55" authorId="0" shapeId="0" xr:uid="{78077CD2-A813-48E0-8BD6-F7A27F527375}">
      <text>
        <r>
          <rPr>
            <b/>
            <sz val="9"/>
            <color indexed="81"/>
            <rFont val="Tahoma"/>
            <family val="2"/>
          </rPr>
          <t>Christopher Kinchin, NREL:</t>
        </r>
        <r>
          <rPr>
            <sz val="9"/>
            <color indexed="81"/>
            <rFont val="Tahoma"/>
            <family val="2"/>
          </rPr>
          <t xml:space="preserve">
5% of FCI (excluding land)</t>
        </r>
      </text>
    </comment>
    <comment ref="G55" authorId="0" shapeId="0" xr:uid="{060BC746-9F9F-42BB-B8F8-937908F1547B}">
      <text>
        <r>
          <rPr>
            <b/>
            <sz val="9"/>
            <color indexed="81"/>
            <rFont val="Tahoma"/>
            <family val="2"/>
          </rPr>
          <t>Christopher Kinchin, NREL:</t>
        </r>
        <r>
          <rPr>
            <sz val="9"/>
            <color indexed="81"/>
            <rFont val="Tahoma"/>
            <family val="2"/>
          </rPr>
          <t xml:space="preserve">
5% of FCI (excluding land)</t>
        </r>
      </text>
    </comment>
    <comment ref="H55" authorId="0" shapeId="0" xr:uid="{335DD52D-C189-4363-AC1D-8F76618ACC07}">
      <text>
        <r>
          <rPr>
            <b/>
            <sz val="9"/>
            <color indexed="81"/>
            <rFont val="Tahoma"/>
            <family val="2"/>
          </rPr>
          <t>Christopher Kinchin, NREL:</t>
        </r>
        <r>
          <rPr>
            <sz val="9"/>
            <color indexed="81"/>
            <rFont val="Tahoma"/>
            <family val="2"/>
          </rPr>
          <t xml:space="preserve">
5% of FCI (excluding land)</t>
        </r>
      </text>
    </comment>
    <comment ref="I55" authorId="0" shapeId="0" xr:uid="{400C6BF0-0495-4556-9F96-FDEA9DE6A558}">
      <text>
        <r>
          <rPr>
            <b/>
            <sz val="9"/>
            <color indexed="81"/>
            <rFont val="Tahoma"/>
            <family val="2"/>
          </rPr>
          <t>Christopher Kinchin, NREL:</t>
        </r>
        <r>
          <rPr>
            <sz val="9"/>
            <color indexed="81"/>
            <rFont val="Tahoma"/>
            <family val="2"/>
          </rPr>
          <t xml:space="preserve">
5% of FCI (excluding land)</t>
        </r>
      </text>
    </comment>
    <comment ref="J55" authorId="1" shapeId="0" xr:uid="{6B254371-BE27-47F8-8599-09B9B96D18B6}">
      <text>
        <r>
          <rPr>
            <b/>
            <sz val="9"/>
            <color indexed="81"/>
            <rFont val="Tahoma"/>
            <family val="2"/>
          </rPr>
          <t>Wang, Yuxi:</t>
        </r>
        <r>
          <rPr>
            <sz val="9"/>
            <color indexed="81"/>
            <rFont val="Tahoma"/>
            <family val="2"/>
          </rPr>
          <t xml:space="preserve">
5.0% of FCI (ex land).</t>
        </r>
      </text>
    </comment>
    <comment ref="K55" authorId="1" shapeId="0" xr:uid="{DE347DA5-AB89-41CE-866E-4B3611F7FE1E}">
      <text>
        <r>
          <rPr>
            <b/>
            <sz val="9"/>
            <color indexed="81"/>
            <rFont val="Tahoma"/>
            <family val="2"/>
          </rPr>
          <t>Wang, Yuxi:</t>
        </r>
        <r>
          <rPr>
            <sz val="9"/>
            <color indexed="81"/>
            <rFont val="Tahoma"/>
            <family val="2"/>
          </rPr>
          <t xml:space="preserve">
5.0% of FCI (ex land).</t>
        </r>
      </text>
    </comment>
    <comment ref="C61" authorId="2" shapeId="0" xr:uid="{00000000-0006-0000-0300-000048000000}">
      <text>
        <r>
          <rPr>
            <b/>
            <sz val="9"/>
            <color indexed="81"/>
            <rFont val="Tahoma"/>
            <family val="2"/>
          </rPr>
          <t>ckinchin:</t>
        </r>
        <r>
          <rPr>
            <sz val="9"/>
            <color indexed="81"/>
            <rFont val="Tahoma"/>
            <family val="2"/>
          </rPr>
          <t xml:space="preserve">
In the source document, Feedstock operating cost includes the cost of H2.  In this spreadsheet the feedstock and H2 costs are listed separately.</t>
        </r>
      </text>
    </comment>
    <comment ref="H62" authorId="0" shapeId="0" xr:uid="{122E174A-17B8-4201-BFA1-A04957C1020F}">
      <text>
        <r>
          <rPr>
            <b/>
            <sz val="9"/>
            <color indexed="81"/>
            <rFont val="Tahoma"/>
            <family val="2"/>
          </rPr>
          <t>Christopher Kinchin, NREL:</t>
        </r>
        <r>
          <rPr>
            <sz val="9"/>
            <color indexed="81"/>
            <rFont val="Tahoma"/>
            <family val="2"/>
          </rPr>
          <t xml:space="preserve">
To SMR.</t>
        </r>
      </text>
    </comment>
    <comment ref="I62" authorId="0" shapeId="0" xr:uid="{80F2B438-71D0-48B5-B458-6A71C8DA690F}">
      <text>
        <r>
          <rPr>
            <b/>
            <sz val="9"/>
            <color indexed="81"/>
            <rFont val="Tahoma"/>
            <family val="2"/>
          </rPr>
          <t>Christopher Kinchin, NREL:</t>
        </r>
        <r>
          <rPr>
            <sz val="9"/>
            <color indexed="81"/>
            <rFont val="Tahoma"/>
            <family val="2"/>
          </rPr>
          <t xml:space="preserve">
To SMR.</t>
        </r>
      </text>
    </comment>
    <comment ref="A63" authorId="0" shapeId="0" xr:uid="{FC149310-07E4-421A-B313-6DBDFDBB731F}">
      <text>
        <r>
          <rPr>
            <b/>
            <sz val="9"/>
            <color indexed="81"/>
            <rFont val="Tahoma"/>
            <family val="2"/>
          </rPr>
          <t>Christopher Kinchin, NREL:</t>
        </r>
        <r>
          <rPr>
            <sz val="9"/>
            <color indexed="81"/>
            <rFont val="Tahoma"/>
            <family val="2"/>
          </rPr>
          <t xml:space="preserve">
Includes catalysts that are replaced at least once each year, or more often.  The annual purchased amount of these catalysts does not change from year to year. </t>
        </r>
      </text>
    </comment>
    <comment ref="D63" authorId="2" shapeId="0" xr:uid="{00000000-0006-0000-0300-000049000000}">
      <text>
        <r>
          <rPr>
            <b/>
            <sz val="9"/>
            <color indexed="81"/>
            <rFont val="Tahoma"/>
            <family val="2"/>
          </rPr>
          <t>ckinchin:</t>
        </r>
        <r>
          <rPr>
            <sz val="9"/>
            <color indexed="81"/>
            <rFont val="Tahoma"/>
            <family val="2"/>
          </rPr>
          <t xml:space="preserve">
Hydropyrolysis catalysts.</t>
        </r>
      </text>
    </comment>
    <comment ref="F63" authorId="0" shapeId="0" xr:uid="{087F4CFC-C593-4ADB-B523-A2E4DCF28804}">
      <text>
        <r>
          <rPr>
            <b/>
            <sz val="9"/>
            <color indexed="81"/>
            <rFont val="Tahoma"/>
            <family val="2"/>
          </rPr>
          <t>Christopher Kinchin, NREL:</t>
        </r>
        <r>
          <rPr>
            <sz val="9"/>
            <color indexed="81"/>
            <rFont val="Tahoma"/>
            <family val="2"/>
          </rPr>
          <t xml:space="preserve">
Catalysts only, no chemicals.</t>
        </r>
      </text>
    </comment>
    <comment ref="G63" authorId="0" shapeId="0" xr:uid="{BC127756-F7B7-4342-AAC5-221817D25727}">
      <text>
        <r>
          <rPr>
            <b/>
            <sz val="9"/>
            <color indexed="81"/>
            <rFont val="Tahoma"/>
            <family val="2"/>
          </rPr>
          <t>Christopher Kinchin, NREL:</t>
        </r>
        <r>
          <rPr>
            <sz val="9"/>
            <color indexed="81"/>
            <rFont val="Tahoma"/>
            <family val="2"/>
          </rPr>
          <t xml:space="preserve">
Catalysts only; no chemicals.</t>
        </r>
      </text>
    </comment>
    <comment ref="A64" authorId="0" shapeId="0" xr:uid="{03FEE506-3AEE-46B4-AEF4-41ED1B9DED25}">
      <text>
        <r>
          <rPr>
            <b/>
            <sz val="9"/>
            <color indexed="81"/>
            <rFont val="Tahoma"/>
            <family val="2"/>
          </rPr>
          <t>Christopher Kinchin, NREL:</t>
        </r>
        <r>
          <rPr>
            <sz val="9"/>
            <color indexed="81"/>
            <rFont val="Tahoma"/>
            <family val="2"/>
          </rPr>
          <t xml:space="preserve">
Annual average catalyst cost for several catalysts that are replaced less frequently than once each year, therefore the amount purchased each year changes. These costs are usually included in the DCFROR sheet rather than the OPEX page and include the following catalysts:
Hydrotreater
Hydrocracker
Fast Pyrolysis FCC
SMR</t>
        </r>
      </text>
    </comment>
    <comment ref="H64" authorId="0" shapeId="0" xr:uid="{089D2EF2-ED40-4A5B-8A9E-8A3C9F4EA50B}">
      <text>
        <r>
          <rPr>
            <b/>
            <sz val="9"/>
            <color indexed="81"/>
            <rFont val="Tahoma"/>
            <family val="2"/>
          </rPr>
          <t>Christopher Kinchin, NREL:</t>
        </r>
        <r>
          <rPr>
            <sz val="9"/>
            <color indexed="81"/>
            <rFont val="Tahoma"/>
            <family val="2"/>
          </rPr>
          <t xml:space="preserve">
Annual average catalyst cost for several catalysts included in DCFROR sheet rather than the OPEX page:
Hydrotreater
Hydrocracker
Fast Pyrolysis FCC
SMR</t>
        </r>
      </text>
    </comment>
    <comment ref="I64" authorId="0" shapeId="0" xr:uid="{24307679-3677-4794-B849-13CD8BAB999C}">
      <text>
        <r>
          <rPr>
            <b/>
            <sz val="9"/>
            <color indexed="81"/>
            <rFont val="Tahoma"/>
            <family val="2"/>
          </rPr>
          <t>Christopher Kinchin, NREL:</t>
        </r>
        <r>
          <rPr>
            <sz val="9"/>
            <color indexed="81"/>
            <rFont val="Tahoma"/>
            <family val="2"/>
          </rPr>
          <t xml:space="preserve">
Annual average catalyst cost for several catalysts included in DCFROR sheet rather than the OPEX page:
Hydrotreater
Hydrocracker
Fast Pyrolysis FCC
SMR</t>
        </r>
      </text>
    </comment>
    <comment ref="C65" authorId="2" shapeId="0" xr:uid="{00000000-0006-0000-0300-00004A000000}">
      <text>
        <r>
          <rPr>
            <b/>
            <sz val="9"/>
            <color indexed="81"/>
            <rFont val="Tahoma"/>
            <family val="2"/>
          </rPr>
          <t>ckinchin:</t>
        </r>
        <r>
          <rPr>
            <sz val="9"/>
            <color indexed="81"/>
            <rFont val="Tahoma"/>
            <family val="2"/>
          </rPr>
          <t xml:space="preserve">
In the source document, Feedstock operating cost included the cost of H2.  In this spreadsheet the feedstock and H2 costs are listed separately.</t>
        </r>
      </text>
    </comment>
    <comment ref="F70" authorId="0" shapeId="0" xr:uid="{EB0F3080-838A-4AF6-9587-2CC3082FA309}">
      <text>
        <r>
          <rPr>
            <b/>
            <sz val="9"/>
            <color indexed="81"/>
            <rFont val="Tahoma"/>
            <family val="2"/>
          </rPr>
          <t>Christopher Kinchin, NREL:</t>
        </r>
        <r>
          <rPr>
            <sz val="9"/>
            <color indexed="81"/>
            <rFont val="Tahoma"/>
            <family val="2"/>
          </rPr>
          <t xml:space="preserve">
Net water makeup.</t>
        </r>
      </text>
    </comment>
    <comment ref="A75" authorId="1" shapeId="0" xr:uid="{FC4B3D36-1931-4E41-9096-80A4FE70908D}">
      <text>
        <r>
          <rPr>
            <b/>
            <sz val="9"/>
            <color indexed="81"/>
            <rFont val="Tahoma"/>
            <family val="2"/>
          </rPr>
          <t>Wang, Yuxi:</t>
        </r>
        <r>
          <rPr>
            <sz val="9"/>
            <color indexed="81"/>
            <rFont val="Tahoma"/>
            <family val="2"/>
          </rPr>
          <t xml:space="preserve">
New added</t>
        </r>
      </text>
    </comment>
    <comment ref="D76" authorId="2" shapeId="0" xr:uid="{00000000-0006-0000-0300-000051000000}">
      <text>
        <r>
          <rPr>
            <b/>
            <sz val="9"/>
            <color indexed="81"/>
            <rFont val="Tahoma"/>
            <family val="2"/>
          </rPr>
          <t>ckinchin:</t>
        </r>
        <r>
          <rPr>
            <sz val="9"/>
            <color indexed="81"/>
            <rFont val="Tahoma"/>
            <family val="2"/>
          </rPr>
          <t xml:space="preserve">
Hydropyrolysis catalyst disposal.</t>
        </r>
      </text>
    </comment>
    <comment ref="F76" authorId="0" shapeId="0" xr:uid="{DDBC87FD-FC7C-4DC4-8416-7FB316DB84E6}">
      <text>
        <r>
          <rPr>
            <b/>
            <sz val="9"/>
            <color indexed="81"/>
            <rFont val="Tahoma"/>
            <family val="2"/>
          </rPr>
          <t>Christopher Kinchin, NREL:</t>
        </r>
        <r>
          <rPr>
            <sz val="9"/>
            <color indexed="81"/>
            <rFont val="Tahoma"/>
            <family val="2"/>
          </rPr>
          <t xml:space="preserve">
Sum of FP Purge, CFP Purge, VPU Purge, and Quench Filter Solids.</t>
        </r>
      </text>
    </comment>
    <comment ref="G76" authorId="0" shapeId="0" xr:uid="{DF11966E-0413-4165-B6D4-F648611017BE}">
      <text>
        <r>
          <rPr>
            <b/>
            <sz val="9"/>
            <color indexed="81"/>
            <rFont val="Tahoma"/>
            <family val="2"/>
          </rPr>
          <t>Christopher Kinchin, NREL:</t>
        </r>
        <r>
          <rPr>
            <sz val="9"/>
            <color indexed="81"/>
            <rFont val="Tahoma"/>
            <family val="2"/>
          </rPr>
          <t xml:space="preserve">
Sum of FP Purge, CFP Purge, VPU Purge, and Quench Filter Solids.</t>
        </r>
      </text>
    </comment>
    <comment ref="H76" authorId="0" shapeId="0" xr:uid="{F41BCFDC-91A0-408F-A41F-E8BC9850CE53}">
      <text>
        <r>
          <rPr>
            <b/>
            <sz val="9"/>
            <color indexed="81"/>
            <rFont val="Tahoma"/>
            <family val="2"/>
          </rPr>
          <t>Christopher Kinchin, NREL:</t>
        </r>
        <r>
          <rPr>
            <sz val="9"/>
            <color indexed="81"/>
            <rFont val="Tahoma"/>
            <family val="2"/>
          </rPr>
          <t xml:space="preserve">
Sum of FP Purge, CFP Purge, VPU Purge, and Quench Filter Solids.</t>
        </r>
      </text>
    </comment>
    <comment ref="I76" authorId="0" shapeId="0" xr:uid="{ED2D1F79-65D4-4FDA-83C9-1DAE64955102}">
      <text>
        <r>
          <rPr>
            <b/>
            <sz val="9"/>
            <color indexed="81"/>
            <rFont val="Tahoma"/>
            <family val="2"/>
          </rPr>
          <t>Christopher Kinchin, NREL:</t>
        </r>
        <r>
          <rPr>
            <sz val="9"/>
            <color indexed="81"/>
            <rFont val="Tahoma"/>
            <family val="2"/>
          </rPr>
          <t xml:space="preserve">
Sum of FP Purge, CFP Purge, VPU Purge, and Quench Filter Solids.</t>
        </r>
      </text>
    </comment>
    <comment ref="D79" authorId="2" shapeId="0" xr:uid="{00000000-0006-0000-0300-000053000000}">
      <text>
        <r>
          <rPr>
            <b/>
            <sz val="9"/>
            <color indexed="81"/>
            <rFont val="Tahoma"/>
            <family val="2"/>
          </rPr>
          <t>ckinchin:</t>
        </r>
        <r>
          <rPr>
            <sz val="9"/>
            <color indexed="81"/>
            <rFont val="Tahoma"/>
            <family val="2"/>
          </rPr>
          <t xml:space="preserve">
Co-products include char, ammonia + ammonium sulfate slurry, export steam.</t>
        </r>
      </text>
    </comment>
    <comment ref="F80" authorId="0" shapeId="0" xr:uid="{E72E6C34-AB36-498E-834C-B6D520363B05}">
      <text>
        <r>
          <rPr>
            <b/>
            <sz val="9"/>
            <color indexed="81"/>
            <rFont val="Tahoma"/>
            <family val="2"/>
          </rPr>
          <t>Christopher Kinchin, NREL:</t>
        </r>
        <r>
          <rPr>
            <sz val="9"/>
            <color indexed="81"/>
            <rFont val="Tahoma"/>
            <family val="2"/>
          </rPr>
          <t xml:space="preserve">
Co-product is electricity.
</t>
        </r>
      </text>
    </comment>
    <comment ref="G80" authorId="0" shapeId="0" xr:uid="{65F0B49F-D8AC-4369-910B-F8DA1DCBDAE7}">
      <text>
        <r>
          <rPr>
            <b/>
            <sz val="9"/>
            <color indexed="81"/>
            <rFont val="Tahoma"/>
            <family val="2"/>
          </rPr>
          <t>Christopher Kinchin, NREL:</t>
        </r>
        <r>
          <rPr>
            <sz val="9"/>
            <color indexed="81"/>
            <rFont val="Tahoma"/>
            <family val="2"/>
          </rPr>
          <t xml:space="preserve">
Co-product is electricity.
</t>
        </r>
      </text>
    </comment>
    <comment ref="H80" authorId="0" shapeId="0" xr:uid="{79756C26-F9ED-4231-A9E9-8EF96D56FFFB}">
      <text>
        <r>
          <rPr>
            <b/>
            <sz val="9"/>
            <color indexed="81"/>
            <rFont val="Tahoma"/>
            <family val="2"/>
          </rPr>
          <t>Christopher Kinchin, NREL:</t>
        </r>
        <r>
          <rPr>
            <sz val="9"/>
            <color indexed="81"/>
            <rFont val="Tahoma"/>
            <family val="2"/>
          </rPr>
          <t xml:space="preserve">
Negative value indicates excess electricity is sold for revenue.</t>
        </r>
      </text>
    </comment>
    <comment ref="I80" authorId="0" shapeId="0" xr:uid="{7082AA73-A907-4E36-B9B5-C8F18D42EAFD}">
      <text>
        <r>
          <rPr>
            <b/>
            <sz val="9"/>
            <color indexed="81"/>
            <rFont val="Tahoma"/>
            <family val="2"/>
          </rPr>
          <t>Christopher Kinchin, NREL:</t>
        </r>
        <r>
          <rPr>
            <sz val="9"/>
            <color indexed="81"/>
            <rFont val="Tahoma"/>
            <family val="2"/>
          </rPr>
          <t xml:space="preserve">
Negative value indicates excess electricity is sold for revenue.</t>
        </r>
      </text>
    </comment>
    <comment ref="J80" authorId="0" shapeId="0" xr:uid="{90AE7542-7498-424A-8196-83ECF9E4AF55}">
      <text>
        <r>
          <rPr>
            <b/>
            <sz val="9"/>
            <color indexed="81"/>
            <rFont val="Tahoma"/>
            <family val="2"/>
          </rPr>
          <t>Christopher Kinchin, NREL:</t>
        </r>
        <r>
          <rPr>
            <sz val="9"/>
            <color indexed="81"/>
            <rFont val="Tahoma"/>
            <family val="2"/>
          </rPr>
          <t xml:space="preserve">
Negative value indicates excess electricity is sold for revenue.</t>
        </r>
      </text>
    </comment>
    <comment ref="K80" authorId="0" shapeId="0" xr:uid="{BED60D5C-4B67-4080-8967-D04110A61AC4}">
      <text>
        <r>
          <rPr>
            <b/>
            <sz val="9"/>
            <color indexed="81"/>
            <rFont val="Tahoma"/>
            <family val="2"/>
          </rPr>
          <t>Christopher Kinchin, NREL:</t>
        </r>
        <r>
          <rPr>
            <sz val="9"/>
            <color indexed="81"/>
            <rFont val="Tahoma"/>
            <family val="2"/>
          </rPr>
          <t xml:space="preserve">
Negative value indicates excess electricity is sold for revenue.</t>
        </r>
      </text>
    </comment>
    <comment ref="B81" authorId="2" shapeId="0" xr:uid="{63541A70-E883-45E0-B0D9-B1F56EA1CE13}">
      <text>
        <r>
          <rPr>
            <b/>
            <sz val="9"/>
            <color indexed="81"/>
            <rFont val="Tahoma"/>
            <family val="2"/>
          </rPr>
          <t>ckinchin:</t>
        </r>
        <r>
          <rPr>
            <sz val="9"/>
            <color indexed="81"/>
            <rFont val="Tahoma"/>
            <family val="2"/>
          </rPr>
          <t xml:space="preserve">
Co-products are fuel gas and char.</t>
        </r>
      </text>
    </comment>
    <comment ref="J82" authorId="1" shapeId="0" xr:uid="{81144F69-B371-4C05-9EF9-86BECF84DFF2}">
      <text>
        <r>
          <rPr>
            <b/>
            <sz val="9"/>
            <color indexed="81"/>
            <rFont val="Tahoma"/>
            <family val="2"/>
          </rPr>
          <t>Wang, Yuxi:</t>
        </r>
        <r>
          <rPr>
            <sz val="9"/>
            <color indexed="81"/>
            <rFont val="Tahoma"/>
            <family val="2"/>
          </rPr>
          <t xml:space="preserve">
Chemical co-products are Acetone and 2-butanone (MEK).</t>
        </r>
      </text>
    </comment>
    <comment ref="K82" authorId="1" shapeId="0" xr:uid="{2E36583D-6996-44EB-A411-8810AFF537CD}">
      <text>
        <r>
          <rPr>
            <b/>
            <sz val="9"/>
            <color indexed="81"/>
            <rFont val="Tahoma"/>
            <family val="2"/>
          </rPr>
          <t>Wang, Yuxi:</t>
        </r>
        <r>
          <rPr>
            <sz val="9"/>
            <color indexed="81"/>
            <rFont val="Tahoma"/>
            <family val="2"/>
          </rPr>
          <t xml:space="preserve">
Chemical co-products are Acetone and 2-butanone (MEK).</t>
        </r>
      </text>
    </comment>
    <comment ref="G84" authorId="0" shapeId="0" xr:uid="{7FB6C37D-EAF1-4C5B-BA8F-DAB466B90837}">
      <text>
        <r>
          <rPr>
            <b/>
            <sz val="9"/>
            <color indexed="81"/>
            <rFont val="Tahoma"/>
            <family val="2"/>
          </rPr>
          <t>Christopher Kinchin, NREL:</t>
        </r>
        <r>
          <rPr>
            <sz val="9"/>
            <color indexed="81"/>
            <rFont val="Tahoma"/>
            <family val="2"/>
          </rPr>
          <t xml:space="preserve">
Employee salaries were not updated to 2014 dollars. They are still in 2011 dollars. 
Overhead, Maintenance, and Insurance and Taxes are in 2014 dollars, because they are a percentage of FCI, which is in 2014 dollars.</t>
        </r>
      </text>
    </comment>
    <comment ref="B85" authorId="2" shapeId="0" xr:uid="{00000000-0006-0000-0300-000057000000}">
      <text>
        <r>
          <rPr>
            <b/>
            <sz val="9"/>
            <color indexed="81"/>
            <rFont val="Tahoma"/>
            <family val="2"/>
          </rPr>
          <t>ckinchin:</t>
        </r>
        <r>
          <rPr>
            <sz val="9"/>
            <color indexed="81"/>
            <rFont val="Tahoma"/>
            <family val="2"/>
          </rPr>
          <t xml:space="preserve">
60% of Employee Salaries.</t>
        </r>
      </text>
    </comment>
    <comment ref="C85" authorId="2" shapeId="0" xr:uid="{00000000-0006-0000-0300-000058000000}">
      <text>
        <r>
          <rPr>
            <b/>
            <sz val="9"/>
            <color indexed="81"/>
            <rFont val="Tahoma"/>
            <family val="2"/>
          </rPr>
          <t>ckinchin:</t>
        </r>
        <r>
          <rPr>
            <sz val="9"/>
            <color indexed="81"/>
            <rFont val="Tahoma"/>
            <family val="2"/>
          </rPr>
          <t xml:space="preserve">
60% of Employee Salaries.</t>
        </r>
      </text>
    </comment>
    <comment ref="D85" authorId="2" shapeId="0" xr:uid="{00000000-0006-0000-0300-000059000000}">
      <text>
        <r>
          <rPr>
            <b/>
            <sz val="9"/>
            <color indexed="81"/>
            <rFont val="Tahoma"/>
            <family val="2"/>
          </rPr>
          <t>ckinchin:</t>
        </r>
        <r>
          <rPr>
            <sz val="9"/>
            <color indexed="81"/>
            <rFont val="Tahoma"/>
            <family val="2"/>
          </rPr>
          <t xml:space="preserve">
90% of Employee Salaries.</t>
        </r>
      </text>
    </comment>
    <comment ref="F85" authorId="0" shapeId="0" xr:uid="{E473F040-3833-4F2C-BC01-5BBFE09D5D76}">
      <text>
        <r>
          <rPr>
            <b/>
            <sz val="9"/>
            <color indexed="81"/>
            <rFont val="Tahoma"/>
            <family val="2"/>
          </rPr>
          <t>Christopher Kinchin, NREL:</t>
        </r>
        <r>
          <rPr>
            <sz val="9"/>
            <color indexed="81"/>
            <rFont val="Tahoma"/>
            <family val="2"/>
          </rPr>
          <t xml:space="preserve">
90% of Labor.</t>
        </r>
      </text>
    </comment>
    <comment ref="G85" authorId="0" shapeId="0" xr:uid="{38AE3755-03FB-4381-A979-DDBBC2A246C7}">
      <text>
        <r>
          <rPr>
            <b/>
            <sz val="9"/>
            <color indexed="81"/>
            <rFont val="Tahoma"/>
            <family val="2"/>
          </rPr>
          <t>Christopher Kinchin, NREL:</t>
        </r>
        <r>
          <rPr>
            <sz val="9"/>
            <color indexed="81"/>
            <rFont val="Tahoma"/>
            <family val="2"/>
          </rPr>
          <t xml:space="preserve">
90% of Labor.</t>
        </r>
      </text>
    </comment>
    <comment ref="H85" authorId="0" shapeId="0" xr:uid="{4C074A53-7534-439A-A3A2-F7CBE0DF601D}">
      <text>
        <r>
          <rPr>
            <b/>
            <sz val="9"/>
            <color indexed="81"/>
            <rFont val="Tahoma"/>
            <family val="2"/>
          </rPr>
          <t>Christopher Kinchin, NREL:</t>
        </r>
        <r>
          <rPr>
            <sz val="9"/>
            <color indexed="81"/>
            <rFont val="Tahoma"/>
            <family val="2"/>
          </rPr>
          <t xml:space="preserve">
90% of Labor.</t>
        </r>
      </text>
    </comment>
    <comment ref="I85" authorId="0" shapeId="0" xr:uid="{8DEAE3E9-FCD3-4C8B-A3E5-7AF464CD1BCC}">
      <text>
        <r>
          <rPr>
            <b/>
            <sz val="9"/>
            <color indexed="81"/>
            <rFont val="Tahoma"/>
            <family val="2"/>
          </rPr>
          <t>Christopher Kinchin, NREL:</t>
        </r>
        <r>
          <rPr>
            <sz val="9"/>
            <color indexed="81"/>
            <rFont val="Tahoma"/>
            <family val="2"/>
          </rPr>
          <t xml:space="preserve">
90% of Labor.</t>
        </r>
      </text>
    </comment>
    <comment ref="J85" authorId="1" shapeId="0" xr:uid="{D709D2D4-D0FC-45E5-8BF6-44E37CA0085C}">
      <text>
        <r>
          <rPr>
            <b/>
            <sz val="9"/>
            <color indexed="81"/>
            <rFont val="Tahoma"/>
            <family val="2"/>
          </rPr>
          <t>Wang, Yuxi:</t>
        </r>
        <r>
          <rPr>
            <sz val="9"/>
            <color indexed="81"/>
            <rFont val="Tahoma"/>
            <family val="2"/>
          </rPr>
          <t xml:space="preserve">
90.0% of employee salaries.</t>
        </r>
      </text>
    </comment>
    <comment ref="K85" authorId="1" shapeId="0" xr:uid="{BE1A61A8-F13E-4B03-9E37-29147709ACC3}">
      <text>
        <r>
          <rPr>
            <b/>
            <sz val="9"/>
            <color indexed="81"/>
            <rFont val="Tahoma"/>
            <family val="2"/>
          </rPr>
          <t>Wang, Yuxi:</t>
        </r>
        <r>
          <rPr>
            <sz val="9"/>
            <color indexed="81"/>
            <rFont val="Tahoma"/>
            <family val="2"/>
          </rPr>
          <t xml:space="preserve">
90.0% of employee salaries.</t>
        </r>
      </text>
    </comment>
    <comment ref="B86" authorId="2" shapeId="0" xr:uid="{00000000-0006-0000-0300-00005D000000}">
      <text>
        <r>
          <rPr>
            <b/>
            <sz val="9"/>
            <color indexed="81"/>
            <rFont val="Tahoma"/>
            <family val="2"/>
          </rPr>
          <t>ckinchin:</t>
        </r>
        <r>
          <rPr>
            <sz val="9"/>
            <color indexed="81"/>
            <rFont val="Tahoma"/>
            <family val="2"/>
          </rPr>
          <t xml:space="preserve">
2% of TPI.</t>
        </r>
      </text>
    </comment>
    <comment ref="C86" authorId="2" shapeId="0" xr:uid="{00000000-0006-0000-0300-00005E000000}">
      <text>
        <r>
          <rPr>
            <b/>
            <sz val="9"/>
            <color indexed="81"/>
            <rFont val="Tahoma"/>
            <family val="2"/>
          </rPr>
          <t>ckinchin:</t>
        </r>
        <r>
          <rPr>
            <sz val="9"/>
            <color indexed="81"/>
            <rFont val="Tahoma"/>
            <family val="2"/>
          </rPr>
          <t xml:space="preserve">
2% of TPI.</t>
        </r>
      </text>
    </comment>
    <comment ref="F86" authorId="0" shapeId="0" xr:uid="{F4DDBDD9-7305-4A2D-84B0-9BB9432FEF46}">
      <text>
        <r>
          <rPr>
            <b/>
            <sz val="9"/>
            <color indexed="81"/>
            <rFont val="Tahoma"/>
            <family val="2"/>
          </rPr>
          <t>Christopher Kinchin, NREL:</t>
        </r>
        <r>
          <rPr>
            <sz val="9"/>
            <color indexed="81"/>
            <rFont val="Tahoma"/>
            <family val="2"/>
          </rPr>
          <t xml:space="preserve">
3.0% of FCI.</t>
        </r>
      </text>
    </comment>
    <comment ref="G86" authorId="0" shapeId="0" xr:uid="{86E47079-ABF2-4FDE-B0BB-C52D64DF0903}">
      <text>
        <r>
          <rPr>
            <b/>
            <sz val="9"/>
            <color indexed="81"/>
            <rFont val="Tahoma"/>
            <family val="2"/>
          </rPr>
          <t>Christopher Kinchin, NREL:</t>
        </r>
        <r>
          <rPr>
            <sz val="9"/>
            <color indexed="81"/>
            <rFont val="Tahoma"/>
            <family val="2"/>
          </rPr>
          <t xml:space="preserve">
3.0% of FCI.</t>
        </r>
      </text>
    </comment>
    <comment ref="H86" authorId="0" shapeId="0" xr:uid="{6A1C03E6-E8DC-4D37-8912-DADF69B8161D}">
      <text>
        <r>
          <rPr>
            <b/>
            <sz val="9"/>
            <color indexed="81"/>
            <rFont val="Tahoma"/>
            <family val="2"/>
          </rPr>
          <t>Christopher Kinchin, NREL:</t>
        </r>
        <r>
          <rPr>
            <sz val="9"/>
            <color indexed="81"/>
            <rFont val="Tahoma"/>
            <family val="2"/>
          </rPr>
          <t xml:space="preserve">
3.0% of FCI.</t>
        </r>
      </text>
    </comment>
    <comment ref="I86" authorId="0" shapeId="0" xr:uid="{2166B085-F070-4FB8-9B23-A76F73D13CA1}">
      <text>
        <r>
          <rPr>
            <b/>
            <sz val="9"/>
            <color indexed="81"/>
            <rFont val="Tahoma"/>
            <family val="2"/>
          </rPr>
          <t>Christopher Kinchin, NREL:</t>
        </r>
        <r>
          <rPr>
            <sz val="9"/>
            <color indexed="81"/>
            <rFont val="Tahoma"/>
            <family val="2"/>
          </rPr>
          <t xml:space="preserve">
3.0% of FCI.</t>
        </r>
      </text>
    </comment>
    <comment ref="J86" authorId="1" shapeId="0" xr:uid="{F51A9062-21E0-4234-B953-6AB22DA7AA39}">
      <text>
        <r>
          <rPr>
            <b/>
            <sz val="9"/>
            <color indexed="81"/>
            <rFont val="Tahoma"/>
            <family val="2"/>
          </rPr>
          <t>Wang, Yuxi:</t>
        </r>
        <r>
          <rPr>
            <sz val="9"/>
            <color indexed="81"/>
            <rFont val="Tahoma"/>
            <family val="2"/>
          </rPr>
          <t xml:space="preserve">
3.0% of FCI.</t>
        </r>
      </text>
    </comment>
    <comment ref="K86" authorId="1" shapeId="0" xr:uid="{49F48E63-FA37-48C8-B858-9B0E3084D859}">
      <text>
        <r>
          <rPr>
            <b/>
            <sz val="9"/>
            <color indexed="81"/>
            <rFont val="Tahoma"/>
            <family val="2"/>
          </rPr>
          <t>Wang, Yuxi:</t>
        </r>
        <r>
          <rPr>
            <sz val="9"/>
            <color indexed="81"/>
            <rFont val="Tahoma"/>
            <family val="2"/>
          </rPr>
          <t xml:space="preserve">
3.0% of FCI.</t>
        </r>
      </text>
    </comment>
    <comment ref="B87" authorId="2" shapeId="0" xr:uid="{00000000-0006-0000-0300-000062000000}">
      <text>
        <r>
          <rPr>
            <b/>
            <sz val="9"/>
            <color indexed="81"/>
            <rFont val="Tahoma"/>
            <family val="2"/>
          </rPr>
          <t>ckinchin:</t>
        </r>
        <r>
          <rPr>
            <sz val="9"/>
            <color indexed="81"/>
            <rFont val="Tahoma"/>
            <family val="2"/>
          </rPr>
          <t xml:space="preserve">
1.5% of TPI.</t>
        </r>
      </text>
    </comment>
    <comment ref="C87" authorId="2" shapeId="0" xr:uid="{00000000-0006-0000-0300-000063000000}">
      <text>
        <r>
          <rPr>
            <b/>
            <sz val="9"/>
            <color indexed="81"/>
            <rFont val="Tahoma"/>
            <family val="2"/>
          </rPr>
          <t>ckinchin:</t>
        </r>
        <r>
          <rPr>
            <sz val="9"/>
            <color indexed="81"/>
            <rFont val="Tahoma"/>
            <family val="2"/>
          </rPr>
          <t xml:space="preserve">
1.5% of TPI.</t>
        </r>
      </text>
    </comment>
    <comment ref="F87" authorId="0" shapeId="0" xr:uid="{971928B8-355E-4DC1-A059-BE3C7EE446D4}">
      <text>
        <r>
          <rPr>
            <b/>
            <sz val="9"/>
            <color indexed="81"/>
            <rFont val="Tahoma"/>
            <family val="2"/>
          </rPr>
          <t>Christopher Kinchin, NREL:</t>
        </r>
        <r>
          <rPr>
            <sz val="9"/>
            <color indexed="81"/>
            <rFont val="Tahoma"/>
            <family val="2"/>
          </rPr>
          <t xml:space="preserve">
0.7% of FCI</t>
        </r>
      </text>
    </comment>
    <comment ref="G87" authorId="0" shapeId="0" xr:uid="{75A3C45C-842B-4F49-A117-E86FDA1ADA6D}">
      <text>
        <r>
          <rPr>
            <b/>
            <sz val="9"/>
            <color indexed="81"/>
            <rFont val="Tahoma"/>
            <family val="2"/>
          </rPr>
          <t>Christopher Kinchin, NREL:</t>
        </r>
        <r>
          <rPr>
            <sz val="9"/>
            <color indexed="81"/>
            <rFont val="Tahoma"/>
            <family val="2"/>
          </rPr>
          <t xml:space="preserve">
0.7% of FCI</t>
        </r>
      </text>
    </comment>
    <comment ref="H87" authorId="0" shapeId="0" xr:uid="{692CC307-2445-41CE-AF32-17FEB6983F75}">
      <text>
        <r>
          <rPr>
            <b/>
            <sz val="9"/>
            <color indexed="81"/>
            <rFont val="Tahoma"/>
            <family val="2"/>
          </rPr>
          <t>Christopher Kinchin, NREL:</t>
        </r>
        <r>
          <rPr>
            <sz val="9"/>
            <color indexed="81"/>
            <rFont val="Tahoma"/>
            <family val="2"/>
          </rPr>
          <t xml:space="preserve">
0.7% of FCI</t>
        </r>
      </text>
    </comment>
    <comment ref="I87" authorId="0" shapeId="0" xr:uid="{337BA83D-EB0B-4CB9-B136-C42CBBDBAF4A}">
      <text>
        <r>
          <rPr>
            <b/>
            <sz val="9"/>
            <color indexed="81"/>
            <rFont val="Tahoma"/>
            <family val="2"/>
          </rPr>
          <t>Christopher Kinchin, NREL:</t>
        </r>
        <r>
          <rPr>
            <sz val="9"/>
            <color indexed="81"/>
            <rFont val="Tahoma"/>
            <family val="2"/>
          </rPr>
          <t xml:space="preserve">
0.7% of FCI</t>
        </r>
      </text>
    </comment>
    <comment ref="J87" authorId="1" shapeId="0" xr:uid="{8023BF2D-FBC6-4E8D-9628-169AFA123C08}">
      <text>
        <r>
          <rPr>
            <b/>
            <sz val="9"/>
            <color indexed="81"/>
            <rFont val="Tahoma"/>
            <family val="2"/>
          </rPr>
          <t>Wang, Yuxi:</t>
        </r>
        <r>
          <rPr>
            <sz val="9"/>
            <color indexed="81"/>
            <rFont val="Tahoma"/>
            <family val="2"/>
          </rPr>
          <t xml:space="preserve">
0.7% of FCI.</t>
        </r>
      </text>
    </comment>
    <comment ref="K87" authorId="1" shapeId="0" xr:uid="{7705CB1E-5459-4B0F-A235-4E671E6A8A1D}">
      <text>
        <r>
          <rPr>
            <b/>
            <sz val="9"/>
            <color indexed="81"/>
            <rFont val="Tahoma"/>
            <family val="2"/>
          </rPr>
          <t>Wang, Yuxi:</t>
        </r>
        <r>
          <rPr>
            <sz val="9"/>
            <color indexed="81"/>
            <rFont val="Tahoma"/>
            <family val="2"/>
          </rPr>
          <t xml:space="preserve">
0.7% of FCI.</t>
        </r>
      </text>
    </comment>
    <comment ref="B88" authorId="2" shapeId="0" xr:uid="{00000000-0006-0000-0300-000067000000}">
      <text>
        <r>
          <rPr>
            <b/>
            <sz val="9"/>
            <color indexed="81"/>
            <rFont val="Tahoma"/>
            <family val="2"/>
          </rPr>
          <t>ckinchin:</t>
        </r>
        <r>
          <rPr>
            <sz val="9"/>
            <color indexed="81"/>
            <rFont val="Tahoma"/>
            <family val="2"/>
          </rPr>
          <t xml:space="preserve">
5% of FCI.</t>
        </r>
      </text>
    </comment>
    <comment ref="C88" authorId="2" shapeId="0" xr:uid="{00000000-0006-0000-0300-000068000000}">
      <text>
        <r>
          <rPr>
            <b/>
            <sz val="9"/>
            <color indexed="81"/>
            <rFont val="Tahoma"/>
            <family val="2"/>
          </rPr>
          <t>ckinchin:</t>
        </r>
        <r>
          <rPr>
            <sz val="9"/>
            <color indexed="81"/>
            <rFont val="Tahoma"/>
            <family val="2"/>
          </rPr>
          <t xml:space="preserve">
5% of FCI.</t>
        </r>
      </text>
    </comment>
    <comment ref="D88" authorId="2" shapeId="0" xr:uid="{00000000-0006-0000-0300-000069000000}">
      <text>
        <r>
          <rPr>
            <b/>
            <sz val="9"/>
            <color indexed="81"/>
            <rFont val="Tahoma"/>
            <family val="2"/>
          </rPr>
          <t>ckinchin:</t>
        </r>
        <r>
          <rPr>
            <sz val="9"/>
            <color indexed="81"/>
            <rFont val="Tahoma"/>
            <family val="2"/>
          </rPr>
          <t xml:space="preserve">
5% of FCI.</t>
        </r>
      </text>
    </comment>
    <comment ref="B122" authorId="2" shapeId="0" xr:uid="{00000000-0006-0000-0300-00006B000000}">
      <text>
        <r>
          <rPr>
            <b/>
            <sz val="9"/>
            <color indexed="81"/>
            <rFont val="Tahoma"/>
            <family val="2"/>
          </rPr>
          <t>ckinchin:</t>
        </r>
        <r>
          <rPr>
            <sz val="9"/>
            <color indexed="81"/>
            <rFont val="Tahoma"/>
            <family val="2"/>
          </rPr>
          <t xml:space="preserve">
From Calculations sheet in this workbook.</t>
        </r>
      </text>
    </comment>
    <comment ref="C122" authorId="2" shapeId="0" xr:uid="{00000000-0006-0000-0300-00006C000000}">
      <text>
        <r>
          <rPr>
            <b/>
            <sz val="9"/>
            <color indexed="81"/>
            <rFont val="Tahoma"/>
            <family val="2"/>
          </rPr>
          <t>ckinchin:</t>
        </r>
        <r>
          <rPr>
            <sz val="9"/>
            <color indexed="81"/>
            <rFont val="Tahoma"/>
            <family val="2"/>
          </rPr>
          <t xml:space="preserve">
From Calculations sheet in this workbook.</t>
        </r>
      </text>
    </comment>
    <comment ref="E122" authorId="2" shapeId="0" xr:uid="{00000000-0006-0000-0300-00006D000000}">
      <text>
        <r>
          <rPr>
            <b/>
            <sz val="9"/>
            <color indexed="81"/>
            <rFont val="Tahoma"/>
            <family val="2"/>
          </rPr>
          <t>ckinchin:</t>
        </r>
        <r>
          <rPr>
            <sz val="9"/>
            <color indexed="81"/>
            <rFont val="Tahoma"/>
            <family val="2"/>
          </rPr>
          <t xml:space="preserve">
From FLOWS sheet in DCFROR workbook.</t>
        </r>
      </text>
    </comment>
    <comment ref="B127" authorId="2" shapeId="0" xr:uid="{00000000-0006-0000-0300-000071000000}">
      <text>
        <r>
          <rPr>
            <b/>
            <sz val="9"/>
            <color indexed="81"/>
            <rFont val="Tahoma"/>
            <family val="2"/>
          </rPr>
          <t>ckinchin:</t>
        </r>
        <r>
          <rPr>
            <sz val="9"/>
            <color indexed="81"/>
            <rFont val="Tahoma"/>
            <family val="2"/>
          </rPr>
          <t xml:space="preserve">
From Calculations sheet in this workbook.</t>
        </r>
      </text>
    </comment>
    <comment ref="C127" authorId="2" shapeId="0" xr:uid="{00000000-0006-0000-0300-000072000000}">
      <text>
        <r>
          <rPr>
            <b/>
            <sz val="9"/>
            <color indexed="81"/>
            <rFont val="Tahoma"/>
            <family val="2"/>
          </rPr>
          <t>ckinchin:</t>
        </r>
        <r>
          <rPr>
            <sz val="9"/>
            <color indexed="81"/>
            <rFont val="Tahoma"/>
            <family val="2"/>
          </rPr>
          <t xml:space="preserve">
From Calculations sheet in this workbook.</t>
        </r>
      </text>
    </comment>
    <comment ref="B128" authorId="2" shapeId="0" xr:uid="{00000000-0006-0000-0300-000074000000}">
      <text>
        <r>
          <rPr>
            <b/>
            <sz val="9"/>
            <color indexed="81"/>
            <rFont val="Tahoma"/>
            <family val="2"/>
          </rPr>
          <t>ckinchin:</t>
        </r>
        <r>
          <rPr>
            <sz val="9"/>
            <color indexed="81"/>
            <rFont val="Tahoma"/>
            <family val="2"/>
          </rPr>
          <t xml:space="preserve">
Calculated in calculations sheet of this workbook.</t>
        </r>
      </text>
    </comment>
    <comment ref="C128" authorId="2" shapeId="0" xr:uid="{00000000-0006-0000-0300-000075000000}">
      <text>
        <r>
          <rPr>
            <b/>
            <sz val="9"/>
            <color indexed="81"/>
            <rFont val="Tahoma"/>
            <family val="2"/>
          </rPr>
          <t>ckinchin:</t>
        </r>
        <r>
          <rPr>
            <sz val="9"/>
            <color indexed="81"/>
            <rFont val="Tahoma"/>
            <family val="2"/>
          </rPr>
          <t xml:space="preserve">
Calculated in calculations sheet of this workbook.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ckinchin</author>
    <author>Wang, Yuxi</author>
    <author>Christopher Kinchin, NREL</author>
    <author>Mary Biddy</author>
  </authors>
  <commentList>
    <comment ref="B11" authorId="0" shapeId="0" xr:uid="{00000000-0006-0000-0400-000001000000}">
      <text>
        <r>
          <rPr>
            <b/>
            <sz val="9"/>
            <color indexed="81"/>
            <rFont val="Tahoma"/>
            <family val="2"/>
          </rPr>
          <t>ckinchin:</t>
        </r>
        <r>
          <rPr>
            <sz val="9"/>
            <color indexed="81"/>
            <rFont val="Tahoma"/>
            <family val="2"/>
          </rPr>
          <t xml:space="preserve">
Feedstock + Handling Cost.  Assumes a blend of corn stover and switchgrass delivered according to the specifications detailed in the INL design report for the uniform-format feedstock supply system.
Hess, J.R., Uniform Format Design and Depot Preprocessing, in PNWER 2010 Annual Summit2010, Idaho National Laboratory: Calgary, Alberta Available from: http://www.pnwerarchive.org/LinkClick.aspx?fileticket=wAARiq9I5sI%3D&amp;tabid=1892&amp;mid=3531
</t>
        </r>
      </text>
    </comment>
    <comment ref="I11" authorId="1" shapeId="0" xr:uid="{E709A3A4-4E53-43D9-AE1A-A11E19FF65DC}">
      <text>
        <r>
          <rPr>
            <b/>
            <sz val="9"/>
            <color indexed="81"/>
            <rFont val="Tahoma"/>
            <family val="2"/>
          </rPr>
          <t>Wang, Yuxi:</t>
        </r>
        <r>
          <rPr>
            <sz val="9"/>
            <color indexed="81"/>
            <rFont val="Tahoma"/>
            <family val="2"/>
          </rPr>
          <t xml:space="preserve">
Inlcudes Handing Cost.</t>
        </r>
      </text>
    </comment>
    <comment ref="J11" authorId="1" shapeId="0" xr:uid="{E329F401-5F3C-4367-B9B8-826640497F04}">
      <text>
        <r>
          <rPr>
            <b/>
            <sz val="9"/>
            <color indexed="81"/>
            <rFont val="Tahoma"/>
            <family val="2"/>
          </rPr>
          <t>Wang, Yuxi:</t>
        </r>
        <r>
          <rPr>
            <sz val="9"/>
            <color indexed="81"/>
            <rFont val="Tahoma"/>
            <family val="2"/>
          </rPr>
          <t xml:space="preserve">
Includes Handling Cost.</t>
        </r>
      </text>
    </comment>
    <comment ref="K11" authorId="1" shapeId="0" xr:uid="{28F5C881-6FB8-44AA-9462-81A9A4D43355}">
      <text>
        <r>
          <rPr>
            <b/>
            <sz val="9"/>
            <color indexed="81"/>
            <rFont val="Tahoma"/>
            <family val="2"/>
          </rPr>
          <t>Wang, Yuxi:</t>
        </r>
        <r>
          <rPr>
            <sz val="9"/>
            <color indexed="81"/>
            <rFont val="Tahoma"/>
            <family val="2"/>
          </rPr>
          <t xml:space="preserve">
Includes Handling Cost.</t>
        </r>
      </text>
    </comment>
    <comment ref="L11" authorId="1" shapeId="0" xr:uid="{40B29D6B-61C7-43B7-A68E-E60D04B0DC8E}">
      <text>
        <r>
          <rPr>
            <b/>
            <sz val="9"/>
            <color indexed="81"/>
            <rFont val="Tahoma"/>
            <family val="2"/>
          </rPr>
          <t>Wang, Yuxi:</t>
        </r>
        <r>
          <rPr>
            <sz val="9"/>
            <color indexed="81"/>
            <rFont val="Tahoma"/>
            <family val="2"/>
          </rPr>
          <t xml:space="preserve">
Includes Handling Cost.</t>
        </r>
      </text>
    </comment>
    <comment ref="E15" authorId="0" shapeId="0" xr:uid="{ECF7F7EE-B6A8-4D6F-95F8-9D1355EC7883}">
      <text>
        <r>
          <rPr>
            <b/>
            <sz val="9"/>
            <color indexed="81"/>
            <rFont val="Tahoma"/>
            <family val="2"/>
          </rPr>
          <t>ckinchin:</t>
        </r>
        <r>
          <rPr>
            <sz val="9"/>
            <color indexed="81"/>
            <rFont val="Tahoma"/>
            <family val="2"/>
          </rPr>
          <t xml:space="preserve">
Taken directly from Summary sheet of DCFROR workbook.</t>
        </r>
      </text>
    </comment>
    <comment ref="C17" authorId="2" shapeId="0" xr:uid="{3FFCE86A-3EF4-4E78-8DCD-94F07A8A9E40}">
      <text>
        <r>
          <rPr>
            <b/>
            <sz val="9"/>
            <color indexed="81"/>
            <rFont val="Tahoma"/>
            <family val="2"/>
          </rPr>
          <t>Christopher Kinchin, NREL:</t>
        </r>
        <r>
          <rPr>
            <sz val="9"/>
            <color indexed="81"/>
            <rFont val="Tahoma"/>
            <family val="2"/>
          </rPr>
          <t xml:space="preserve">
Design report says $4.05, but that was in 2011$.</t>
        </r>
      </text>
    </comment>
    <comment ref="B28" authorId="0" shapeId="0" xr:uid="{00000000-0006-0000-0400-000012000000}">
      <text>
        <r>
          <rPr>
            <b/>
            <sz val="9"/>
            <color indexed="81"/>
            <rFont val="Tahoma"/>
            <family val="2"/>
          </rPr>
          <t>ckinchin:</t>
        </r>
        <r>
          <rPr>
            <sz val="9"/>
            <color indexed="81"/>
            <rFont val="Tahoma"/>
            <family val="2"/>
          </rPr>
          <t xml:space="preserve">
Recovery and Upgrading are in the same area of the source DCFROR workbook.  This value includes only the product decanter and centrifuge.   </t>
        </r>
      </text>
    </comment>
    <comment ref="F28" authorId="0" shapeId="0" xr:uid="{C70A3662-9CB9-485C-A44F-C6CBA2CB232D}">
      <text>
        <r>
          <rPr>
            <b/>
            <sz val="9"/>
            <color indexed="81"/>
            <rFont val="Tahoma"/>
            <family val="2"/>
          </rPr>
          <t>ckinchin:</t>
        </r>
        <r>
          <rPr>
            <sz val="9"/>
            <color indexed="81"/>
            <rFont val="Tahoma"/>
            <family val="2"/>
          </rPr>
          <t xml:space="preserve">
Recovery and Upgrading are in the same area of the source DCFROR workbook.  This value includes everything except the hydrotreating stuff.   </t>
        </r>
      </text>
    </comment>
    <comment ref="B30" authorId="0" shapeId="0" xr:uid="{00000000-0006-0000-0400-000015000000}">
      <text>
        <r>
          <rPr>
            <b/>
            <sz val="9"/>
            <color indexed="81"/>
            <rFont val="Tahoma"/>
            <family val="2"/>
          </rPr>
          <t>ckinchin:</t>
        </r>
        <r>
          <rPr>
            <sz val="9"/>
            <color indexed="81"/>
            <rFont val="Tahoma"/>
            <family val="2"/>
          </rPr>
          <t xml:space="preserve">
Recovery and Upgrading are in the same area of the source DCFROR workbook.  This value includes only the hydrotreating facility and PSA Unit.   </t>
        </r>
      </text>
    </comment>
    <comment ref="F30" authorId="0" shapeId="0" xr:uid="{42C80BDF-3CEC-4FDB-9A2B-428BE2A01FBD}">
      <text>
        <r>
          <rPr>
            <b/>
            <sz val="9"/>
            <color indexed="81"/>
            <rFont val="Tahoma"/>
            <family val="2"/>
          </rPr>
          <t>ckinchin:</t>
        </r>
        <r>
          <rPr>
            <sz val="9"/>
            <color indexed="81"/>
            <rFont val="Tahoma"/>
            <family val="2"/>
          </rPr>
          <t xml:space="preserve">
Recovery and Upgrading are in the same area of the source DCFROR workbook.  This value includes only the hydrotreating facility, PSA Unit, hydrotreating feed tank and hydrotreating feed pump.   </t>
        </r>
      </text>
    </comment>
    <comment ref="E36" authorId="2" shapeId="0" xr:uid="{C14D4A89-0115-4866-9220-B1DEAD352B9D}">
      <text>
        <r>
          <rPr>
            <b/>
            <sz val="9"/>
            <color indexed="81"/>
            <rFont val="Tahoma"/>
            <family val="2"/>
          </rPr>
          <t>Christopher Kinchin, NREL:</t>
        </r>
        <r>
          <rPr>
            <sz val="9"/>
            <color indexed="81"/>
            <rFont val="Tahoma"/>
            <family val="2"/>
          </rPr>
          <t xml:space="preserve">
Inlcudes cooling tower system and plant air compressor.
</t>
        </r>
      </text>
    </comment>
    <comment ref="B37" authorId="0" shapeId="0" xr:uid="{00000000-0006-0000-0400-00001B000000}">
      <text>
        <r>
          <rPr>
            <b/>
            <sz val="9"/>
            <color indexed="81"/>
            <rFont val="Tahoma"/>
            <family val="2"/>
          </rPr>
          <t>ckinchin:</t>
        </r>
        <r>
          <rPr>
            <sz val="9"/>
            <color indexed="81"/>
            <rFont val="Tahoma"/>
            <family val="2"/>
          </rPr>
          <t xml:space="preserve">
Does not include Feedstock Handling.</t>
        </r>
      </text>
    </comment>
    <comment ref="C37" authorId="0" shapeId="0" xr:uid="{8B206E37-9B4A-44EA-AD50-45DA4BE933E6}">
      <text>
        <r>
          <rPr>
            <b/>
            <sz val="9"/>
            <color indexed="81"/>
            <rFont val="Tahoma"/>
            <family val="2"/>
          </rPr>
          <t>ckinchin:</t>
        </r>
        <r>
          <rPr>
            <sz val="9"/>
            <color indexed="81"/>
            <rFont val="Tahoma"/>
            <family val="2"/>
          </rPr>
          <t xml:space="preserve">
Does not include Feedstock Handling.</t>
        </r>
      </text>
    </comment>
    <comment ref="D37" authorId="0" shapeId="0" xr:uid="{04F41A7C-D7B3-4D78-A5D4-367C669E05F6}">
      <text>
        <r>
          <rPr>
            <b/>
            <sz val="9"/>
            <color indexed="81"/>
            <rFont val="Tahoma"/>
            <family val="2"/>
          </rPr>
          <t>ckinchin:</t>
        </r>
        <r>
          <rPr>
            <sz val="9"/>
            <color indexed="81"/>
            <rFont val="Tahoma"/>
            <family val="2"/>
          </rPr>
          <t xml:space="preserve">
Does not include Feedstock Handling.</t>
        </r>
      </text>
    </comment>
    <comment ref="E37" authorId="0" shapeId="0" xr:uid="{6C5476AC-39D5-4AC3-97A6-700D6BA77136}">
      <text>
        <r>
          <rPr>
            <b/>
            <sz val="9"/>
            <color indexed="81"/>
            <rFont val="Tahoma"/>
            <family val="2"/>
          </rPr>
          <t>ckinchin:</t>
        </r>
        <r>
          <rPr>
            <sz val="9"/>
            <color indexed="81"/>
            <rFont val="Tahoma"/>
            <family val="2"/>
          </rPr>
          <t xml:space="preserve">
Does not include Feedstock Handling.</t>
        </r>
      </text>
    </comment>
    <comment ref="F37" authorId="0" shapeId="0" xr:uid="{6FFCC045-3219-4571-834E-6A176197AEFF}">
      <text>
        <r>
          <rPr>
            <b/>
            <sz val="9"/>
            <color indexed="81"/>
            <rFont val="Tahoma"/>
            <family val="2"/>
          </rPr>
          <t>ckinchin:</t>
        </r>
        <r>
          <rPr>
            <sz val="9"/>
            <color indexed="81"/>
            <rFont val="Tahoma"/>
            <family val="2"/>
          </rPr>
          <t xml:space="preserve">
Does not include Feedstock Handling.</t>
        </r>
      </text>
    </comment>
    <comment ref="G37" authorId="0" shapeId="0" xr:uid="{4D08B52B-CA98-4DD4-A732-905283A40776}">
      <text>
        <r>
          <rPr>
            <b/>
            <sz val="9"/>
            <color indexed="81"/>
            <rFont val="Tahoma"/>
            <family val="2"/>
          </rPr>
          <t>ckinchin:</t>
        </r>
        <r>
          <rPr>
            <sz val="9"/>
            <color indexed="81"/>
            <rFont val="Tahoma"/>
            <family val="2"/>
          </rPr>
          <t xml:space="preserve">
Does not include Feedstock Handling.</t>
        </r>
      </text>
    </comment>
    <comment ref="H37" authorId="0" shapeId="0" xr:uid="{80E14F83-0282-43D6-BCD7-4664FB837DB7}">
      <text>
        <r>
          <rPr>
            <b/>
            <sz val="9"/>
            <color indexed="81"/>
            <rFont val="Tahoma"/>
            <family val="2"/>
          </rPr>
          <t>ckinchin:</t>
        </r>
        <r>
          <rPr>
            <sz val="9"/>
            <color indexed="81"/>
            <rFont val="Tahoma"/>
            <family val="2"/>
          </rPr>
          <t xml:space="preserve">
Does not include Feedstock Handling.</t>
        </r>
      </text>
    </comment>
    <comment ref="B39" authorId="0" shapeId="0" xr:uid="{00000000-0006-0000-0400-000025000000}">
      <text>
        <r>
          <rPr>
            <b/>
            <sz val="9"/>
            <color indexed="81"/>
            <rFont val="Tahoma"/>
            <family val="2"/>
          </rPr>
          <t>ckinchin:</t>
        </r>
        <r>
          <rPr>
            <sz val="9"/>
            <color indexed="81"/>
            <rFont val="Tahoma"/>
            <family val="2"/>
          </rPr>
          <t xml:space="preserve">
4% of ISBL.</t>
        </r>
      </text>
    </comment>
    <comment ref="C39" authorId="0" shapeId="0" xr:uid="{AB222ED3-BC34-4564-A501-E5FCB305D1FA}">
      <text>
        <r>
          <rPr>
            <b/>
            <sz val="9"/>
            <color indexed="81"/>
            <rFont val="Tahoma"/>
            <family val="2"/>
          </rPr>
          <t>ckinchin:</t>
        </r>
        <r>
          <rPr>
            <sz val="9"/>
            <color indexed="81"/>
            <rFont val="Tahoma"/>
            <family val="2"/>
          </rPr>
          <t xml:space="preserve">
4% of ISBL.</t>
        </r>
      </text>
    </comment>
    <comment ref="D39" authorId="0" shapeId="0" xr:uid="{DD673101-8510-4289-BE48-0D096A2452A7}">
      <text>
        <r>
          <rPr>
            <b/>
            <sz val="9"/>
            <color indexed="81"/>
            <rFont val="Tahoma"/>
            <family val="2"/>
          </rPr>
          <t>ckinchin:</t>
        </r>
        <r>
          <rPr>
            <sz val="9"/>
            <color indexed="81"/>
            <rFont val="Tahoma"/>
            <family val="2"/>
          </rPr>
          <t xml:space="preserve">
4% of ISBL.</t>
        </r>
      </text>
    </comment>
    <comment ref="E39" authorId="2" shapeId="0" xr:uid="{BC0C68A9-BF8A-404E-91EE-E5070D67FB07}">
      <text>
        <r>
          <rPr>
            <b/>
            <sz val="9"/>
            <color indexed="81"/>
            <rFont val="Tahoma"/>
            <family val="2"/>
          </rPr>
          <t>Christopher Kinchin, NREL:</t>
        </r>
        <r>
          <rPr>
            <sz val="9"/>
            <color indexed="81"/>
            <rFont val="Tahoma"/>
            <family val="2"/>
          </rPr>
          <t xml:space="preserve">
1.50% of Equipment Costs</t>
        </r>
      </text>
    </comment>
    <comment ref="F39" authorId="0" shapeId="0" xr:uid="{0603AFC2-71EE-41CB-939C-0FF353DE2A54}">
      <text>
        <r>
          <rPr>
            <b/>
            <sz val="9"/>
            <color indexed="81"/>
            <rFont val="Tahoma"/>
            <family val="2"/>
          </rPr>
          <t>ckinchin:</t>
        </r>
        <r>
          <rPr>
            <sz val="9"/>
            <color indexed="81"/>
            <rFont val="Tahoma"/>
            <family val="2"/>
          </rPr>
          <t xml:space="preserve">
4% of ISBL.</t>
        </r>
      </text>
    </comment>
    <comment ref="G39" authorId="0" shapeId="0" xr:uid="{A6E7705B-7D91-4A15-9B4E-8F2A73ECD255}">
      <text>
        <r>
          <rPr>
            <b/>
            <sz val="9"/>
            <color indexed="81"/>
            <rFont val="Tahoma"/>
            <family val="2"/>
          </rPr>
          <t>ckinchin:</t>
        </r>
        <r>
          <rPr>
            <sz val="9"/>
            <color indexed="81"/>
            <rFont val="Tahoma"/>
            <family val="2"/>
          </rPr>
          <t xml:space="preserve">
4% of ISBL.</t>
        </r>
      </text>
    </comment>
    <comment ref="H39" authorId="0" shapeId="0" xr:uid="{4D8ED7AB-0FF4-481E-BF74-A1659B8A6092}">
      <text>
        <r>
          <rPr>
            <b/>
            <sz val="9"/>
            <color indexed="81"/>
            <rFont val="Tahoma"/>
            <family val="2"/>
          </rPr>
          <t>ckinchin:</t>
        </r>
        <r>
          <rPr>
            <sz val="9"/>
            <color indexed="81"/>
            <rFont val="Tahoma"/>
            <family val="2"/>
          </rPr>
          <t xml:space="preserve">
4% of ISBL.</t>
        </r>
      </text>
    </comment>
    <comment ref="I39" authorId="1" shapeId="0" xr:uid="{888ECD3F-ADCC-4EBD-BC30-146C486876FD}">
      <text>
        <r>
          <rPr>
            <b/>
            <sz val="9"/>
            <color indexed="81"/>
            <rFont val="Tahoma"/>
            <family val="2"/>
          </rPr>
          <t>Wang, Yuxi:</t>
        </r>
        <r>
          <rPr>
            <sz val="9"/>
            <color indexed="81"/>
            <rFont val="Tahoma"/>
            <family val="2"/>
          </rPr>
          <t xml:space="preserve">
4% of ISBL.</t>
        </r>
      </text>
    </comment>
    <comment ref="J39" authorId="1" shapeId="0" xr:uid="{4051B0FC-BA2C-41C1-9D73-186FB5A040BC}">
      <text>
        <r>
          <rPr>
            <b/>
            <sz val="9"/>
            <color indexed="81"/>
            <rFont val="Tahoma"/>
            <family val="2"/>
          </rPr>
          <t>Wang, Yuxi:</t>
        </r>
        <r>
          <rPr>
            <sz val="9"/>
            <color indexed="81"/>
            <rFont val="Tahoma"/>
            <family val="2"/>
          </rPr>
          <t xml:space="preserve">
4% of ISBL.
</t>
        </r>
      </text>
    </comment>
    <comment ref="K39" authorId="1" shapeId="0" xr:uid="{FED15D4E-79F8-4753-B5B2-ED28D3B8E284}">
      <text>
        <r>
          <rPr>
            <b/>
            <sz val="9"/>
            <color indexed="81"/>
            <rFont val="Tahoma"/>
            <family val="2"/>
          </rPr>
          <t>Wang, Yuxi:</t>
        </r>
        <r>
          <rPr>
            <sz val="9"/>
            <color indexed="81"/>
            <rFont val="Tahoma"/>
            <family val="2"/>
          </rPr>
          <t xml:space="preserve">
4% of ISBL.</t>
        </r>
      </text>
    </comment>
    <comment ref="L39" authorId="1" shapeId="0" xr:uid="{76905F0A-DDEF-4172-B03C-FCFFA2D6C797}">
      <text>
        <r>
          <rPr>
            <b/>
            <sz val="9"/>
            <color indexed="81"/>
            <rFont val="Tahoma"/>
            <family val="2"/>
          </rPr>
          <t>Wang, Yuxi:</t>
        </r>
        <r>
          <rPr>
            <sz val="9"/>
            <color indexed="81"/>
            <rFont val="Tahoma"/>
            <family val="2"/>
          </rPr>
          <t xml:space="preserve">
4% of ISBL.</t>
        </r>
      </text>
    </comment>
    <comment ref="B40" authorId="0" shapeId="0" xr:uid="{00000000-0006-0000-0400-00002E000000}">
      <text>
        <r>
          <rPr>
            <b/>
            <sz val="9"/>
            <color indexed="81"/>
            <rFont val="Tahoma"/>
            <family val="2"/>
          </rPr>
          <t>ckinchin:</t>
        </r>
        <r>
          <rPr>
            <sz val="9"/>
            <color indexed="81"/>
            <rFont val="Tahoma"/>
            <family val="2"/>
          </rPr>
          <t xml:space="preserve">
9% of ISBL.</t>
        </r>
      </text>
    </comment>
    <comment ref="C40" authorId="0" shapeId="0" xr:uid="{7ABB851D-6FFE-419C-B5EE-51156F63AFDD}">
      <text>
        <r>
          <rPr>
            <b/>
            <sz val="9"/>
            <color indexed="81"/>
            <rFont val="Tahoma"/>
            <family val="2"/>
          </rPr>
          <t>ckinchin:</t>
        </r>
        <r>
          <rPr>
            <sz val="9"/>
            <color indexed="81"/>
            <rFont val="Tahoma"/>
            <family val="2"/>
          </rPr>
          <t xml:space="preserve">
9% of ISBL.</t>
        </r>
      </text>
    </comment>
    <comment ref="D40" authorId="0" shapeId="0" xr:uid="{308C1173-03B0-4586-818A-D2FFD98EEB20}">
      <text>
        <r>
          <rPr>
            <b/>
            <sz val="9"/>
            <color indexed="81"/>
            <rFont val="Tahoma"/>
            <family val="2"/>
          </rPr>
          <t>ckinchin:</t>
        </r>
        <r>
          <rPr>
            <sz val="9"/>
            <color indexed="81"/>
            <rFont val="Tahoma"/>
            <family val="2"/>
          </rPr>
          <t xml:space="preserve">
9% of ISBL.</t>
        </r>
      </text>
    </comment>
    <comment ref="E40" authorId="2" shapeId="0" xr:uid="{B9164EBD-829B-450A-86AB-83A401F7670D}">
      <text>
        <r>
          <rPr>
            <b/>
            <sz val="9"/>
            <color indexed="81"/>
            <rFont val="Tahoma"/>
            <family val="2"/>
          </rPr>
          <t>Christopher Kinchin, NREL:</t>
        </r>
        <r>
          <rPr>
            <sz val="9"/>
            <color indexed="81"/>
            <rFont val="Tahoma"/>
            <family val="2"/>
          </rPr>
          <t xml:space="preserve">
9.0% of ISBL</t>
        </r>
      </text>
    </comment>
    <comment ref="F40" authorId="0" shapeId="0" xr:uid="{F86A70AE-FAAD-42ED-B5A9-7CA7A10777BA}">
      <text>
        <r>
          <rPr>
            <b/>
            <sz val="9"/>
            <color indexed="81"/>
            <rFont val="Tahoma"/>
            <family val="2"/>
          </rPr>
          <t>ckinchin:</t>
        </r>
        <r>
          <rPr>
            <sz val="9"/>
            <color indexed="81"/>
            <rFont val="Tahoma"/>
            <family val="2"/>
          </rPr>
          <t xml:space="preserve">
9% of ISBL.</t>
        </r>
      </text>
    </comment>
    <comment ref="G40" authorId="0" shapeId="0" xr:uid="{2A5AFF60-6BE7-4EC8-A502-4BE10E30F3BD}">
      <text>
        <r>
          <rPr>
            <b/>
            <sz val="9"/>
            <color indexed="81"/>
            <rFont val="Tahoma"/>
            <family val="2"/>
          </rPr>
          <t>ckinchin:</t>
        </r>
        <r>
          <rPr>
            <sz val="9"/>
            <color indexed="81"/>
            <rFont val="Tahoma"/>
            <family val="2"/>
          </rPr>
          <t xml:space="preserve">
9% of ISBL.</t>
        </r>
      </text>
    </comment>
    <comment ref="H40" authorId="0" shapeId="0" xr:uid="{F53C6D46-47A9-43EC-9838-D25D0BB76938}">
      <text>
        <r>
          <rPr>
            <b/>
            <sz val="9"/>
            <color indexed="81"/>
            <rFont val="Tahoma"/>
            <family val="2"/>
          </rPr>
          <t>ckinchin:</t>
        </r>
        <r>
          <rPr>
            <sz val="9"/>
            <color indexed="81"/>
            <rFont val="Tahoma"/>
            <family val="2"/>
          </rPr>
          <t xml:space="preserve">
9% of ISBL.</t>
        </r>
      </text>
    </comment>
    <comment ref="I40" authorId="1" shapeId="0" xr:uid="{2B46AD92-C2CD-4EAE-B7FE-53D252FB398F}">
      <text>
        <r>
          <rPr>
            <b/>
            <sz val="9"/>
            <color indexed="81"/>
            <rFont val="Tahoma"/>
            <family val="2"/>
          </rPr>
          <t>Wang, Yuxi:</t>
        </r>
        <r>
          <rPr>
            <sz val="9"/>
            <color indexed="81"/>
            <rFont val="Tahoma"/>
            <family val="2"/>
          </rPr>
          <t xml:space="preserve">
9% of ISBL.</t>
        </r>
      </text>
    </comment>
    <comment ref="J40" authorId="1" shapeId="0" xr:uid="{E9AB4FC2-1DB8-4D44-9B85-CE1840C669C2}">
      <text>
        <r>
          <rPr>
            <b/>
            <sz val="9"/>
            <color indexed="81"/>
            <rFont val="Tahoma"/>
            <family val="2"/>
          </rPr>
          <t>Wang, Yuxi:</t>
        </r>
        <r>
          <rPr>
            <sz val="9"/>
            <color indexed="81"/>
            <rFont val="Tahoma"/>
            <family val="2"/>
          </rPr>
          <t xml:space="preserve">
9% of ISBL.</t>
        </r>
      </text>
    </comment>
    <comment ref="K40" authorId="1" shapeId="0" xr:uid="{68D7BE2C-C204-4288-AE35-835D6AD9B5C5}">
      <text>
        <r>
          <rPr>
            <b/>
            <sz val="9"/>
            <color indexed="81"/>
            <rFont val="Tahoma"/>
            <family val="2"/>
          </rPr>
          <t>Wang, Yuxi:</t>
        </r>
        <r>
          <rPr>
            <sz val="9"/>
            <color indexed="81"/>
            <rFont val="Tahoma"/>
            <family val="2"/>
          </rPr>
          <t xml:space="preserve">
9% of ISBL.</t>
        </r>
      </text>
    </comment>
    <comment ref="L40" authorId="1" shapeId="0" xr:uid="{780D6212-C092-423C-B7EC-21D974D87BA2}">
      <text>
        <r>
          <rPr>
            <b/>
            <sz val="9"/>
            <color indexed="81"/>
            <rFont val="Tahoma"/>
            <family val="2"/>
          </rPr>
          <t>Wang, Yuxi:</t>
        </r>
        <r>
          <rPr>
            <sz val="9"/>
            <color indexed="81"/>
            <rFont val="Tahoma"/>
            <family val="2"/>
          </rPr>
          <t xml:space="preserve">
9% of ISBL.</t>
        </r>
      </text>
    </comment>
    <comment ref="B41" authorId="0" shapeId="0" xr:uid="{00000000-0006-0000-0400-000037000000}">
      <text>
        <r>
          <rPr>
            <b/>
            <sz val="9"/>
            <color indexed="81"/>
            <rFont val="Tahoma"/>
            <family val="2"/>
          </rPr>
          <t>ckinchin:</t>
        </r>
        <r>
          <rPr>
            <sz val="9"/>
            <color indexed="81"/>
            <rFont val="Tahoma"/>
            <family val="2"/>
          </rPr>
          <t xml:space="preserve">
4.5% of ISBL.</t>
        </r>
      </text>
    </comment>
    <comment ref="C41" authorId="0" shapeId="0" xr:uid="{FF5B3380-EB7A-45E9-8955-2D283B021C02}">
      <text>
        <r>
          <rPr>
            <b/>
            <sz val="9"/>
            <color indexed="81"/>
            <rFont val="Tahoma"/>
            <family val="2"/>
          </rPr>
          <t>ckinchin:</t>
        </r>
        <r>
          <rPr>
            <sz val="9"/>
            <color indexed="81"/>
            <rFont val="Tahoma"/>
            <family val="2"/>
          </rPr>
          <t xml:space="preserve">
4.5% of ISBL.</t>
        </r>
      </text>
    </comment>
    <comment ref="D41" authorId="0" shapeId="0" xr:uid="{2F8F186F-E009-4CD9-A7E0-8DE4D0E842D9}">
      <text>
        <r>
          <rPr>
            <b/>
            <sz val="9"/>
            <color indexed="81"/>
            <rFont val="Tahoma"/>
            <family val="2"/>
          </rPr>
          <t>ckinchin:</t>
        </r>
        <r>
          <rPr>
            <sz val="9"/>
            <color indexed="81"/>
            <rFont val="Tahoma"/>
            <family val="2"/>
          </rPr>
          <t xml:space="preserve">
4.5% of ISBL.</t>
        </r>
      </text>
    </comment>
    <comment ref="F41" authorId="0" shapeId="0" xr:uid="{FBFA3741-8B3A-4533-BE2D-D0464C1FF946}">
      <text>
        <r>
          <rPr>
            <b/>
            <sz val="9"/>
            <color indexed="81"/>
            <rFont val="Tahoma"/>
            <family val="2"/>
          </rPr>
          <t>ckinchin:</t>
        </r>
        <r>
          <rPr>
            <sz val="9"/>
            <color indexed="81"/>
            <rFont val="Tahoma"/>
            <family val="2"/>
          </rPr>
          <t xml:space="preserve">
4.5% of ISBL.</t>
        </r>
      </text>
    </comment>
    <comment ref="G41" authorId="0" shapeId="0" xr:uid="{861F7413-CCAF-4A4B-939B-6E1F642B23B1}">
      <text>
        <r>
          <rPr>
            <b/>
            <sz val="9"/>
            <color indexed="81"/>
            <rFont val="Tahoma"/>
            <family val="2"/>
          </rPr>
          <t>ckinchin:</t>
        </r>
        <r>
          <rPr>
            <sz val="9"/>
            <color indexed="81"/>
            <rFont val="Tahoma"/>
            <family val="2"/>
          </rPr>
          <t xml:space="preserve">
4.5% of ISBL.</t>
        </r>
      </text>
    </comment>
    <comment ref="H41" authorId="0" shapeId="0" xr:uid="{13423423-5742-4156-B2E3-F7BA177A671F}">
      <text>
        <r>
          <rPr>
            <b/>
            <sz val="9"/>
            <color indexed="81"/>
            <rFont val="Tahoma"/>
            <family val="2"/>
          </rPr>
          <t>ckinchin:</t>
        </r>
        <r>
          <rPr>
            <sz val="9"/>
            <color indexed="81"/>
            <rFont val="Tahoma"/>
            <family val="2"/>
          </rPr>
          <t xml:space="preserve">
4.5% of ISBL.</t>
        </r>
      </text>
    </comment>
    <comment ref="I41" authorId="1" shapeId="0" xr:uid="{8A72EDEE-2070-4049-8E8B-826B5366BF86}">
      <text>
        <r>
          <rPr>
            <b/>
            <sz val="9"/>
            <color indexed="81"/>
            <rFont val="Tahoma"/>
            <family val="2"/>
          </rPr>
          <t>Wang, Yuxi:</t>
        </r>
        <r>
          <rPr>
            <sz val="9"/>
            <color indexed="81"/>
            <rFont val="Tahoma"/>
            <family val="2"/>
          </rPr>
          <t xml:space="preserve">
4.5% of ISBL.</t>
        </r>
      </text>
    </comment>
    <comment ref="J41" authorId="1" shapeId="0" xr:uid="{3F64E42F-376A-4293-877B-E5365F1DB9DF}">
      <text>
        <r>
          <rPr>
            <b/>
            <sz val="9"/>
            <color indexed="81"/>
            <rFont val="Tahoma"/>
            <family val="2"/>
          </rPr>
          <t>Wang, Yuxi:</t>
        </r>
        <r>
          <rPr>
            <sz val="9"/>
            <color indexed="81"/>
            <rFont val="Tahoma"/>
            <family val="2"/>
          </rPr>
          <t xml:space="preserve">
4.5% of ISBL.</t>
        </r>
      </text>
    </comment>
    <comment ref="K41" authorId="1" shapeId="0" xr:uid="{921608FD-9834-4594-8FB8-E8454C639E19}">
      <text>
        <r>
          <rPr>
            <b/>
            <sz val="9"/>
            <color indexed="81"/>
            <rFont val="Tahoma"/>
            <family val="2"/>
          </rPr>
          <t>Wang, Yuxi:</t>
        </r>
        <r>
          <rPr>
            <sz val="9"/>
            <color indexed="81"/>
            <rFont val="Tahoma"/>
            <family val="2"/>
          </rPr>
          <t xml:space="preserve">
4.5% of ISBL.</t>
        </r>
      </text>
    </comment>
    <comment ref="L41" authorId="1" shapeId="0" xr:uid="{7690A4F0-3DFB-474A-8E42-6EFEA83348A0}">
      <text>
        <r>
          <rPr>
            <b/>
            <sz val="9"/>
            <color indexed="81"/>
            <rFont val="Tahoma"/>
            <family val="2"/>
          </rPr>
          <t>Wang, Yuxi:</t>
        </r>
        <r>
          <rPr>
            <sz val="9"/>
            <color indexed="81"/>
            <rFont val="Tahoma"/>
            <family val="2"/>
          </rPr>
          <t xml:space="preserve">
4.5% of ISBL.</t>
        </r>
      </text>
    </comment>
    <comment ref="B44" authorId="0" shapeId="0" xr:uid="{00000000-0006-0000-0400-000040000000}">
      <text>
        <r>
          <rPr>
            <b/>
            <sz val="9"/>
            <color indexed="81"/>
            <rFont val="Tahoma"/>
            <family val="2"/>
          </rPr>
          <t>ckinchin:</t>
        </r>
        <r>
          <rPr>
            <sz val="9"/>
            <color indexed="81"/>
            <rFont val="Tahoma"/>
            <family val="2"/>
          </rPr>
          <t xml:space="preserve">
10% of TDC.</t>
        </r>
      </text>
    </comment>
    <comment ref="C44" authorId="0" shapeId="0" xr:uid="{7A923BAC-9169-485D-BC56-AA7C30DEE92E}">
      <text>
        <r>
          <rPr>
            <b/>
            <sz val="9"/>
            <color indexed="81"/>
            <rFont val="Tahoma"/>
            <family val="2"/>
          </rPr>
          <t>ckinchin:</t>
        </r>
        <r>
          <rPr>
            <sz val="9"/>
            <color indexed="81"/>
            <rFont val="Tahoma"/>
            <family val="2"/>
          </rPr>
          <t xml:space="preserve">
10% of TDC.</t>
        </r>
      </text>
    </comment>
    <comment ref="D44" authorId="0" shapeId="0" xr:uid="{B6181C88-5699-47C2-85B2-0D5457D8677C}">
      <text>
        <r>
          <rPr>
            <b/>
            <sz val="9"/>
            <color indexed="81"/>
            <rFont val="Tahoma"/>
            <family val="2"/>
          </rPr>
          <t>ckinchin:</t>
        </r>
        <r>
          <rPr>
            <sz val="9"/>
            <color indexed="81"/>
            <rFont val="Tahoma"/>
            <family val="2"/>
          </rPr>
          <t xml:space="preserve">
10% of TDC.</t>
        </r>
      </text>
    </comment>
    <comment ref="E44" authorId="0" shapeId="0" xr:uid="{71EC4CA8-987D-451A-9F10-2D8B522BFF58}">
      <text>
        <r>
          <rPr>
            <b/>
            <sz val="9"/>
            <color indexed="81"/>
            <rFont val="Tahoma"/>
            <family val="2"/>
          </rPr>
          <t>ckinchin:</t>
        </r>
        <r>
          <rPr>
            <sz val="9"/>
            <color indexed="81"/>
            <rFont val="Tahoma"/>
            <family val="2"/>
          </rPr>
          <t xml:space="preserve">
10% of TDC.</t>
        </r>
      </text>
    </comment>
    <comment ref="F44" authorId="0" shapeId="0" xr:uid="{C060FC1E-88D4-4DAD-8A95-881D4C981CBC}">
      <text>
        <r>
          <rPr>
            <b/>
            <sz val="9"/>
            <color indexed="81"/>
            <rFont val="Tahoma"/>
            <family val="2"/>
          </rPr>
          <t>ckinchin:</t>
        </r>
        <r>
          <rPr>
            <sz val="9"/>
            <color indexed="81"/>
            <rFont val="Tahoma"/>
            <family val="2"/>
          </rPr>
          <t xml:space="preserve">
10% of TDC.</t>
        </r>
      </text>
    </comment>
    <comment ref="G44" authorId="0" shapeId="0" xr:uid="{9AF51DF5-0E45-4F45-9E68-05F948547F8A}">
      <text>
        <r>
          <rPr>
            <b/>
            <sz val="9"/>
            <color indexed="81"/>
            <rFont val="Tahoma"/>
            <family val="2"/>
          </rPr>
          <t>ckinchin:</t>
        </r>
        <r>
          <rPr>
            <sz val="9"/>
            <color indexed="81"/>
            <rFont val="Tahoma"/>
            <family val="2"/>
          </rPr>
          <t xml:space="preserve">
10% of TDC.</t>
        </r>
      </text>
    </comment>
    <comment ref="H44" authorId="0" shapeId="0" xr:uid="{23CFD101-61AA-4894-AED7-E00AEF10D29C}">
      <text>
        <r>
          <rPr>
            <b/>
            <sz val="9"/>
            <color indexed="81"/>
            <rFont val="Tahoma"/>
            <family val="2"/>
          </rPr>
          <t>ckinchin:</t>
        </r>
        <r>
          <rPr>
            <sz val="9"/>
            <color indexed="81"/>
            <rFont val="Tahoma"/>
            <family val="2"/>
          </rPr>
          <t xml:space="preserve">
10% of TDC.</t>
        </r>
      </text>
    </comment>
    <comment ref="I44" authorId="1" shapeId="0" xr:uid="{2377B210-2566-48F3-8079-112A883AB263}">
      <text>
        <r>
          <rPr>
            <b/>
            <sz val="9"/>
            <color indexed="81"/>
            <rFont val="Tahoma"/>
            <family val="2"/>
          </rPr>
          <t>Wang, Yuxi:</t>
        </r>
        <r>
          <rPr>
            <sz val="9"/>
            <color indexed="81"/>
            <rFont val="Tahoma"/>
            <family val="2"/>
          </rPr>
          <t xml:space="preserve">
10% of TDC.</t>
        </r>
      </text>
    </comment>
    <comment ref="J44" authorId="1" shapeId="0" xr:uid="{FD6F94B9-8AE8-49BA-A15C-56AA87C10949}">
      <text>
        <r>
          <rPr>
            <b/>
            <sz val="9"/>
            <color indexed="81"/>
            <rFont val="Tahoma"/>
            <family val="2"/>
          </rPr>
          <t>Wang, Yuxi:</t>
        </r>
        <r>
          <rPr>
            <sz val="9"/>
            <color indexed="81"/>
            <rFont val="Tahoma"/>
            <family val="2"/>
          </rPr>
          <t xml:space="preserve">
10% of TDC.</t>
        </r>
      </text>
    </comment>
    <comment ref="K44" authorId="1" shapeId="0" xr:uid="{135C88DA-6A53-4144-9BE3-4AB0CC8A6239}">
      <text>
        <r>
          <rPr>
            <b/>
            <sz val="9"/>
            <color indexed="81"/>
            <rFont val="Tahoma"/>
            <family val="2"/>
          </rPr>
          <t>Wang, Yuxi:</t>
        </r>
        <r>
          <rPr>
            <sz val="9"/>
            <color indexed="81"/>
            <rFont val="Tahoma"/>
            <family val="2"/>
          </rPr>
          <t xml:space="preserve">
10% of TDC.</t>
        </r>
      </text>
    </comment>
    <comment ref="L44" authorId="1" shapeId="0" xr:uid="{C215DAC6-2811-47D4-876C-0952FA332C41}">
      <text>
        <r>
          <rPr>
            <b/>
            <sz val="9"/>
            <color indexed="81"/>
            <rFont val="Tahoma"/>
            <family val="2"/>
          </rPr>
          <t>Wang, Yuxi:</t>
        </r>
        <r>
          <rPr>
            <sz val="9"/>
            <color indexed="81"/>
            <rFont val="Tahoma"/>
            <family val="2"/>
          </rPr>
          <t xml:space="preserve">
10% of TDC.</t>
        </r>
      </text>
    </comment>
    <comment ref="B45" authorId="0" shapeId="0" xr:uid="{00000000-0006-0000-0400-00004A000000}">
      <text>
        <r>
          <rPr>
            <b/>
            <sz val="9"/>
            <color indexed="81"/>
            <rFont val="Tahoma"/>
            <family val="2"/>
          </rPr>
          <t>ckinchin:</t>
        </r>
        <r>
          <rPr>
            <sz val="9"/>
            <color indexed="81"/>
            <rFont val="Tahoma"/>
            <family val="2"/>
          </rPr>
          <t xml:space="preserve">
10% of TDC.</t>
        </r>
      </text>
    </comment>
    <comment ref="C45" authorId="0" shapeId="0" xr:uid="{FE35D326-791D-41C4-B8F5-7288296684B8}">
      <text>
        <r>
          <rPr>
            <b/>
            <sz val="9"/>
            <color indexed="81"/>
            <rFont val="Tahoma"/>
            <family val="2"/>
          </rPr>
          <t>ckinchin:</t>
        </r>
        <r>
          <rPr>
            <sz val="9"/>
            <color indexed="81"/>
            <rFont val="Tahoma"/>
            <family val="2"/>
          </rPr>
          <t xml:space="preserve">
10% of TDC.</t>
        </r>
      </text>
    </comment>
    <comment ref="D45" authorId="0" shapeId="0" xr:uid="{1F0AF51F-3EFF-48F8-8656-AD45410071DC}">
      <text>
        <r>
          <rPr>
            <b/>
            <sz val="9"/>
            <color indexed="81"/>
            <rFont val="Tahoma"/>
            <family val="2"/>
          </rPr>
          <t>ckinchin:</t>
        </r>
        <r>
          <rPr>
            <sz val="9"/>
            <color indexed="81"/>
            <rFont val="Tahoma"/>
            <family val="2"/>
          </rPr>
          <t xml:space="preserve">
10% of TDC.</t>
        </r>
      </text>
    </comment>
    <comment ref="E45" authorId="0" shapeId="0" xr:uid="{E2E76516-6430-4964-97FC-70A50848FF8E}">
      <text>
        <r>
          <rPr>
            <b/>
            <sz val="9"/>
            <color indexed="81"/>
            <rFont val="Tahoma"/>
            <family val="2"/>
          </rPr>
          <t>ckinchin:</t>
        </r>
        <r>
          <rPr>
            <sz val="9"/>
            <color indexed="81"/>
            <rFont val="Tahoma"/>
            <family val="2"/>
          </rPr>
          <t xml:space="preserve">
10% of TDC.</t>
        </r>
      </text>
    </comment>
    <comment ref="F45" authorId="0" shapeId="0" xr:uid="{C7D5A8DD-71F7-4528-B4B1-2AD85DC79722}">
      <text>
        <r>
          <rPr>
            <b/>
            <sz val="9"/>
            <color indexed="81"/>
            <rFont val="Tahoma"/>
            <family val="2"/>
          </rPr>
          <t>ckinchin:</t>
        </r>
        <r>
          <rPr>
            <sz val="9"/>
            <color indexed="81"/>
            <rFont val="Tahoma"/>
            <family val="2"/>
          </rPr>
          <t xml:space="preserve">
10% of TDC.</t>
        </r>
      </text>
    </comment>
    <comment ref="G45" authorId="0" shapeId="0" xr:uid="{4E1AEFBC-2B49-4E88-97E5-A8750E6EBA3F}">
      <text>
        <r>
          <rPr>
            <b/>
            <sz val="9"/>
            <color indexed="81"/>
            <rFont val="Tahoma"/>
            <family val="2"/>
          </rPr>
          <t>ckinchin:</t>
        </r>
        <r>
          <rPr>
            <sz val="9"/>
            <color indexed="81"/>
            <rFont val="Tahoma"/>
            <family val="2"/>
          </rPr>
          <t xml:space="preserve">
10% of TDC.</t>
        </r>
      </text>
    </comment>
    <comment ref="H45" authorId="0" shapeId="0" xr:uid="{756AD3B3-DBB1-4361-8CCA-C7510976F3D1}">
      <text>
        <r>
          <rPr>
            <b/>
            <sz val="9"/>
            <color indexed="81"/>
            <rFont val="Tahoma"/>
            <family val="2"/>
          </rPr>
          <t>ckinchin:</t>
        </r>
        <r>
          <rPr>
            <sz val="9"/>
            <color indexed="81"/>
            <rFont val="Tahoma"/>
            <family val="2"/>
          </rPr>
          <t xml:space="preserve">
10% of TDC.</t>
        </r>
      </text>
    </comment>
    <comment ref="I45" authorId="1" shapeId="0" xr:uid="{85CC93DF-8CE8-4071-84D6-E927FF7BAA10}">
      <text>
        <r>
          <rPr>
            <b/>
            <sz val="9"/>
            <color indexed="81"/>
            <rFont val="Tahoma"/>
            <family val="2"/>
          </rPr>
          <t>Wang, Yuxi:</t>
        </r>
        <r>
          <rPr>
            <sz val="9"/>
            <color indexed="81"/>
            <rFont val="Tahoma"/>
            <family val="2"/>
          </rPr>
          <t xml:space="preserve">
10% of TDC.</t>
        </r>
      </text>
    </comment>
    <comment ref="J45" authorId="1" shapeId="0" xr:uid="{AC28A291-7719-4D15-9EDF-3874EB67B5AA}">
      <text>
        <r>
          <rPr>
            <b/>
            <sz val="9"/>
            <color indexed="81"/>
            <rFont val="Tahoma"/>
            <family val="2"/>
          </rPr>
          <t>Wang, Yuxi:</t>
        </r>
        <r>
          <rPr>
            <sz val="9"/>
            <color indexed="81"/>
            <rFont val="Tahoma"/>
            <family val="2"/>
          </rPr>
          <t xml:space="preserve">
10% of TDC.</t>
        </r>
      </text>
    </comment>
    <comment ref="K45" authorId="1" shapeId="0" xr:uid="{AF63EBF7-8F4C-47CD-B252-501E1D63D5EA}">
      <text>
        <r>
          <rPr>
            <b/>
            <sz val="9"/>
            <color indexed="81"/>
            <rFont val="Tahoma"/>
            <family val="2"/>
          </rPr>
          <t>Wang, Yuxi:</t>
        </r>
        <r>
          <rPr>
            <sz val="9"/>
            <color indexed="81"/>
            <rFont val="Tahoma"/>
            <family val="2"/>
          </rPr>
          <t xml:space="preserve">
10% of TDC.</t>
        </r>
      </text>
    </comment>
    <comment ref="L45" authorId="1" shapeId="0" xr:uid="{ED0CEB80-0781-47C6-A77D-96E41E2949C1}">
      <text>
        <r>
          <rPr>
            <b/>
            <sz val="9"/>
            <color indexed="81"/>
            <rFont val="Tahoma"/>
            <family val="2"/>
          </rPr>
          <t>Wang, Yuxi:</t>
        </r>
        <r>
          <rPr>
            <sz val="9"/>
            <color indexed="81"/>
            <rFont val="Tahoma"/>
            <family val="2"/>
          </rPr>
          <t xml:space="preserve">
10% of TDC.</t>
        </r>
      </text>
    </comment>
    <comment ref="B46" authorId="0" shapeId="0" xr:uid="{00000000-0006-0000-0400-000054000000}">
      <text>
        <r>
          <rPr>
            <b/>
            <sz val="9"/>
            <color indexed="81"/>
            <rFont val="Tahoma"/>
            <family val="2"/>
          </rPr>
          <t>ckinchin:</t>
        </r>
        <r>
          <rPr>
            <sz val="9"/>
            <color indexed="81"/>
            <rFont val="Tahoma"/>
            <family val="2"/>
          </rPr>
          <t xml:space="preserve">
20% of TDC.</t>
        </r>
      </text>
    </comment>
    <comment ref="C46" authorId="0" shapeId="0" xr:uid="{F35CD47C-8750-438E-A034-E0A49095326B}">
      <text>
        <r>
          <rPr>
            <b/>
            <sz val="9"/>
            <color indexed="81"/>
            <rFont val="Tahoma"/>
            <family val="2"/>
          </rPr>
          <t>ckinchin:</t>
        </r>
        <r>
          <rPr>
            <sz val="9"/>
            <color indexed="81"/>
            <rFont val="Tahoma"/>
            <family val="2"/>
          </rPr>
          <t xml:space="preserve">
20% of TDC.</t>
        </r>
      </text>
    </comment>
    <comment ref="D46" authorId="0" shapeId="0" xr:uid="{F0C4A03D-EB9F-49D6-9F93-F660C8D0793D}">
      <text>
        <r>
          <rPr>
            <b/>
            <sz val="9"/>
            <color indexed="81"/>
            <rFont val="Tahoma"/>
            <family val="2"/>
          </rPr>
          <t>ckinchin:</t>
        </r>
        <r>
          <rPr>
            <sz val="9"/>
            <color indexed="81"/>
            <rFont val="Tahoma"/>
            <family val="2"/>
          </rPr>
          <t xml:space="preserve">
20% of TDC.</t>
        </r>
      </text>
    </comment>
    <comment ref="E46" authorId="0" shapeId="0" xr:uid="{50153264-60EF-41B6-A04C-480F2D812A74}">
      <text>
        <r>
          <rPr>
            <b/>
            <sz val="9"/>
            <color indexed="81"/>
            <rFont val="Tahoma"/>
            <family val="2"/>
          </rPr>
          <t>ckinchin:</t>
        </r>
        <r>
          <rPr>
            <sz val="9"/>
            <color indexed="81"/>
            <rFont val="Tahoma"/>
            <family val="2"/>
          </rPr>
          <t xml:space="preserve">
25% of TDC.</t>
        </r>
      </text>
    </comment>
    <comment ref="F46" authorId="0" shapeId="0" xr:uid="{DE253FBD-04E3-447D-B308-366A5529490E}">
      <text>
        <r>
          <rPr>
            <b/>
            <sz val="9"/>
            <color indexed="81"/>
            <rFont val="Tahoma"/>
            <family val="2"/>
          </rPr>
          <t>ckinchin:</t>
        </r>
        <r>
          <rPr>
            <sz val="9"/>
            <color indexed="81"/>
            <rFont val="Tahoma"/>
            <family val="2"/>
          </rPr>
          <t xml:space="preserve">
20% of TDC.</t>
        </r>
      </text>
    </comment>
    <comment ref="G46" authorId="0" shapeId="0" xr:uid="{41D7D21E-033E-460E-8168-B2108066CC07}">
      <text>
        <r>
          <rPr>
            <b/>
            <sz val="9"/>
            <color indexed="81"/>
            <rFont val="Tahoma"/>
            <family val="2"/>
          </rPr>
          <t>ckinchin:</t>
        </r>
        <r>
          <rPr>
            <sz val="9"/>
            <color indexed="81"/>
            <rFont val="Tahoma"/>
            <family val="2"/>
          </rPr>
          <t xml:space="preserve">
20% of TDC.</t>
        </r>
      </text>
    </comment>
    <comment ref="H46" authorId="0" shapeId="0" xr:uid="{30A8C994-5AAF-4F5D-81BC-9A37986900B5}">
      <text>
        <r>
          <rPr>
            <b/>
            <sz val="9"/>
            <color indexed="81"/>
            <rFont val="Tahoma"/>
            <family val="2"/>
          </rPr>
          <t>ckinchin:</t>
        </r>
        <r>
          <rPr>
            <sz val="9"/>
            <color indexed="81"/>
            <rFont val="Tahoma"/>
            <family val="2"/>
          </rPr>
          <t xml:space="preserve">
20% of TDC.</t>
        </r>
      </text>
    </comment>
    <comment ref="I46" authorId="1" shapeId="0" xr:uid="{379E7693-FCB6-4C41-A119-E2ECFDA8675E}">
      <text>
        <r>
          <rPr>
            <b/>
            <sz val="9"/>
            <color indexed="81"/>
            <rFont val="Tahoma"/>
            <family val="2"/>
          </rPr>
          <t>Wang, Yuxi:</t>
        </r>
        <r>
          <rPr>
            <sz val="9"/>
            <color indexed="81"/>
            <rFont val="Tahoma"/>
            <family val="2"/>
          </rPr>
          <t xml:space="preserve">
20% of TDC.
</t>
        </r>
      </text>
    </comment>
    <comment ref="J46" authorId="1" shapeId="0" xr:uid="{A5D6BFD6-E908-48B3-8AEE-CEDB4281A37D}">
      <text>
        <r>
          <rPr>
            <b/>
            <sz val="9"/>
            <color indexed="81"/>
            <rFont val="Tahoma"/>
            <family val="2"/>
          </rPr>
          <t>Wang, Yuxi:</t>
        </r>
        <r>
          <rPr>
            <sz val="9"/>
            <color indexed="81"/>
            <rFont val="Tahoma"/>
            <family val="2"/>
          </rPr>
          <t xml:space="preserve">
20% of TDC.</t>
        </r>
      </text>
    </comment>
    <comment ref="K46" authorId="1" shapeId="0" xr:uid="{7311B35F-C726-49C6-8C5B-6F9464A85224}">
      <text>
        <r>
          <rPr>
            <b/>
            <sz val="9"/>
            <color indexed="81"/>
            <rFont val="Tahoma"/>
            <family val="2"/>
          </rPr>
          <t>Wang, Yuxi:</t>
        </r>
        <r>
          <rPr>
            <sz val="9"/>
            <color indexed="81"/>
            <rFont val="Tahoma"/>
            <family val="2"/>
          </rPr>
          <t xml:space="preserve">
20% of TDC.</t>
        </r>
      </text>
    </comment>
    <comment ref="L46" authorId="1" shapeId="0" xr:uid="{0D46DB96-747C-4E47-AF50-4DC1E718AC57}">
      <text>
        <r>
          <rPr>
            <b/>
            <sz val="9"/>
            <color indexed="81"/>
            <rFont val="Tahoma"/>
            <family val="2"/>
          </rPr>
          <t>Wang, Yuxi:</t>
        </r>
        <r>
          <rPr>
            <sz val="9"/>
            <color indexed="81"/>
            <rFont val="Tahoma"/>
            <family val="2"/>
          </rPr>
          <t xml:space="preserve">
20% of TDC.</t>
        </r>
      </text>
    </comment>
    <comment ref="B47" authorId="0" shapeId="0" xr:uid="{00000000-0006-0000-0400-00005E000000}">
      <text>
        <r>
          <rPr>
            <b/>
            <sz val="9"/>
            <color indexed="81"/>
            <rFont val="Tahoma"/>
            <family val="2"/>
          </rPr>
          <t>ckinchin:</t>
        </r>
        <r>
          <rPr>
            <sz val="9"/>
            <color indexed="81"/>
            <rFont val="Tahoma"/>
            <family val="2"/>
          </rPr>
          <t xml:space="preserve">
10% of TDC.</t>
        </r>
      </text>
    </comment>
    <comment ref="C47" authorId="0" shapeId="0" xr:uid="{712E8782-B2E2-48AE-B4BF-C4E0CCD798D2}">
      <text>
        <r>
          <rPr>
            <b/>
            <sz val="9"/>
            <color indexed="81"/>
            <rFont val="Tahoma"/>
            <family val="2"/>
          </rPr>
          <t>ckinchin:</t>
        </r>
        <r>
          <rPr>
            <sz val="9"/>
            <color indexed="81"/>
            <rFont val="Tahoma"/>
            <family val="2"/>
          </rPr>
          <t xml:space="preserve">
10% of TDC.</t>
        </r>
      </text>
    </comment>
    <comment ref="D47" authorId="0" shapeId="0" xr:uid="{29EC5771-B6C9-4B01-A12C-4094FC13006F}">
      <text>
        <r>
          <rPr>
            <b/>
            <sz val="9"/>
            <color indexed="81"/>
            <rFont val="Tahoma"/>
            <family val="2"/>
          </rPr>
          <t>ckinchin:</t>
        </r>
        <r>
          <rPr>
            <sz val="9"/>
            <color indexed="81"/>
            <rFont val="Tahoma"/>
            <family val="2"/>
          </rPr>
          <t xml:space="preserve">
10% of TDC.</t>
        </r>
      </text>
    </comment>
    <comment ref="E47" authorId="0" shapeId="0" xr:uid="{75FB38E6-670E-4363-98F9-C6C68A23708B}">
      <text>
        <r>
          <rPr>
            <b/>
            <sz val="9"/>
            <color indexed="81"/>
            <rFont val="Tahoma"/>
            <family val="2"/>
          </rPr>
          <t>ckinchin:</t>
        </r>
        <r>
          <rPr>
            <sz val="9"/>
            <color indexed="81"/>
            <rFont val="Tahoma"/>
            <family val="2"/>
          </rPr>
          <t xml:space="preserve">
10% of TDC.</t>
        </r>
      </text>
    </comment>
    <comment ref="F47" authorId="0" shapeId="0" xr:uid="{68E5446F-37A8-4F07-B810-EF44E6EB877F}">
      <text>
        <r>
          <rPr>
            <b/>
            <sz val="9"/>
            <color indexed="81"/>
            <rFont val="Tahoma"/>
            <family val="2"/>
          </rPr>
          <t>ckinchin:</t>
        </r>
        <r>
          <rPr>
            <sz val="9"/>
            <color indexed="81"/>
            <rFont val="Tahoma"/>
            <family val="2"/>
          </rPr>
          <t xml:space="preserve">
10% of TDC.</t>
        </r>
      </text>
    </comment>
    <comment ref="G47" authorId="0" shapeId="0" xr:uid="{000C7850-BDBB-4C5A-804C-AB4327D1AC97}">
      <text>
        <r>
          <rPr>
            <b/>
            <sz val="9"/>
            <color indexed="81"/>
            <rFont val="Tahoma"/>
            <family val="2"/>
          </rPr>
          <t>ckinchin:</t>
        </r>
        <r>
          <rPr>
            <sz val="9"/>
            <color indexed="81"/>
            <rFont val="Tahoma"/>
            <family val="2"/>
          </rPr>
          <t xml:space="preserve">
10% of TDC.</t>
        </r>
      </text>
    </comment>
    <comment ref="H47" authorId="0" shapeId="0" xr:uid="{F68E3064-5329-415C-BD76-E6B3C38C6615}">
      <text>
        <r>
          <rPr>
            <b/>
            <sz val="9"/>
            <color indexed="81"/>
            <rFont val="Tahoma"/>
            <family val="2"/>
          </rPr>
          <t>ckinchin:</t>
        </r>
        <r>
          <rPr>
            <sz val="9"/>
            <color indexed="81"/>
            <rFont val="Tahoma"/>
            <family val="2"/>
          </rPr>
          <t xml:space="preserve">
10% of TDC.</t>
        </r>
      </text>
    </comment>
    <comment ref="I47" authorId="1" shapeId="0" xr:uid="{E23F2697-B91F-4191-8CD5-2F037F4EC7DE}">
      <text>
        <r>
          <rPr>
            <b/>
            <sz val="9"/>
            <color indexed="81"/>
            <rFont val="Tahoma"/>
            <family val="2"/>
          </rPr>
          <t>Wang, Yuxi:</t>
        </r>
        <r>
          <rPr>
            <sz val="9"/>
            <color indexed="81"/>
            <rFont val="Tahoma"/>
            <family val="2"/>
          </rPr>
          <t xml:space="preserve">
10% of TDC.</t>
        </r>
      </text>
    </comment>
    <comment ref="J47" authorId="1" shapeId="0" xr:uid="{26A6913C-36D7-4D5F-A6F0-D9CA1B7CC49A}">
      <text>
        <r>
          <rPr>
            <b/>
            <sz val="9"/>
            <color indexed="81"/>
            <rFont val="Tahoma"/>
            <family val="2"/>
          </rPr>
          <t>Wang, Yuxi:</t>
        </r>
        <r>
          <rPr>
            <sz val="9"/>
            <color indexed="81"/>
            <rFont val="Tahoma"/>
            <family val="2"/>
          </rPr>
          <t xml:space="preserve">
10% of TDC.</t>
        </r>
      </text>
    </comment>
    <comment ref="K47" authorId="1" shapeId="0" xr:uid="{558275DC-1672-4ADF-BC37-FFC06EB3E99F}">
      <text>
        <r>
          <rPr>
            <b/>
            <sz val="9"/>
            <color indexed="81"/>
            <rFont val="Tahoma"/>
            <family val="2"/>
          </rPr>
          <t>Wang, Yuxi:</t>
        </r>
        <r>
          <rPr>
            <sz val="9"/>
            <color indexed="81"/>
            <rFont val="Tahoma"/>
            <family val="2"/>
          </rPr>
          <t xml:space="preserve">
10% of TDC.</t>
        </r>
      </text>
    </comment>
    <comment ref="L47" authorId="1" shapeId="0" xr:uid="{E2C89F1C-4A64-42CA-85C3-BF7EE04012BB}">
      <text>
        <r>
          <rPr>
            <b/>
            <sz val="9"/>
            <color indexed="81"/>
            <rFont val="Tahoma"/>
            <family val="2"/>
          </rPr>
          <t>Wang, Yuxi:</t>
        </r>
        <r>
          <rPr>
            <sz val="9"/>
            <color indexed="81"/>
            <rFont val="Tahoma"/>
            <family val="2"/>
          </rPr>
          <t xml:space="preserve">
10% of TDC.</t>
        </r>
      </text>
    </comment>
    <comment ref="B48" authorId="0" shapeId="0" xr:uid="{00000000-0006-0000-0400-000068000000}">
      <text>
        <r>
          <rPr>
            <b/>
            <sz val="9"/>
            <color indexed="81"/>
            <rFont val="Tahoma"/>
            <family val="2"/>
          </rPr>
          <t>ckinchin:</t>
        </r>
        <r>
          <rPr>
            <sz val="9"/>
            <color indexed="81"/>
            <rFont val="Tahoma"/>
            <family val="2"/>
          </rPr>
          <t xml:space="preserve">
10% of TDC.</t>
        </r>
      </text>
    </comment>
    <comment ref="C48" authorId="0" shapeId="0" xr:uid="{53C0B4AC-CACA-4B3F-B53E-1CFAA9AB8F51}">
      <text>
        <r>
          <rPr>
            <b/>
            <sz val="9"/>
            <color indexed="81"/>
            <rFont val="Tahoma"/>
            <family val="2"/>
          </rPr>
          <t>ckinchin:</t>
        </r>
        <r>
          <rPr>
            <sz val="9"/>
            <color indexed="81"/>
            <rFont val="Tahoma"/>
            <family val="2"/>
          </rPr>
          <t xml:space="preserve">
10% of TDC.</t>
        </r>
      </text>
    </comment>
    <comment ref="D48" authorId="0" shapeId="0" xr:uid="{A231FD96-AF89-4D07-94C6-E5FFEF07BD3B}">
      <text>
        <r>
          <rPr>
            <b/>
            <sz val="9"/>
            <color indexed="81"/>
            <rFont val="Tahoma"/>
            <family val="2"/>
          </rPr>
          <t>ckinchin:</t>
        </r>
        <r>
          <rPr>
            <sz val="9"/>
            <color indexed="81"/>
            <rFont val="Tahoma"/>
            <family val="2"/>
          </rPr>
          <t xml:space="preserve">
10% of TDC.</t>
        </r>
      </text>
    </comment>
    <comment ref="E48" authorId="0" shapeId="0" xr:uid="{7FA80C48-C7A7-4F20-8457-B59C60EB815E}">
      <text>
        <r>
          <rPr>
            <b/>
            <sz val="9"/>
            <color indexed="81"/>
            <rFont val="Tahoma"/>
            <family val="2"/>
          </rPr>
          <t>ckinchin:</t>
        </r>
        <r>
          <rPr>
            <sz val="9"/>
            <color indexed="81"/>
            <rFont val="Tahoma"/>
            <family val="2"/>
          </rPr>
          <t xml:space="preserve">
10% of TCI.</t>
        </r>
      </text>
    </comment>
    <comment ref="F48" authorId="0" shapeId="0" xr:uid="{AD18CAE5-8EFD-4F4F-9D90-3B66A2D7C87B}">
      <text>
        <r>
          <rPr>
            <b/>
            <sz val="9"/>
            <color indexed="81"/>
            <rFont val="Tahoma"/>
            <family val="2"/>
          </rPr>
          <t>ckinchin:</t>
        </r>
        <r>
          <rPr>
            <sz val="9"/>
            <color indexed="81"/>
            <rFont val="Tahoma"/>
            <family val="2"/>
          </rPr>
          <t xml:space="preserve">
10% of TDC.</t>
        </r>
      </text>
    </comment>
    <comment ref="G48" authorId="0" shapeId="0" xr:uid="{FEF20D37-8D7E-437F-B1AC-5ED948866D70}">
      <text>
        <r>
          <rPr>
            <b/>
            <sz val="9"/>
            <color indexed="81"/>
            <rFont val="Tahoma"/>
            <family val="2"/>
          </rPr>
          <t>ckinchin:</t>
        </r>
        <r>
          <rPr>
            <sz val="9"/>
            <color indexed="81"/>
            <rFont val="Tahoma"/>
            <family val="2"/>
          </rPr>
          <t xml:space="preserve">
10% of TDC.</t>
        </r>
      </text>
    </comment>
    <comment ref="H48" authorId="0" shapeId="0" xr:uid="{403E3EA5-AC90-40F9-A647-BD3DAEF9F512}">
      <text>
        <r>
          <rPr>
            <b/>
            <sz val="9"/>
            <color indexed="81"/>
            <rFont val="Tahoma"/>
            <family val="2"/>
          </rPr>
          <t>ckinchin:</t>
        </r>
        <r>
          <rPr>
            <sz val="9"/>
            <color indexed="81"/>
            <rFont val="Tahoma"/>
            <family val="2"/>
          </rPr>
          <t xml:space="preserve">
10% of TDC.</t>
        </r>
      </text>
    </comment>
    <comment ref="I48" authorId="1" shapeId="0" xr:uid="{6BEF68B8-0794-46F0-8A6B-C28379890BC9}">
      <text>
        <r>
          <rPr>
            <b/>
            <sz val="9"/>
            <color indexed="81"/>
            <rFont val="Tahoma"/>
            <family val="2"/>
          </rPr>
          <t>Wang, Yuxi:</t>
        </r>
        <r>
          <rPr>
            <sz val="9"/>
            <color indexed="81"/>
            <rFont val="Tahoma"/>
            <family val="2"/>
          </rPr>
          <t xml:space="preserve">
10% of TDC.</t>
        </r>
      </text>
    </comment>
    <comment ref="J48" authorId="1" shapeId="0" xr:uid="{B27A31B8-C3B2-46B3-AC46-7BBB627B34D8}">
      <text>
        <r>
          <rPr>
            <b/>
            <sz val="9"/>
            <color indexed="81"/>
            <rFont val="Tahoma"/>
            <family val="2"/>
          </rPr>
          <t>Wang, Yuxi:</t>
        </r>
        <r>
          <rPr>
            <sz val="9"/>
            <color indexed="81"/>
            <rFont val="Tahoma"/>
            <family val="2"/>
          </rPr>
          <t xml:space="preserve">
10% of TDC.</t>
        </r>
      </text>
    </comment>
    <comment ref="K48" authorId="1" shapeId="0" xr:uid="{47B888E5-A956-4408-BC88-D6CAFBBFF6A9}">
      <text>
        <r>
          <rPr>
            <b/>
            <sz val="9"/>
            <color indexed="81"/>
            <rFont val="Tahoma"/>
            <family val="2"/>
          </rPr>
          <t>Wang, Yuxi:</t>
        </r>
        <r>
          <rPr>
            <sz val="9"/>
            <color indexed="81"/>
            <rFont val="Tahoma"/>
            <family val="2"/>
          </rPr>
          <t xml:space="preserve">
10% of TDC.</t>
        </r>
      </text>
    </comment>
    <comment ref="L48" authorId="1" shapeId="0" xr:uid="{B0F58D57-BD58-43E1-97A9-6114DE88F592}">
      <text>
        <r>
          <rPr>
            <b/>
            <sz val="9"/>
            <color indexed="81"/>
            <rFont val="Tahoma"/>
            <family val="2"/>
          </rPr>
          <t>Wang, Yuxi:</t>
        </r>
        <r>
          <rPr>
            <sz val="9"/>
            <color indexed="81"/>
            <rFont val="Tahoma"/>
            <family val="2"/>
          </rPr>
          <t xml:space="preserve">
10% of TDC.</t>
        </r>
      </text>
    </comment>
    <comment ref="B51" authorId="0" shapeId="0" xr:uid="{00000000-0006-0000-0400-000072000000}">
      <text>
        <r>
          <rPr>
            <b/>
            <sz val="9"/>
            <color indexed="81"/>
            <rFont val="Tahoma"/>
            <family val="2"/>
          </rPr>
          <t>ckinchin:</t>
        </r>
        <r>
          <rPr>
            <sz val="9"/>
            <color indexed="81"/>
            <rFont val="Tahoma"/>
            <family val="2"/>
          </rPr>
          <t xml:space="preserve">
Taken directly from DCFROR workbook.</t>
        </r>
      </text>
    </comment>
    <comment ref="C51" authorId="0" shapeId="0" xr:uid="{9E36F270-6322-4D10-9CB9-8ACD2A988CA8}">
      <text>
        <r>
          <rPr>
            <b/>
            <sz val="9"/>
            <color indexed="81"/>
            <rFont val="Tahoma"/>
            <family val="2"/>
          </rPr>
          <t>ckinchin:</t>
        </r>
        <r>
          <rPr>
            <sz val="9"/>
            <color indexed="81"/>
            <rFont val="Tahoma"/>
            <family val="2"/>
          </rPr>
          <t xml:space="preserve">
Taken directly from DCFROR workbook.</t>
        </r>
      </text>
    </comment>
    <comment ref="D51" authorId="0" shapeId="0" xr:uid="{DBDD42D9-DD57-4E02-ADE9-CE0AF8265572}">
      <text>
        <r>
          <rPr>
            <b/>
            <sz val="9"/>
            <color indexed="81"/>
            <rFont val="Tahoma"/>
            <family val="2"/>
          </rPr>
          <t>ckinchin:</t>
        </r>
        <r>
          <rPr>
            <sz val="9"/>
            <color indexed="81"/>
            <rFont val="Tahoma"/>
            <family val="2"/>
          </rPr>
          <t xml:space="preserve">
Taken directly from DCFROR workbook.</t>
        </r>
      </text>
    </comment>
    <comment ref="F51" authorId="0" shapeId="0" xr:uid="{00134BFD-2A64-4177-A694-A6CA3BD10C26}">
      <text>
        <r>
          <rPr>
            <b/>
            <sz val="9"/>
            <color indexed="81"/>
            <rFont val="Tahoma"/>
            <family val="2"/>
          </rPr>
          <t>ckinchin:</t>
        </r>
        <r>
          <rPr>
            <sz val="9"/>
            <color indexed="81"/>
            <rFont val="Tahoma"/>
            <family val="2"/>
          </rPr>
          <t xml:space="preserve">
Taken directly from DCFROR workbook.</t>
        </r>
      </text>
    </comment>
    <comment ref="G51" authorId="0" shapeId="0" xr:uid="{5A8F2BFC-302C-4BE9-BC12-DFDD5BC4B1D1}">
      <text>
        <r>
          <rPr>
            <b/>
            <sz val="9"/>
            <color indexed="81"/>
            <rFont val="Tahoma"/>
            <family val="2"/>
          </rPr>
          <t>ckinchin:</t>
        </r>
        <r>
          <rPr>
            <sz val="9"/>
            <color indexed="81"/>
            <rFont val="Tahoma"/>
            <family val="2"/>
          </rPr>
          <t xml:space="preserve">
132 acres at $14,000 per acre.</t>
        </r>
      </text>
    </comment>
    <comment ref="H51" authorId="0" shapeId="0" xr:uid="{50B9CE32-D476-4888-80F3-334C5557871F}">
      <text>
        <r>
          <rPr>
            <b/>
            <sz val="9"/>
            <color indexed="81"/>
            <rFont val="Tahoma"/>
            <family val="2"/>
          </rPr>
          <t>ckinchin:</t>
        </r>
        <r>
          <rPr>
            <sz val="9"/>
            <color indexed="81"/>
            <rFont val="Tahoma"/>
            <family val="2"/>
          </rPr>
          <t xml:space="preserve">
132 acres at $14,000 per acre.</t>
        </r>
      </text>
    </comment>
    <comment ref="I51" authorId="1" shapeId="0" xr:uid="{659D1713-7FDC-40B8-A983-7D9546ACF5A5}">
      <text>
        <r>
          <rPr>
            <b/>
            <sz val="9"/>
            <color indexed="81"/>
            <rFont val="Tahoma"/>
            <family val="2"/>
          </rPr>
          <t>Wang, Yuxi:</t>
        </r>
        <r>
          <rPr>
            <sz val="9"/>
            <color indexed="81"/>
            <rFont val="Tahoma"/>
            <family val="2"/>
          </rPr>
          <t xml:space="preserve">
132 acres at $14,000 per acre.</t>
        </r>
      </text>
    </comment>
    <comment ref="J51" authorId="1" shapeId="0" xr:uid="{E70AA6B5-DF74-4144-AB9B-17E48A59652E}">
      <text>
        <r>
          <rPr>
            <b/>
            <sz val="9"/>
            <color indexed="81"/>
            <rFont val="Tahoma"/>
            <family val="2"/>
          </rPr>
          <t>Wang, Yuxi:</t>
        </r>
        <r>
          <rPr>
            <sz val="9"/>
            <color indexed="81"/>
            <rFont val="Tahoma"/>
            <family val="2"/>
          </rPr>
          <t xml:space="preserve">
132 acres at $14,000 per acre.</t>
        </r>
      </text>
    </comment>
    <comment ref="K51" authorId="1" shapeId="0" xr:uid="{BE541F8E-9A28-4EDF-AD9D-6A2297D00107}">
      <text>
        <r>
          <rPr>
            <b/>
            <sz val="9"/>
            <color indexed="81"/>
            <rFont val="Tahoma"/>
            <family val="2"/>
          </rPr>
          <t>Wang, Yuxi:</t>
        </r>
        <r>
          <rPr>
            <sz val="9"/>
            <color indexed="81"/>
            <rFont val="Tahoma"/>
            <family val="2"/>
          </rPr>
          <t xml:space="preserve">
132 acres at $14,000 per acre.</t>
        </r>
      </text>
    </comment>
    <comment ref="L51" authorId="1" shapeId="0" xr:uid="{B1C72403-8E3C-4537-BB18-E754012A83EE}">
      <text>
        <r>
          <rPr>
            <b/>
            <sz val="9"/>
            <color indexed="81"/>
            <rFont val="Tahoma"/>
            <family val="2"/>
          </rPr>
          <t>Wang, Yuxi:</t>
        </r>
        <r>
          <rPr>
            <sz val="9"/>
            <color indexed="81"/>
            <rFont val="Tahoma"/>
            <family val="2"/>
          </rPr>
          <t xml:space="preserve">
132 acres at $14,000 per acre.</t>
        </r>
      </text>
    </comment>
    <comment ref="B52" authorId="0" shapeId="0" xr:uid="{00000000-0006-0000-0400-00007C000000}">
      <text>
        <r>
          <rPr>
            <b/>
            <sz val="9"/>
            <color indexed="81"/>
            <rFont val="Tahoma"/>
            <family val="2"/>
          </rPr>
          <t>ckinchin:</t>
        </r>
        <r>
          <rPr>
            <sz val="9"/>
            <color indexed="81"/>
            <rFont val="Tahoma"/>
            <family val="2"/>
          </rPr>
          <t xml:space="preserve">
Calculated based on % of FCI.</t>
        </r>
      </text>
    </comment>
    <comment ref="C52" authorId="0" shapeId="0" xr:uid="{93603F9C-C083-4F91-BF4E-51180558B9B2}">
      <text>
        <r>
          <rPr>
            <b/>
            <sz val="9"/>
            <color indexed="81"/>
            <rFont val="Tahoma"/>
            <family val="2"/>
          </rPr>
          <t>ckinchin:</t>
        </r>
        <r>
          <rPr>
            <sz val="9"/>
            <color indexed="81"/>
            <rFont val="Tahoma"/>
            <family val="2"/>
          </rPr>
          <t xml:space="preserve">
Calculated based on % of FCI.</t>
        </r>
      </text>
    </comment>
    <comment ref="D52" authorId="0" shapeId="0" xr:uid="{C910B21C-ED38-43A9-89BC-2C9486E27C94}">
      <text>
        <r>
          <rPr>
            <b/>
            <sz val="9"/>
            <color indexed="81"/>
            <rFont val="Tahoma"/>
            <family val="2"/>
          </rPr>
          <t>ckinchin:</t>
        </r>
        <r>
          <rPr>
            <sz val="9"/>
            <color indexed="81"/>
            <rFont val="Tahoma"/>
            <family val="2"/>
          </rPr>
          <t xml:space="preserve">
Calculated based on % of FCI.</t>
        </r>
      </text>
    </comment>
    <comment ref="E52" authorId="0" shapeId="0" xr:uid="{D9160CFE-9D6A-4E76-BAF3-A1EF376D7FF5}">
      <text>
        <r>
          <rPr>
            <b/>
            <sz val="9"/>
            <color indexed="81"/>
            <rFont val="Tahoma"/>
            <family val="2"/>
          </rPr>
          <t>ckinchin:</t>
        </r>
        <r>
          <rPr>
            <sz val="9"/>
            <color indexed="81"/>
            <rFont val="Tahoma"/>
            <family val="2"/>
          </rPr>
          <t xml:space="preserve">
Calculated based on % of FCI.</t>
        </r>
      </text>
    </comment>
    <comment ref="F52" authorId="0" shapeId="0" xr:uid="{8CF1F7B0-845E-417B-814B-4CC54D46B436}">
      <text>
        <r>
          <rPr>
            <b/>
            <sz val="9"/>
            <color indexed="81"/>
            <rFont val="Tahoma"/>
            <family val="2"/>
          </rPr>
          <t>ckinchin:</t>
        </r>
        <r>
          <rPr>
            <sz val="9"/>
            <color indexed="81"/>
            <rFont val="Tahoma"/>
            <family val="2"/>
          </rPr>
          <t xml:space="preserve">
Calculated based on % of FCI.</t>
        </r>
      </text>
    </comment>
    <comment ref="G52" authorId="0" shapeId="0" xr:uid="{79D3AD56-32A6-419D-80BA-0F68282DC6DA}">
      <text>
        <r>
          <rPr>
            <b/>
            <sz val="9"/>
            <color indexed="81"/>
            <rFont val="Tahoma"/>
            <family val="2"/>
          </rPr>
          <t>ckinchin:</t>
        </r>
        <r>
          <rPr>
            <sz val="9"/>
            <color indexed="81"/>
            <rFont val="Tahoma"/>
            <family val="2"/>
          </rPr>
          <t xml:space="preserve">
5% of FCI.</t>
        </r>
      </text>
    </comment>
    <comment ref="H52" authorId="0" shapeId="0" xr:uid="{3B94FF3E-D550-4904-B686-725796DB49DC}">
      <text>
        <r>
          <rPr>
            <b/>
            <sz val="9"/>
            <color indexed="81"/>
            <rFont val="Tahoma"/>
            <family val="2"/>
          </rPr>
          <t>ckinchin:</t>
        </r>
        <r>
          <rPr>
            <sz val="9"/>
            <color indexed="81"/>
            <rFont val="Tahoma"/>
            <family val="2"/>
          </rPr>
          <t xml:space="preserve">
5% of FCI.</t>
        </r>
      </text>
    </comment>
    <comment ref="I52" authorId="1" shapeId="0" xr:uid="{8F4D83F0-60A9-4466-A0BB-9DDC8B99494E}">
      <text>
        <r>
          <rPr>
            <b/>
            <sz val="9"/>
            <color indexed="81"/>
            <rFont val="Tahoma"/>
            <family val="2"/>
          </rPr>
          <t>Wang, Yuxi:</t>
        </r>
        <r>
          <rPr>
            <sz val="9"/>
            <color indexed="81"/>
            <rFont val="Tahoma"/>
            <family val="2"/>
          </rPr>
          <t xml:space="preserve">
5% of FCI.</t>
        </r>
      </text>
    </comment>
    <comment ref="J52" authorId="1" shapeId="0" xr:uid="{A12A8246-748A-40E6-99AF-4DD80B137D48}">
      <text>
        <r>
          <rPr>
            <b/>
            <sz val="9"/>
            <color indexed="81"/>
            <rFont val="Tahoma"/>
            <family val="2"/>
          </rPr>
          <t>Wang, Yuxi:</t>
        </r>
        <r>
          <rPr>
            <sz val="9"/>
            <color indexed="81"/>
            <rFont val="Tahoma"/>
            <family val="2"/>
          </rPr>
          <t xml:space="preserve">
5% of FCI.</t>
        </r>
      </text>
    </comment>
    <comment ref="K52" authorId="1" shapeId="0" xr:uid="{839ACD2B-5C4C-49C9-B018-9DC0ACD4B3CF}">
      <text>
        <r>
          <rPr>
            <b/>
            <sz val="9"/>
            <color indexed="81"/>
            <rFont val="Tahoma"/>
            <family val="2"/>
          </rPr>
          <t>Wang, Yuxi:</t>
        </r>
        <r>
          <rPr>
            <sz val="9"/>
            <color indexed="81"/>
            <rFont val="Tahoma"/>
            <family val="2"/>
          </rPr>
          <t xml:space="preserve">
5% of FCI.</t>
        </r>
      </text>
    </comment>
    <comment ref="L52" authorId="1" shapeId="0" xr:uid="{FD341B9F-0E4F-41F5-8A03-7D7DE734564C}">
      <text>
        <r>
          <rPr>
            <b/>
            <sz val="9"/>
            <color indexed="81"/>
            <rFont val="Tahoma"/>
            <family val="2"/>
          </rPr>
          <t>Wang, Yuxi:</t>
        </r>
        <r>
          <rPr>
            <sz val="9"/>
            <color indexed="81"/>
            <rFont val="Tahoma"/>
            <family val="2"/>
          </rPr>
          <t xml:space="preserve">
5% of FCI.</t>
        </r>
      </text>
    </comment>
    <comment ref="G62" authorId="2" shapeId="0" xr:uid="{FA3417ED-5D5D-4A12-8386-FA072FDC7093}">
      <text>
        <r>
          <rPr>
            <b/>
            <sz val="9"/>
            <color indexed="81"/>
            <rFont val="Tahoma"/>
            <family val="2"/>
          </rPr>
          <t>Christopher Kinchin, NREL:</t>
        </r>
        <r>
          <rPr>
            <sz val="9"/>
            <color indexed="81"/>
            <rFont val="Tahoma"/>
            <family val="2"/>
          </rPr>
          <t xml:space="preserve">
Includes ammonia for enzyme production and muconic production.
</t>
        </r>
      </text>
    </comment>
    <comment ref="H62" authorId="2" shapeId="0" xr:uid="{F6C145C4-95D1-42FF-AF1A-5EB27BD7A4F3}">
      <text>
        <r>
          <rPr>
            <b/>
            <sz val="9"/>
            <color indexed="81"/>
            <rFont val="Tahoma"/>
            <family val="2"/>
          </rPr>
          <t>Christopher Kinchin, NREL:</t>
        </r>
        <r>
          <rPr>
            <sz val="9"/>
            <color indexed="81"/>
            <rFont val="Tahoma"/>
            <family val="2"/>
          </rPr>
          <t xml:space="preserve">
Includes ammonia for enzyme production and muconic production.
</t>
        </r>
      </text>
    </comment>
    <comment ref="B63" authorId="0" shapeId="0" xr:uid="{00000000-0006-0000-0400-000090000000}">
      <text>
        <r>
          <rPr>
            <b/>
            <sz val="9"/>
            <color indexed="81"/>
            <rFont val="Tahoma"/>
            <family val="2"/>
          </rPr>
          <t>ckinchin:</t>
        </r>
        <r>
          <rPr>
            <sz val="9"/>
            <color indexed="81"/>
            <rFont val="Tahoma"/>
            <family val="2"/>
          </rPr>
          <t xml:space="preserve">
Incudes caustic for pretreatment.  Does not include caustic for WWT.</t>
        </r>
      </text>
    </comment>
    <comment ref="F63" authorId="0" shapeId="0" xr:uid="{24718412-6FD2-4BB4-9919-A67CA65D227E}">
      <text>
        <r>
          <rPr>
            <b/>
            <sz val="9"/>
            <color indexed="81"/>
            <rFont val="Tahoma"/>
            <family val="2"/>
          </rPr>
          <t>ckinchin:</t>
        </r>
        <r>
          <rPr>
            <sz val="9"/>
            <color indexed="81"/>
            <rFont val="Tahoma"/>
            <family val="2"/>
          </rPr>
          <t xml:space="preserve">
Incudes caustic for pretreatment.  Does not include caustic for WWT.</t>
        </r>
      </text>
    </comment>
    <comment ref="H63" authorId="0" shapeId="0" xr:uid="{ADEE3BEF-3A4E-484E-BF3B-C906B3B6DDC9}">
      <text>
        <r>
          <rPr>
            <b/>
            <sz val="9"/>
            <color indexed="81"/>
            <rFont val="Tahoma"/>
            <family val="2"/>
          </rPr>
          <t>ckinchin:</t>
        </r>
        <r>
          <rPr>
            <sz val="9"/>
            <color indexed="81"/>
            <rFont val="Tahoma"/>
            <family val="2"/>
          </rPr>
          <t xml:space="preserve">
Incudes caustic for pretreatment.  Does not include caustic for WWT.</t>
        </r>
      </text>
    </comment>
    <comment ref="B64" authorId="2" shapeId="0" xr:uid="{D2E52CCA-30D7-4352-98BB-348C3AAB8FDB}">
      <text>
        <r>
          <rPr>
            <b/>
            <sz val="9"/>
            <color indexed="81"/>
            <rFont val="Tahoma"/>
            <family val="2"/>
          </rPr>
          <t>Christopher Kinchin, NREL:</t>
        </r>
        <r>
          <rPr>
            <sz val="9"/>
            <color indexed="81"/>
            <rFont val="Tahoma"/>
            <family val="2"/>
          </rPr>
          <t xml:space="preserve">
For pretreatment.</t>
        </r>
      </text>
    </comment>
    <comment ref="D64" authorId="2" shapeId="0" xr:uid="{E1BBE24E-DC29-4B2A-A3E0-D731C4BA31CA}">
      <text>
        <r>
          <rPr>
            <b/>
            <sz val="9"/>
            <color indexed="81"/>
            <rFont val="Tahoma"/>
            <family val="2"/>
          </rPr>
          <t>Christopher Kinchin, NREL:</t>
        </r>
        <r>
          <rPr>
            <sz val="9"/>
            <color indexed="81"/>
            <rFont val="Tahoma"/>
            <family val="2"/>
          </rPr>
          <t xml:space="preserve">
For pretreatment.</t>
        </r>
      </text>
    </comment>
    <comment ref="F64" authorId="2" shapeId="0" xr:uid="{8AF5C261-DB3F-44E7-93D1-C3A42B10467F}">
      <text>
        <r>
          <rPr>
            <b/>
            <sz val="9"/>
            <color indexed="81"/>
            <rFont val="Tahoma"/>
            <family val="2"/>
          </rPr>
          <t>Christopher Kinchin, NREL:</t>
        </r>
        <r>
          <rPr>
            <sz val="9"/>
            <color indexed="81"/>
            <rFont val="Tahoma"/>
            <family val="2"/>
          </rPr>
          <t xml:space="preserve">
For pretreatment.</t>
        </r>
      </text>
    </comment>
    <comment ref="E66" authorId="2" shapeId="0" xr:uid="{EA862344-76A3-4D10-B212-A755911A2136}">
      <text>
        <r>
          <rPr>
            <b/>
            <sz val="9"/>
            <color indexed="81"/>
            <rFont val="Tahoma"/>
            <family val="2"/>
          </rPr>
          <t>Christopher Kinchin, NREL:</t>
        </r>
        <r>
          <rPr>
            <sz val="9"/>
            <color indexed="81"/>
            <rFont val="Tahoma"/>
            <family val="2"/>
          </rPr>
          <t xml:space="preserve">
Alpha-amylase and gluco-amylase.</t>
        </r>
      </text>
    </comment>
    <comment ref="B67" authorId="2" shapeId="0" xr:uid="{267A53DB-D053-4BBD-8EE4-EA9A7131A1D1}">
      <text>
        <r>
          <rPr>
            <b/>
            <sz val="9"/>
            <color indexed="81"/>
            <rFont val="Tahoma"/>
            <family val="2"/>
          </rPr>
          <t>Christopher Kinchin, NREL:</t>
        </r>
        <r>
          <rPr>
            <sz val="9"/>
            <color indexed="81"/>
            <rFont val="Tahoma"/>
            <family val="2"/>
          </rPr>
          <t xml:space="preserve">
For pretreatment.</t>
        </r>
      </text>
    </comment>
    <comment ref="G67" authorId="2" shapeId="0" xr:uid="{AFBE88FD-8C84-450B-A488-09EC5D967B8A}">
      <text>
        <r>
          <rPr>
            <b/>
            <sz val="9"/>
            <color indexed="81"/>
            <rFont val="Tahoma"/>
            <family val="2"/>
          </rPr>
          <t>Christopher Kinchin, NREL:</t>
        </r>
        <r>
          <rPr>
            <sz val="9"/>
            <color indexed="81"/>
            <rFont val="Tahoma"/>
            <family val="2"/>
          </rPr>
          <t xml:space="preserve">
For enzyme production.</t>
        </r>
      </text>
    </comment>
    <comment ref="H67" authorId="2" shapeId="0" xr:uid="{E209643F-DF6F-476A-9A00-23366EFE6259}">
      <text>
        <r>
          <rPr>
            <b/>
            <sz val="9"/>
            <color indexed="81"/>
            <rFont val="Tahoma"/>
            <family val="2"/>
          </rPr>
          <t>Christopher Kinchin, NREL:</t>
        </r>
        <r>
          <rPr>
            <sz val="9"/>
            <color indexed="81"/>
            <rFont val="Tahoma"/>
            <family val="2"/>
          </rPr>
          <t xml:space="preserve">
For enzyme production.</t>
        </r>
      </text>
    </comment>
    <comment ref="G68" authorId="2" shapeId="0" xr:uid="{2F9CA493-7DB5-4FE1-9FD8-20C661BB8309}">
      <text>
        <r>
          <rPr>
            <b/>
            <sz val="9"/>
            <color indexed="81"/>
            <rFont val="Tahoma"/>
            <family val="2"/>
          </rPr>
          <t>Christopher Kinchin, NREL:</t>
        </r>
        <r>
          <rPr>
            <sz val="9"/>
            <color indexed="81"/>
            <rFont val="Tahoma"/>
            <family val="2"/>
          </rPr>
          <t xml:space="preserve">
For enzyme production.</t>
        </r>
      </text>
    </comment>
    <comment ref="H68" authorId="2" shapeId="0" xr:uid="{F88CA485-36CA-414C-AABD-4602D8BFA8C7}">
      <text>
        <r>
          <rPr>
            <b/>
            <sz val="9"/>
            <color indexed="81"/>
            <rFont val="Tahoma"/>
            <family val="2"/>
          </rPr>
          <t>Christopher Kinchin, NREL:</t>
        </r>
        <r>
          <rPr>
            <sz val="9"/>
            <color indexed="81"/>
            <rFont val="Tahoma"/>
            <family val="2"/>
          </rPr>
          <t xml:space="preserve">
For enzyme production.</t>
        </r>
      </text>
    </comment>
    <comment ref="B69" authorId="2" shapeId="0" xr:uid="{8B0D6595-4E9F-4339-A326-D0778675E2C6}">
      <text>
        <r>
          <rPr>
            <b/>
            <sz val="9"/>
            <color indexed="81"/>
            <rFont val="Tahoma"/>
            <family val="2"/>
          </rPr>
          <t>Christopher Kinchin, NREL:</t>
        </r>
        <r>
          <rPr>
            <sz val="9"/>
            <color indexed="81"/>
            <rFont val="Tahoma"/>
            <family val="2"/>
          </rPr>
          <t xml:space="preserve">
For pretreatment.</t>
        </r>
      </text>
    </comment>
    <comment ref="D69" authorId="2" shapeId="0" xr:uid="{D849FCDA-449C-4CB1-B6DB-7284DC2BB778}">
      <text>
        <r>
          <rPr>
            <b/>
            <sz val="9"/>
            <color indexed="81"/>
            <rFont val="Tahoma"/>
            <family val="2"/>
          </rPr>
          <t>Christopher Kinchin, NREL:</t>
        </r>
        <r>
          <rPr>
            <sz val="9"/>
            <color indexed="81"/>
            <rFont val="Tahoma"/>
            <family val="2"/>
          </rPr>
          <t xml:space="preserve">
For pretreatment.</t>
        </r>
      </text>
    </comment>
    <comment ref="F69" authorId="2" shapeId="0" xr:uid="{8149DAF0-E97A-42B1-A500-8ED2E3FAA8BE}">
      <text>
        <r>
          <rPr>
            <b/>
            <sz val="9"/>
            <color indexed="81"/>
            <rFont val="Tahoma"/>
            <family val="2"/>
          </rPr>
          <t>Christopher Kinchin, NREL:</t>
        </r>
        <r>
          <rPr>
            <sz val="9"/>
            <color indexed="81"/>
            <rFont val="Tahoma"/>
            <family val="2"/>
          </rPr>
          <t xml:space="preserve">
For pretreatment.</t>
        </r>
      </text>
    </comment>
    <comment ref="B73" authorId="0" shapeId="0" xr:uid="{00000000-0006-0000-0400-000096000000}">
      <text>
        <r>
          <rPr>
            <b/>
            <sz val="9"/>
            <color indexed="81"/>
            <rFont val="Tahoma"/>
            <family val="2"/>
          </rPr>
          <t>ckinchin:</t>
        </r>
        <r>
          <rPr>
            <sz val="9"/>
            <color indexed="81"/>
            <rFont val="Tahoma"/>
            <family val="2"/>
          </rPr>
          <t xml:space="preserve">
Includes corn steep liquor, corn oil, ammonia, host nutrients, and sulfur dioxide.</t>
        </r>
      </text>
    </comment>
    <comment ref="C73" authorId="0" shapeId="0" xr:uid="{812718D9-EE0C-4C51-BF59-D3767A7B3D40}">
      <text>
        <r>
          <rPr>
            <b/>
            <sz val="9"/>
            <color indexed="81"/>
            <rFont val="Tahoma"/>
            <family val="2"/>
          </rPr>
          <t>ckinchin:</t>
        </r>
        <r>
          <rPr>
            <sz val="9"/>
            <color indexed="81"/>
            <rFont val="Tahoma"/>
            <family val="2"/>
          </rPr>
          <t xml:space="preserve">
Includes corn steep liquor, corn oil, ammonia, host nutrients, and sulfur dioxide.</t>
        </r>
      </text>
    </comment>
    <comment ref="D73" authorId="0" shapeId="0" xr:uid="{4CFA4371-0923-4230-8F84-57905110D832}">
      <text>
        <r>
          <rPr>
            <b/>
            <sz val="9"/>
            <color indexed="81"/>
            <rFont val="Tahoma"/>
            <family val="2"/>
          </rPr>
          <t>ckinchin:</t>
        </r>
        <r>
          <rPr>
            <sz val="9"/>
            <color indexed="81"/>
            <rFont val="Tahoma"/>
            <family val="2"/>
          </rPr>
          <t xml:space="preserve">
Includes corn steep liquor, corn oil, ammonia, host nutrients, and sulfur dioxide.</t>
        </r>
      </text>
    </comment>
    <comment ref="F73" authorId="2" shapeId="0" xr:uid="{97D89517-BE13-4B81-B7D9-90B121B0E22A}">
      <text>
        <r>
          <rPr>
            <b/>
            <sz val="9"/>
            <color indexed="81"/>
            <rFont val="Tahoma"/>
            <family val="2"/>
          </rPr>
          <t>Christopher Kinchin, NREL:</t>
        </r>
        <r>
          <rPr>
            <sz val="9"/>
            <color indexed="81"/>
            <rFont val="Tahoma"/>
            <family val="2"/>
          </rPr>
          <t xml:space="preserve">
Includes corn steep liquor, corn oil, ammonia, host nutrients, and sulfur dioxide.</t>
        </r>
      </text>
    </comment>
    <comment ref="G74" authorId="2" shapeId="0" xr:uid="{F785B8C4-4200-41E4-9E16-CB7E739A238C}">
      <text>
        <r>
          <rPr>
            <b/>
            <sz val="9"/>
            <color indexed="81"/>
            <rFont val="Tahoma"/>
            <family val="2"/>
          </rPr>
          <t>Christopher Kinchin, NREL:</t>
        </r>
        <r>
          <rPr>
            <sz val="9"/>
            <color indexed="81"/>
            <rFont val="Tahoma"/>
            <family val="2"/>
          </rPr>
          <t xml:space="preserve">
For muconic upgrading.</t>
        </r>
      </text>
    </comment>
    <comment ref="H74" authorId="2" shapeId="0" xr:uid="{B8ACE081-50CA-470C-9227-3C09A82E28FB}">
      <text>
        <r>
          <rPr>
            <b/>
            <sz val="9"/>
            <color indexed="81"/>
            <rFont val="Tahoma"/>
            <family val="2"/>
          </rPr>
          <t>Christopher Kinchin, NREL:</t>
        </r>
        <r>
          <rPr>
            <sz val="9"/>
            <color indexed="81"/>
            <rFont val="Tahoma"/>
            <family val="2"/>
          </rPr>
          <t xml:space="preserve">
For muconic upgrading.</t>
        </r>
      </text>
    </comment>
    <comment ref="A83" authorId="2" shapeId="0" xr:uid="{39E3266E-F3F2-4B52-8048-61F4AA6625AD}">
      <text>
        <r>
          <rPr>
            <b/>
            <sz val="9"/>
            <color indexed="81"/>
            <rFont val="Tahoma"/>
            <family val="2"/>
          </rPr>
          <t>Christopher Kinchin, NREL:</t>
        </r>
        <r>
          <rPr>
            <sz val="9"/>
            <color indexed="81"/>
            <rFont val="Tahoma"/>
            <family val="2"/>
          </rPr>
          <t xml:space="preserve">
This category captures operating costs that vary from year to year.  Examples are baghouse bags and catalysts that are replaced every two or three years.  The cost reported here is the average annual cost.</t>
        </r>
      </text>
    </comment>
    <comment ref="E85" authorId="2" shapeId="0" xr:uid="{3AEBD0C9-DF49-445A-A839-F54D38B60003}">
      <text>
        <r>
          <rPr>
            <b/>
            <sz val="9"/>
            <color indexed="81"/>
            <rFont val="Tahoma"/>
            <family val="2"/>
          </rPr>
          <t>Christopher Kinchin, NREL:</t>
        </r>
        <r>
          <rPr>
            <sz val="9"/>
            <color indexed="81"/>
            <rFont val="Tahoma"/>
            <family val="2"/>
          </rPr>
          <t xml:space="preserve">
Includes lime, urea, and yeast.</t>
        </r>
      </text>
    </comment>
    <comment ref="B86" authorId="0" shapeId="0" xr:uid="{00000000-0006-0000-0400-0000A0000000}">
      <text>
        <r>
          <rPr>
            <b/>
            <sz val="9"/>
            <color indexed="81"/>
            <rFont val="Tahoma"/>
            <family val="2"/>
          </rPr>
          <t>ckinchin:</t>
        </r>
        <r>
          <rPr>
            <sz val="9"/>
            <color indexed="81"/>
            <rFont val="Tahoma"/>
            <family val="2"/>
          </rPr>
          <t xml:space="preserve">
Includes ammonia/urea, polymer, and caustic.</t>
        </r>
      </text>
    </comment>
    <comment ref="C86" authorId="0" shapeId="0" xr:uid="{8E204E5D-EE36-4352-8773-81650DCF581D}">
      <text>
        <r>
          <rPr>
            <b/>
            <sz val="9"/>
            <color indexed="81"/>
            <rFont val="Tahoma"/>
            <family val="2"/>
          </rPr>
          <t>ckinchin:</t>
        </r>
        <r>
          <rPr>
            <sz val="9"/>
            <color indexed="81"/>
            <rFont val="Tahoma"/>
            <family val="2"/>
          </rPr>
          <t xml:space="preserve">
Includes ammonia/urea, polymer, and caustic.</t>
        </r>
      </text>
    </comment>
    <comment ref="F86" authorId="2" shapeId="0" xr:uid="{9C41F963-B960-4039-B4BC-0E3F1741B295}">
      <text>
        <r>
          <rPr>
            <b/>
            <sz val="9"/>
            <color indexed="81"/>
            <rFont val="Tahoma"/>
            <family val="2"/>
          </rPr>
          <t>Christopher Kinchin, NREL:</t>
        </r>
        <r>
          <rPr>
            <sz val="9"/>
            <color indexed="81"/>
            <rFont val="Tahoma"/>
            <family val="2"/>
          </rPr>
          <t xml:space="preserve">
Includes ammonia/urea, polymer, and caustic.</t>
        </r>
      </text>
    </comment>
    <comment ref="B87" authorId="0" shapeId="0" xr:uid="{00000000-0006-0000-0400-0000AA000000}">
      <text>
        <r>
          <rPr>
            <b/>
            <sz val="9"/>
            <color indexed="81"/>
            <rFont val="Tahoma"/>
            <family val="2"/>
          </rPr>
          <t>ckinchin:</t>
        </r>
        <r>
          <rPr>
            <sz val="9"/>
            <color indexed="81"/>
            <rFont val="Tahoma"/>
            <family val="2"/>
          </rPr>
          <t xml:space="preserve">
Includes boiler chemicals and flue gas desulfurization lime (FGD lime).  Does not include natural gas.</t>
        </r>
      </text>
    </comment>
    <comment ref="C87" authorId="0" shapeId="0" xr:uid="{54DBFFBC-FFCA-494F-A92A-02CCE4D85830}">
      <text>
        <r>
          <rPr>
            <b/>
            <sz val="9"/>
            <color indexed="81"/>
            <rFont val="Tahoma"/>
            <family val="2"/>
          </rPr>
          <t>ckinchin:</t>
        </r>
        <r>
          <rPr>
            <sz val="9"/>
            <color indexed="81"/>
            <rFont val="Tahoma"/>
            <family val="2"/>
          </rPr>
          <t xml:space="preserve">
Includes boiler chemicals and flue gas desulfurization lime (FGD lime).  Does not include natural gas.</t>
        </r>
      </text>
    </comment>
    <comment ref="D87" authorId="0" shapeId="0" xr:uid="{65B4CEF4-01FE-44A6-A2FC-3F4763C12E45}">
      <text>
        <r>
          <rPr>
            <b/>
            <sz val="9"/>
            <color indexed="81"/>
            <rFont val="Tahoma"/>
            <family val="2"/>
          </rPr>
          <t>ckinchin:</t>
        </r>
        <r>
          <rPr>
            <sz val="9"/>
            <color indexed="81"/>
            <rFont val="Tahoma"/>
            <family val="2"/>
          </rPr>
          <t xml:space="preserve">
Includes boiler chemicals and flue gas desulfurization lime (FGD lime).  Does not include natural gas.</t>
        </r>
      </text>
    </comment>
    <comment ref="F87" authorId="2" shapeId="0" xr:uid="{DC467823-9B7A-419E-930C-2AAB8ADBBF67}">
      <text>
        <r>
          <rPr>
            <b/>
            <sz val="9"/>
            <color indexed="81"/>
            <rFont val="Tahoma"/>
            <family val="2"/>
          </rPr>
          <t>Christopher Kinchin, NREL:</t>
        </r>
        <r>
          <rPr>
            <sz val="9"/>
            <color indexed="81"/>
            <rFont val="Tahoma"/>
            <family val="2"/>
          </rPr>
          <t xml:space="preserve">
Includes boiler chemicals and flue gas desulfurization lime (FGD lime).</t>
        </r>
      </text>
    </comment>
    <comment ref="G87" authorId="2" shapeId="0" xr:uid="{58BC755B-8659-41CB-A970-1B0397E80D2E}">
      <text>
        <r>
          <rPr>
            <b/>
            <sz val="9"/>
            <color indexed="81"/>
            <rFont val="Tahoma"/>
            <family val="2"/>
          </rPr>
          <t>Christopher Kinchin, NREL:</t>
        </r>
        <r>
          <rPr>
            <sz val="9"/>
            <color indexed="81"/>
            <rFont val="Tahoma"/>
            <family val="2"/>
          </rPr>
          <t xml:space="preserve">
Includes boiler chemicals and flue gas desulfurization lime (FGD lime), Ammonia, and natural gas. Almost all cost is ammonia.</t>
        </r>
      </text>
    </comment>
    <comment ref="G90" authorId="2" shapeId="0" xr:uid="{660AC3C3-DE72-4AA2-8A8C-4C30EBE828F9}">
      <text>
        <r>
          <rPr>
            <b/>
            <sz val="9"/>
            <color indexed="81"/>
            <rFont val="Tahoma"/>
            <family val="2"/>
          </rPr>
          <t>Christopher Kinchin, NREL:</t>
        </r>
        <r>
          <rPr>
            <sz val="9"/>
            <color indexed="81"/>
            <rFont val="Tahoma"/>
            <family val="2"/>
          </rPr>
          <t xml:space="preserve">
All is disposal of ash from high-solids boiler.</t>
        </r>
      </text>
    </comment>
    <comment ref="H90" authorId="2" shapeId="0" xr:uid="{B5034974-1BC1-4031-861D-68979DA3A7BB}">
      <text>
        <r>
          <rPr>
            <b/>
            <sz val="9"/>
            <color indexed="81"/>
            <rFont val="Tahoma"/>
            <family val="2"/>
          </rPr>
          <t>Christopher Kinchin, NREL:</t>
        </r>
        <r>
          <rPr>
            <sz val="9"/>
            <color indexed="81"/>
            <rFont val="Tahoma"/>
            <family val="2"/>
          </rPr>
          <t xml:space="preserve">
All is disposal of ash from high-solids boiler.</t>
        </r>
      </text>
    </comment>
    <comment ref="E91" authorId="2" shapeId="0" xr:uid="{EE89CB4E-B129-4AA1-840A-228C1DC72732}">
      <text>
        <r>
          <rPr>
            <b/>
            <sz val="9"/>
            <color indexed="81"/>
            <rFont val="Tahoma"/>
            <family val="2"/>
          </rPr>
          <t>Christopher Kinchin, NREL:</t>
        </r>
        <r>
          <rPr>
            <sz val="9"/>
            <color indexed="81"/>
            <rFont val="Tahoma"/>
            <family val="2"/>
          </rPr>
          <t xml:space="preserve">
Well water.</t>
        </r>
      </text>
    </comment>
    <comment ref="E92" authorId="2" shapeId="0" xr:uid="{1C0CEF16-1538-4568-B110-EB1CAB0CD472}">
      <text>
        <r>
          <rPr>
            <b/>
            <sz val="9"/>
            <color indexed="81"/>
            <rFont val="Tahoma"/>
            <family val="2"/>
          </rPr>
          <t>Christopher Kinchin, NREL:</t>
        </r>
        <r>
          <rPr>
            <sz val="9"/>
            <color indexed="81"/>
            <rFont val="Tahoma"/>
            <family val="2"/>
          </rPr>
          <t xml:space="preserve">
Electricity and well water.</t>
        </r>
      </text>
    </comment>
    <comment ref="C96" authorId="0" shapeId="0" xr:uid="{9892E5F7-074D-46DD-9F35-4E19BE27C7A8}">
      <text>
        <r>
          <rPr>
            <b/>
            <sz val="9"/>
            <color indexed="81"/>
            <rFont val="Tahoma"/>
            <family val="2"/>
          </rPr>
          <t>ckinchin:</t>
        </r>
        <r>
          <rPr>
            <sz val="9"/>
            <color indexed="81"/>
            <rFont val="Tahoma"/>
            <family val="2"/>
          </rPr>
          <t xml:space="preserve">
This value includes only electicity co-product, most of which is exported to the grid, although some is used in Area A100 (Feedstock and Handling), for which a credit is applied same as selling to the grid.</t>
        </r>
      </text>
    </comment>
    <comment ref="F97" authorId="2" shapeId="0" xr:uid="{524F03A8-D3B4-4D3E-BB3C-6AC253A0AB1D}">
      <text>
        <r>
          <rPr>
            <b/>
            <sz val="9"/>
            <color indexed="81"/>
            <rFont val="Tahoma"/>
            <family val="2"/>
          </rPr>
          <t>Christopher Kinchin, NREL:</t>
        </r>
        <r>
          <rPr>
            <sz val="9"/>
            <color indexed="81"/>
            <rFont val="Tahoma"/>
            <family val="2"/>
          </rPr>
          <t xml:space="preserve">
Succinic Acid</t>
        </r>
      </text>
    </comment>
    <comment ref="E98" authorId="2" shapeId="0" xr:uid="{BA4C94C6-D5CB-4D39-A29E-0F57511E2220}">
      <text>
        <r>
          <rPr>
            <b/>
            <sz val="9"/>
            <color indexed="81"/>
            <rFont val="Tahoma"/>
            <family val="2"/>
          </rPr>
          <t>Christopher Kinchin, NREL:</t>
        </r>
        <r>
          <rPr>
            <sz val="9"/>
            <color indexed="81"/>
            <rFont val="Tahoma"/>
            <family val="2"/>
          </rPr>
          <t xml:space="preserve">
DDGS</t>
        </r>
      </text>
    </comment>
    <comment ref="B102" authorId="0" shapeId="0" xr:uid="{00000000-0006-0000-0400-0000C1000000}">
      <text>
        <r>
          <rPr>
            <b/>
            <sz val="9"/>
            <color indexed="81"/>
            <rFont val="Tahoma"/>
            <family val="2"/>
          </rPr>
          <t>ckinchin:</t>
        </r>
        <r>
          <rPr>
            <sz val="9"/>
            <color indexed="81"/>
            <rFont val="Tahoma"/>
            <family val="2"/>
          </rPr>
          <t xml:space="preserve">
90% of Employee Salaries.</t>
        </r>
      </text>
    </comment>
    <comment ref="C102" authorId="0" shapeId="0" xr:uid="{4FA29B19-3556-4435-AD51-378C3B56AC45}">
      <text>
        <r>
          <rPr>
            <b/>
            <sz val="9"/>
            <color indexed="81"/>
            <rFont val="Tahoma"/>
            <family val="2"/>
          </rPr>
          <t>ckinchin:</t>
        </r>
        <r>
          <rPr>
            <sz val="9"/>
            <color indexed="81"/>
            <rFont val="Tahoma"/>
            <family val="2"/>
          </rPr>
          <t xml:space="preserve">
90% of Employee Salaries.</t>
        </r>
      </text>
    </comment>
    <comment ref="D102" authorId="0" shapeId="0" xr:uid="{2770FE52-6572-449A-9CD2-B4AB2087BED1}">
      <text>
        <r>
          <rPr>
            <b/>
            <sz val="9"/>
            <color indexed="81"/>
            <rFont val="Tahoma"/>
            <family val="2"/>
          </rPr>
          <t>ckinchin:</t>
        </r>
        <r>
          <rPr>
            <sz val="9"/>
            <color indexed="81"/>
            <rFont val="Tahoma"/>
            <family val="2"/>
          </rPr>
          <t xml:space="preserve">
90% of Employee Salaries.</t>
        </r>
      </text>
    </comment>
    <comment ref="F102" authorId="0" shapeId="0" xr:uid="{A2C28402-D3F0-4882-ACE4-B0EC3CF26649}">
      <text>
        <r>
          <rPr>
            <b/>
            <sz val="9"/>
            <color indexed="81"/>
            <rFont val="Tahoma"/>
            <family val="2"/>
          </rPr>
          <t>ckinchin:</t>
        </r>
        <r>
          <rPr>
            <sz val="9"/>
            <color indexed="81"/>
            <rFont val="Tahoma"/>
            <family val="2"/>
          </rPr>
          <t xml:space="preserve">
90% of Employee Salaries.</t>
        </r>
      </text>
    </comment>
    <comment ref="G102" authorId="0" shapeId="0" xr:uid="{C802D4BF-92B7-403D-9409-535DF6312F98}">
      <text>
        <r>
          <rPr>
            <b/>
            <sz val="9"/>
            <color indexed="81"/>
            <rFont val="Tahoma"/>
            <family val="2"/>
          </rPr>
          <t>ckinchin:</t>
        </r>
        <r>
          <rPr>
            <sz val="9"/>
            <color indexed="81"/>
            <rFont val="Tahoma"/>
            <family val="2"/>
          </rPr>
          <t xml:space="preserve">
90% of Employee Salaries.</t>
        </r>
      </text>
    </comment>
    <comment ref="H102" authorId="0" shapeId="0" xr:uid="{9421259B-1BC5-498D-A3A3-DB67ABAA9F65}">
      <text>
        <r>
          <rPr>
            <b/>
            <sz val="9"/>
            <color indexed="81"/>
            <rFont val="Tahoma"/>
            <family val="2"/>
          </rPr>
          <t>ckinchin:</t>
        </r>
        <r>
          <rPr>
            <sz val="9"/>
            <color indexed="81"/>
            <rFont val="Tahoma"/>
            <family val="2"/>
          </rPr>
          <t xml:space="preserve">
90% of Employee Salaries.</t>
        </r>
      </text>
    </comment>
    <comment ref="B103" authorId="0" shapeId="0" xr:uid="{00000000-0006-0000-0400-0000CB000000}">
      <text>
        <r>
          <rPr>
            <b/>
            <sz val="9"/>
            <color indexed="81"/>
            <rFont val="Tahoma"/>
            <family val="2"/>
          </rPr>
          <t>ckinchin:</t>
        </r>
        <r>
          <rPr>
            <sz val="9"/>
            <color indexed="81"/>
            <rFont val="Tahoma"/>
            <family val="2"/>
          </rPr>
          <t xml:space="preserve">
3% of ISBL.</t>
        </r>
      </text>
    </comment>
    <comment ref="C103" authorId="0" shapeId="0" xr:uid="{48ADCA65-B7E9-426E-95AF-E73BD9BF6200}">
      <text>
        <r>
          <rPr>
            <b/>
            <sz val="9"/>
            <color indexed="81"/>
            <rFont val="Tahoma"/>
            <family val="2"/>
          </rPr>
          <t>ckinchin:</t>
        </r>
        <r>
          <rPr>
            <sz val="9"/>
            <color indexed="81"/>
            <rFont val="Tahoma"/>
            <family val="2"/>
          </rPr>
          <t xml:space="preserve">
3% of ISBL.</t>
        </r>
      </text>
    </comment>
    <comment ref="D103" authorId="0" shapeId="0" xr:uid="{619E3E6C-4245-49FA-9773-BA4AE96260D6}">
      <text>
        <r>
          <rPr>
            <b/>
            <sz val="9"/>
            <color indexed="81"/>
            <rFont val="Tahoma"/>
            <family val="2"/>
          </rPr>
          <t>ckinchin:</t>
        </r>
        <r>
          <rPr>
            <sz val="9"/>
            <color indexed="81"/>
            <rFont val="Tahoma"/>
            <family val="2"/>
          </rPr>
          <t xml:space="preserve">
3% of ISBL.</t>
        </r>
      </text>
    </comment>
    <comment ref="F103" authorId="0" shapeId="0" xr:uid="{F475696A-2043-4665-B55E-65626FF7B7F3}">
      <text>
        <r>
          <rPr>
            <b/>
            <sz val="9"/>
            <color indexed="81"/>
            <rFont val="Tahoma"/>
            <family val="2"/>
          </rPr>
          <t>ckinchin:</t>
        </r>
        <r>
          <rPr>
            <sz val="9"/>
            <color indexed="81"/>
            <rFont val="Tahoma"/>
            <family val="2"/>
          </rPr>
          <t xml:space="preserve">
3% of ISBL.</t>
        </r>
      </text>
    </comment>
    <comment ref="G103" authorId="0" shapeId="0" xr:uid="{933E8033-4B69-47D7-8CA8-4140B5B3508E}">
      <text>
        <r>
          <rPr>
            <b/>
            <sz val="9"/>
            <color indexed="81"/>
            <rFont val="Tahoma"/>
            <family val="2"/>
          </rPr>
          <t>ckinchin:</t>
        </r>
        <r>
          <rPr>
            <sz val="9"/>
            <color indexed="81"/>
            <rFont val="Tahoma"/>
            <family val="2"/>
          </rPr>
          <t xml:space="preserve">
3% of ISBL.</t>
        </r>
      </text>
    </comment>
    <comment ref="H103" authorId="0" shapeId="0" xr:uid="{4831B021-16FD-4492-AF8D-FF8E9A481F6F}">
      <text>
        <r>
          <rPr>
            <b/>
            <sz val="9"/>
            <color indexed="81"/>
            <rFont val="Tahoma"/>
            <family val="2"/>
          </rPr>
          <t>ckinchin:</t>
        </r>
        <r>
          <rPr>
            <sz val="9"/>
            <color indexed="81"/>
            <rFont val="Tahoma"/>
            <family val="2"/>
          </rPr>
          <t xml:space="preserve">
3% of ISBL.</t>
        </r>
      </text>
    </comment>
    <comment ref="B104" authorId="0" shapeId="0" xr:uid="{00000000-0006-0000-0400-0000D5000000}">
      <text>
        <r>
          <rPr>
            <b/>
            <sz val="9"/>
            <color indexed="81"/>
            <rFont val="Tahoma"/>
            <family val="2"/>
          </rPr>
          <t>ckinchin:</t>
        </r>
        <r>
          <rPr>
            <sz val="9"/>
            <color indexed="81"/>
            <rFont val="Tahoma"/>
            <family val="2"/>
          </rPr>
          <t xml:space="preserve">
0.7% of FCI.</t>
        </r>
      </text>
    </comment>
    <comment ref="C104" authorId="0" shapeId="0" xr:uid="{FEACEE7C-DEA4-46FB-A1CB-07D1815ACAA9}">
      <text>
        <r>
          <rPr>
            <b/>
            <sz val="9"/>
            <color indexed="81"/>
            <rFont val="Tahoma"/>
            <family val="2"/>
          </rPr>
          <t>ckinchin:</t>
        </r>
        <r>
          <rPr>
            <sz val="9"/>
            <color indexed="81"/>
            <rFont val="Tahoma"/>
            <family val="2"/>
          </rPr>
          <t xml:space="preserve">
0.7% of FCI.</t>
        </r>
      </text>
    </comment>
    <comment ref="D104" authorId="0" shapeId="0" xr:uid="{41B85DDE-D39F-44C6-B9F3-7F328AB59C94}">
      <text>
        <r>
          <rPr>
            <b/>
            <sz val="9"/>
            <color indexed="81"/>
            <rFont val="Tahoma"/>
            <family val="2"/>
          </rPr>
          <t>ckinchin:</t>
        </r>
        <r>
          <rPr>
            <sz val="9"/>
            <color indexed="81"/>
            <rFont val="Tahoma"/>
            <family val="2"/>
          </rPr>
          <t xml:space="preserve">
0.7% of FCI.</t>
        </r>
      </text>
    </comment>
    <comment ref="F104" authorId="0" shapeId="0" xr:uid="{29807EB7-3A92-4928-9937-6AB0B11DDC13}">
      <text>
        <r>
          <rPr>
            <b/>
            <sz val="9"/>
            <color indexed="81"/>
            <rFont val="Tahoma"/>
            <family val="2"/>
          </rPr>
          <t>ckinchin:</t>
        </r>
        <r>
          <rPr>
            <sz val="9"/>
            <color indexed="81"/>
            <rFont val="Tahoma"/>
            <family val="2"/>
          </rPr>
          <t xml:space="preserve">
0.7% of FCI.</t>
        </r>
      </text>
    </comment>
    <comment ref="G104" authorId="0" shapeId="0" xr:uid="{A181A376-1AA9-4855-8726-4FD2AFE44FB3}">
      <text>
        <r>
          <rPr>
            <b/>
            <sz val="9"/>
            <color indexed="81"/>
            <rFont val="Tahoma"/>
            <family val="2"/>
          </rPr>
          <t>ckinchin:</t>
        </r>
        <r>
          <rPr>
            <sz val="9"/>
            <color indexed="81"/>
            <rFont val="Tahoma"/>
            <family val="2"/>
          </rPr>
          <t xml:space="preserve">
0.7% of FCI.</t>
        </r>
      </text>
    </comment>
    <comment ref="H104" authorId="0" shapeId="0" xr:uid="{54A580DC-2289-47BE-B5D5-59A894A0F2ED}">
      <text>
        <r>
          <rPr>
            <b/>
            <sz val="9"/>
            <color indexed="81"/>
            <rFont val="Tahoma"/>
            <family val="2"/>
          </rPr>
          <t>ckinchin:</t>
        </r>
        <r>
          <rPr>
            <sz val="9"/>
            <color indexed="81"/>
            <rFont val="Tahoma"/>
            <family val="2"/>
          </rPr>
          <t xml:space="preserve">
0.7% of FCI.</t>
        </r>
      </text>
    </comment>
    <comment ref="B117" authorId="0" shapeId="0" xr:uid="{00000000-0006-0000-0400-0000E1000000}">
      <text>
        <r>
          <rPr>
            <b/>
            <sz val="9"/>
            <color indexed="81"/>
            <rFont val="Tahoma"/>
            <family val="2"/>
          </rPr>
          <t>ckinchin:</t>
        </r>
        <r>
          <rPr>
            <sz val="9"/>
            <color indexed="81"/>
            <rFont val="Tahoma"/>
            <family val="2"/>
          </rPr>
          <t xml:space="preserve">
Getting a slightly different value than in DCFROR workbook.  Not sure if I'm making a mistake.  Doesn't look like a rounding error.</t>
        </r>
      </text>
    </comment>
    <comment ref="B125" authorId="0" shapeId="0" xr:uid="{379EB485-70AE-432A-A0A6-5041FD8C6FD8}">
      <text>
        <r>
          <rPr>
            <b/>
            <sz val="9"/>
            <color indexed="81"/>
            <rFont val="Tahoma"/>
            <family val="2"/>
          </rPr>
          <t>ckinchin:</t>
        </r>
        <r>
          <rPr>
            <sz val="9"/>
            <color indexed="81"/>
            <rFont val="Tahoma"/>
            <family val="2"/>
          </rPr>
          <t xml:space="preserve">
IRS publication 946.  http://www.irs.gov/pub/irs-pdf/p946.pdf</t>
        </r>
      </text>
    </comment>
    <comment ref="C125" authorId="0" shapeId="0" xr:uid="{AE3DCED8-0D4E-47BA-9D7D-97118326C1F3}">
      <text>
        <r>
          <rPr>
            <b/>
            <sz val="9"/>
            <color indexed="81"/>
            <rFont val="Tahoma"/>
            <family val="2"/>
          </rPr>
          <t>ckinchin:</t>
        </r>
        <r>
          <rPr>
            <sz val="9"/>
            <color indexed="81"/>
            <rFont val="Tahoma"/>
            <family val="2"/>
          </rPr>
          <t xml:space="preserve">
IRS publication 946.  http://www.irs.gov/pub/irs-pdf/p946.pdf</t>
        </r>
      </text>
    </comment>
    <comment ref="F125" authorId="0" shapeId="0" xr:uid="{6AA78EA9-54DF-4410-8460-5687DD3F7462}">
      <text>
        <r>
          <rPr>
            <b/>
            <sz val="9"/>
            <color indexed="81"/>
            <rFont val="Tahoma"/>
            <family val="2"/>
          </rPr>
          <t>ckinchin:</t>
        </r>
        <r>
          <rPr>
            <sz val="9"/>
            <color indexed="81"/>
            <rFont val="Tahoma"/>
            <family val="2"/>
          </rPr>
          <t xml:space="preserve">
IRS publication 946.  http://www.irs.gov/pub/irs-pdf/p946.pdf</t>
        </r>
      </text>
    </comment>
    <comment ref="G125" authorId="0" shapeId="0" xr:uid="{589AA64B-BF41-4B37-80C7-9CA97259D036}">
      <text>
        <r>
          <rPr>
            <b/>
            <sz val="9"/>
            <color indexed="81"/>
            <rFont val="Tahoma"/>
            <family val="2"/>
          </rPr>
          <t>ckinchin:</t>
        </r>
        <r>
          <rPr>
            <sz val="9"/>
            <color indexed="81"/>
            <rFont val="Tahoma"/>
            <family val="2"/>
          </rPr>
          <t xml:space="preserve">
IRS publication 946.  http://www.irs.gov/pub/irs-pdf/p946.pdf</t>
        </r>
      </text>
    </comment>
    <comment ref="H125" authorId="0" shapeId="0" xr:uid="{AF969C95-66E9-4546-8D16-90C5D9DFE999}">
      <text>
        <r>
          <rPr>
            <b/>
            <sz val="9"/>
            <color indexed="81"/>
            <rFont val="Tahoma"/>
            <family val="2"/>
          </rPr>
          <t>ckinchin:</t>
        </r>
        <r>
          <rPr>
            <sz val="9"/>
            <color indexed="81"/>
            <rFont val="Tahoma"/>
            <family val="2"/>
          </rPr>
          <t xml:space="preserve">
IRS publication 946.  http://www.irs.gov/pub/irs-pdf/p946.pdf</t>
        </r>
      </text>
    </comment>
    <comment ref="I125" authorId="1" shapeId="0" xr:uid="{4BABCF1F-E764-4DEA-8028-424F98AF18BB}">
      <text>
        <r>
          <rPr>
            <b/>
            <sz val="9"/>
            <color indexed="81"/>
            <rFont val="Tahoma"/>
            <family val="2"/>
          </rPr>
          <t>Wang, Yuxi:</t>
        </r>
        <r>
          <rPr>
            <sz val="9"/>
            <color indexed="81"/>
            <rFont val="Tahoma"/>
            <family val="2"/>
          </rPr>
          <t xml:space="preserve">
IRS publication 946.  http://www.irs.gov/pub/irs-pdf/p946.pdf</t>
        </r>
      </text>
    </comment>
    <comment ref="J125" authorId="1" shapeId="0" xr:uid="{4CDB0D60-94DD-4194-B5E4-37DCF1FDA8B0}">
      <text>
        <r>
          <rPr>
            <b/>
            <sz val="9"/>
            <color indexed="81"/>
            <rFont val="Tahoma"/>
            <family val="2"/>
          </rPr>
          <t>Wang, Yuxi:</t>
        </r>
        <r>
          <rPr>
            <sz val="9"/>
            <color indexed="81"/>
            <rFont val="Tahoma"/>
            <family val="2"/>
          </rPr>
          <t xml:space="preserve">
IRS publication 946.  http://www.irs.gov/pub/irs-pdf/p946.pdf</t>
        </r>
      </text>
    </comment>
    <comment ref="K125" authorId="1" shapeId="0" xr:uid="{3CC81B9E-4004-4CB2-BF24-E943E1DF7EF1}">
      <text>
        <r>
          <rPr>
            <b/>
            <sz val="9"/>
            <color indexed="81"/>
            <rFont val="Tahoma"/>
            <family val="2"/>
          </rPr>
          <t>Wang, Yuxi:</t>
        </r>
        <r>
          <rPr>
            <sz val="9"/>
            <color indexed="81"/>
            <rFont val="Tahoma"/>
            <family val="2"/>
          </rPr>
          <t xml:space="preserve">
IRS publication 946.  http://www.irs.gov/pub/irs-pdf/p946.pdf</t>
        </r>
      </text>
    </comment>
    <comment ref="L125" authorId="1" shapeId="0" xr:uid="{E12504DB-FA67-44B6-BA0B-E9734ED9E971}">
      <text>
        <r>
          <rPr>
            <b/>
            <sz val="9"/>
            <color indexed="81"/>
            <rFont val="Tahoma"/>
            <family val="2"/>
          </rPr>
          <t>Wang, Yuxi:</t>
        </r>
        <r>
          <rPr>
            <sz val="9"/>
            <color indexed="81"/>
            <rFont val="Tahoma"/>
            <family val="2"/>
          </rPr>
          <t xml:space="preserve">
IRS publication 946.  http://www.irs.gov/pub/irs-pdf/p946.pdf</t>
        </r>
      </text>
    </comment>
    <comment ref="A145" authorId="3" shapeId="0" xr:uid="{00000000-0006-0000-0400-0000F1000000}">
      <text>
        <r>
          <rPr>
            <b/>
            <sz val="8"/>
            <color indexed="81"/>
            <rFont val="Tahoma"/>
            <family val="2"/>
          </rPr>
          <t>Mary Biddy:</t>
        </r>
        <r>
          <rPr>
            <sz val="8"/>
            <color indexed="81"/>
            <rFont val="Tahoma"/>
            <family val="2"/>
          </rPr>
          <t xml:space="preserve">
this is per dry US short ton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ckinchin</author>
    <author>Christopher Kinchin, NREL</author>
    <author>Mary Biddy</author>
  </authors>
  <commentList>
    <comment ref="B15" authorId="0" shapeId="0" xr:uid="{510B0B85-78F0-4B5B-AD7F-C8FE3B99EDB6}">
      <text>
        <r>
          <rPr>
            <b/>
            <sz val="9"/>
            <color indexed="81"/>
            <rFont val="Tahoma"/>
            <family val="2"/>
          </rPr>
          <t>ckinchin:</t>
        </r>
        <r>
          <rPr>
            <sz val="9"/>
            <color indexed="81"/>
            <rFont val="Tahoma"/>
            <family val="2"/>
          </rPr>
          <t xml:space="preserve">
Jet Product only.</t>
        </r>
      </text>
    </comment>
    <comment ref="C15" authorId="0" shapeId="0" xr:uid="{131C028B-C025-451D-8F1C-015100258DA2}">
      <text>
        <r>
          <rPr>
            <b/>
            <sz val="9"/>
            <color indexed="81"/>
            <rFont val="Tahoma"/>
            <family val="2"/>
          </rPr>
          <t>ckinchin:</t>
        </r>
        <r>
          <rPr>
            <sz val="9"/>
            <color indexed="81"/>
            <rFont val="Tahoma"/>
            <family val="2"/>
          </rPr>
          <t xml:space="preserve">
Jet Product only.</t>
        </r>
      </text>
    </comment>
    <comment ref="B29" authorId="0" shapeId="0" xr:uid="{51C21A25-E5A1-4D3E-9C53-EB90F0DD573B}">
      <text>
        <r>
          <rPr>
            <b/>
            <sz val="9"/>
            <color indexed="81"/>
            <rFont val="Tahoma"/>
            <family val="2"/>
          </rPr>
          <t>ckinchin:</t>
        </r>
        <r>
          <rPr>
            <sz val="9"/>
            <color indexed="81"/>
            <rFont val="Tahoma"/>
            <family val="2"/>
          </rPr>
          <t xml:space="preserve">
Does not include Feedstock Handling.</t>
        </r>
      </text>
    </comment>
    <comment ref="C29" authorId="0" shapeId="0" xr:uid="{4211C2A2-877C-499B-9BDC-630D3B3215B5}">
      <text>
        <r>
          <rPr>
            <b/>
            <sz val="9"/>
            <color indexed="81"/>
            <rFont val="Tahoma"/>
            <family val="2"/>
          </rPr>
          <t>ckinchin:</t>
        </r>
        <r>
          <rPr>
            <sz val="9"/>
            <color indexed="81"/>
            <rFont val="Tahoma"/>
            <family val="2"/>
          </rPr>
          <t xml:space="preserve">
Does not include Feedstock Handling.</t>
        </r>
      </text>
    </comment>
    <comment ref="B31" authorId="1" shapeId="0" xr:uid="{C3CCBAC3-0E71-43B9-9143-C5F49A96EF85}">
      <text>
        <r>
          <rPr>
            <b/>
            <sz val="9"/>
            <color indexed="81"/>
            <rFont val="Tahoma"/>
            <family val="2"/>
          </rPr>
          <t>Christopher Kinchin, NREL:</t>
        </r>
        <r>
          <rPr>
            <sz val="9"/>
            <color indexed="81"/>
            <rFont val="Tahoma"/>
            <family val="2"/>
          </rPr>
          <t xml:space="preserve">
4% of ISBL.
</t>
        </r>
      </text>
    </comment>
    <comment ref="C31" authorId="1" shapeId="0" xr:uid="{CEA21648-230C-45E2-8050-49A428A24E50}">
      <text>
        <r>
          <rPr>
            <b/>
            <sz val="9"/>
            <color indexed="81"/>
            <rFont val="Tahoma"/>
            <family val="2"/>
          </rPr>
          <t>Christopher Kinchin, NREL:</t>
        </r>
        <r>
          <rPr>
            <sz val="9"/>
            <color indexed="81"/>
            <rFont val="Tahoma"/>
            <family val="2"/>
          </rPr>
          <t xml:space="preserve">
4% of ISBL.
</t>
        </r>
      </text>
    </comment>
    <comment ref="B32" authorId="1" shapeId="0" xr:uid="{C645A24D-3E5B-4D5A-81B4-1A4AAF2DC81B}">
      <text>
        <r>
          <rPr>
            <b/>
            <sz val="9"/>
            <color indexed="81"/>
            <rFont val="Tahoma"/>
            <family val="2"/>
          </rPr>
          <t>Christopher Kinchin, NREL:</t>
        </r>
        <r>
          <rPr>
            <sz val="9"/>
            <color indexed="81"/>
            <rFont val="Tahoma"/>
            <family val="2"/>
          </rPr>
          <t xml:space="preserve">
9% of ISBL.
</t>
        </r>
      </text>
    </comment>
    <comment ref="C32" authorId="1" shapeId="0" xr:uid="{AECCC525-6A8F-4898-B1C4-7FB9F13F60B7}">
      <text>
        <r>
          <rPr>
            <b/>
            <sz val="9"/>
            <color indexed="81"/>
            <rFont val="Tahoma"/>
            <family val="2"/>
          </rPr>
          <t>Christopher Kinchin, NREL:</t>
        </r>
        <r>
          <rPr>
            <sz val="9"/>
            <color indexed="81"/>
            <rFont val="Tahoma"/>
            <family val="2"/>
          </rPr>
          <t xml:space="preserve">
9% of ISBL.
</t>
        </r>
      </text>
    </comment>
    <comment ref="B33" authorId="1" shapeId="0" xr:uid="{E61D5DB6-FB4C-485B-82EB-4BEC15BA70C5}">
      <text>
        <r>
          <rPr>
            <b/>
            <sz val="9"/>
            <color indexed="81"/>
            <rFont val="Tahoma"/>
            <family val="2"/>
          </rPr>
          <t>Christopher Kinchin, NREL:</t>
        </r>
        <r>
          <rPr>
            <sz val="9"/>
            <color indexed="81"/>
            <rFont val="Tahoma"/>
            <family val="2"/>
          </rPr>
          <t xml:space="preserve">
4.5% of ISBL.
</t>
        </r>
      </text>
    </comment>
    <comment ref="C33" authorId="1" shapeId="0" xr:uid="{BA4D1FE0-2329-440F-8C0E-A8783E40AB49}">
      <text>
        <r>
          <rPr>
            <b/>
            <sz val="9"/>
            <color indexed="81"/>
            <rFont val="Tahoma"/>
            <family val="2"/>
          </rPr>
          <t>Christopher Kinchin, NREL:</t>
        </r>
        <r>
          <rPr>
            <sz val="9"/>
            <color indexed="81"/>
            <rFont val="Tahoma"/>
            <family val="2"/>
          </rPr>
          <t xml:space="preserve">
4.5% of ISBL.
</t>
        </r>
      </text>
    </comment>
    <comment ref="B36" authorId="0" shapeId="0" xr:uid="{21C6272F-7D1D-4599-B0ED-6BC931419EF1}">
      <text>
        <r>
          <rPr>
            <b/>
            <sz val="9"/>
            <color indexed="81"/>
            <rFont val="Tahoma"/>
            <family val="2"/>
          </rPr>
          <t>ckinchin:</t>
        </r>
        <r>
          <rPr>
            <sz val="9"/>
            <color indexed="81"/>
            <rFont val="Tahoma"/>
            <family val="2"/>
          </rPr>
          <t xml:space="preserve">
10% of TDC.</t>
        </r>
      </text>
    </comment>
    <comment ref="C36" authorId="0" shapeId="0" xr:uid="{39F3BDB1-043A-429D-A5EC-42F13D4530D5}">
      <text>
        <r>
          <rPr>
            <b/>
            <sz val="9"/>
            <color indexed="81"/>
            <rFont val="Tahoma"/>
            <family val="2"/>
          </rPr>
          <t>ckinchin:</t>
        </r>
        <r>
          <rPr>
            <sz val="9"/>
            <color indexed="81"/>
            <rFont val="Tahoma"/>
            <family val="2"/>
          </rPr>
          <t xml:space="preserve">
10% of TDC.</t>
        </r>
      </text>
    </comment>
    <comment ref="B37" authorId="0" shapeId="0" xr:uid="{31589936-A711-4B5B-8F65-11519F6B387D}">
      <text>
        <r>
          <rPr>
            <b/>
            <sz val="9"/>
            <color indexed="81"/>
            <rFont val="Tahoma"/>
            <family val="2"/>
          </rPr>
          <t>ckinchin:</t>
        </r>
        <r>
          <rPr>
            <sz val="9"/>
            <color indexed="81"/>
            <rFont val="Tahoma"/>
            <family val="2"/>
          </rPr>
          <t xml:space="preserve">
10% of TDC.</t>
        </r>
      </text>
    </comment>
    <comment ref="C37" authorId="0" shapeId="0" xr:uid="{BDD0F612-7A7D-4886-86F4-F23AA50624EF}">
      <text>
        <r>
          <rPr>
            <b/>
            <sz val="9"/>
            <color indexed="81"/>
            <rFont val="Tahoma"/>
            <family val="2"/>
          </rPr>
          <t>ckinchin:</t>
        </r>
        <r>
          <rPr>
            <sz val="9"/>
            <color indexed="81"/>
            <rFont val="Tahoma"/>
            <family val="2"/>
          </rPr>
          <t xml:space="preserve">
10% of TDC.</t>
        </r>
      </text>
    </comment>
    <comment ref="B38" authorId="0" shapeId="0" xr:uid="{8FD30929-014B-4B4B-ADB0-1F741B9787EE}">
      <text>
        <r>
          <rPr>
            <b/>
            <sz val="9"/>
            <color indexed="81"/>
            <rFont val="Tahoma"/>
            <family val="2"/>
          </rPr>
          <t>ckinchin:</t>
        </r>
        <r>
          <rPr>
            <sz val="9"/>
            <color indexed="81"/>
            <rFont val="Tahoma"/>
            <family val="2"/>
          </rPr>
          <t xml:space="preserve">
20% of TDC.</t>
        </r>
      </text>
    </comment>
    <comment ref="C38" authorId="0" shapeId="0" xr:uid="{CF3BC6BA-D494-4078-975E-A9BAD8438D50}">
      <text>
        <r>
          <rPr>
            <b/>
            <sz val="9"/>
            <color indexed="81"/>
            <rFont val="Tahoma"/>
            <family val="2"/>
          </rPr>
          <t>ckinchin:</t>
        </r>
        <r>
          <rPr>
            <sz val="9"/>
            <color indexed="81"/>
            <rFont val="Tahoma"/>
            <family val="2"/>
          </rPr>
          <t xml:space="preserve">
20% of TDC.</t>
        </r>
      </text>
    </comment>
    <comment ref="B39" authorId="0" shapeId="0" xr:uid="{827C39E8-B29C-4CFD-99E6-32FFEC23D0C0}">
      <text>
        <r>
          <rPr>
            <b/>
            <sz val="9"/>
            <color indexed="81"/>
            <rFont val="Tahoma"/>
            <family val="2"/>
          </rPr>
          <t>ckinchin:</t>
        </r>
        <r>
          <rPr>
            <sz val="9"/>
            <color indexed="81"/>
            <rFont val="Tahoma"/>
            <family val="2"/>
          </rPr>
          <t xml:space="preserve">
10% of TDC.</t>
        </r>
      </text>
    </comment>
    <comment ref="C39" authorId="0" shapeId="0" xr:uid="{9DCDF6A6-7E7C-464A-A6C9-FDC6B7785F9E}">
      <text>
        <r>
          <rPr>
            <b/>
            <sz val="9"/>
            <color indexed="81"/>
            <rFont val="Tahoma"/>
            <family val="2"/>
          </rPr>
          <t>ckinchin:</t>
        </r>
        <r>
          <rPr>
            <sz val="9"/>
            <color indexed="81"/>
            <rFont val="Tahoma"/>
            <family val="2"/>
          </rPr>
          <t xml:space="preserve">
10% of TDC.</t>
        </r>
      </text>
    </comment>
    <comment ref="B40" authorId="0" shapeId="0" xr:uid="{8F259529-23F5-4D7B-9F1E-7164BD4C35A2}">
      <text>
        <r>
          <rPr>
            <b/>
            <sz val="9"/>
            <color indexed="81"/>
            <rFont val="Tahoma"/>
            <family val="2"/>
          </rPr>
          <t>ckinchin:</t>
        </r>
        <r>
          <rPr>
            <sz val="9"/>
            <color indexed="81"/>
            <rFont val="Tahoma"/>
            <family val="2"/>
          </rPr>
          <t xml:space="preserve">
10% of TDC.</t>
        </r>
      </text>
    </comment>
    <comment ref="C40" authorId="0" shapeId="0" xr:uid="{424DFD9A-ED57-4F27-A491-4D97B205E3AB}">
      <text>
        <r>
          <rPr>
            <b/>
            <sz val="9"/>
            <color indexed="81"/>
            <rFont val="Tahoma"/>
            <family val="2"/>
          </rPr>
          <t>ckinchin:</t>
        </r>
        <r>
          <rPr>
            <sz val="9"/>
            <color indexed="81"/>
            <rFont val="Tahoma"/>
            <family val="2"/>
          </rPr>
          <t xml:space="preserve">
10% of TDC.</t>
        </r>
      </text>
    </comment>
    <comment ref="B43" authorId="1" shapeId="0" xr:uid="{07DF7C74-E9F4-4690-BFBE-3CE5977EFC7A}">
      <text>
        <r>
          <rPr>
            <b/>
            <sz val="9"/>
            <color indexed="81"/>
            <rFont val="Tahoma"/>
            <family val="2"/>
          </rPr>
          <t>Christopher Kinchin, NREL:</t>
        </r>
        <r>
          <rPr>
            <sz val="9"/>
            <color indexed="81"/>
            <rFont val="Tahoma"/>
            <family val="2"/>
          </rPr>
          <t xml:space="preserve">
132 acres at $14,000/acre</t>
        </r>
      </text>
    </comment>
    <comment ref="C43" authorId="1" shapeId="0" xr:uid="{8EFD98F9-E828-454A-A840-4DCB312BA314}">
      <text>
        <r>
          <rPr>
            <b/>
            <sz val="9"/>
            <color indexed="81"/>
            <rFont val="Tahoma"/>
            <family val="2"/>
          </rPr>
          <t>Christopher Kinchin, NREL:</t>
        </r>
        <r>
          <rPr>
            <sz val="9"/>
            <color indexed="81"/>
            <rFont val="Tahoma"/>
            <family val="2"/>
          </rPr>
          <t xml:space="preserve">
132 acres at $14,000/acre</t>
        </r>
      </text>
    </comment>
    <comment ref="B44" authorId="0" shapeId="0" xr:uid="{E4465388-91D9-4951-B87E-B51197C284CC}">
      <text>
        <r>
          <rPr>
            <b/>
            <sz val="9"/>
            <color indexed="81"/>
            <rFont val="Tahoma"/>
            <family val="2"/>
          </rPr>
          <t>ckinchin:</t>
        </r>
        <r>
          <rPr>
            <sz val="9"/>
            <color indexed="81"/>
            <rFont val="Tahoma"/>
            <family val="2"/>
          </rPr>
          <t xml:space="preserve">
5% of FCI.</t>
        </r>
      </text>
    </comment>
    <comment ref="C44" authorId="0" shapeId="0" xr:uid="{BF64B9DD-8DED-4791-BB11-561E54F10AE7}">
      <text>
        <r>
          <rPr>
            <b/>
            <sz val="9"/>
            <color indexed="81"/>
            <rFont val="Tahoma"/>
            <family val="2"/>
          </rPr>
          <t>ckinchin:</t>
        </r>
        <r>
          <rPr>
            <sz val="9"/>
            <color indexed="81"/>
            <rFont val="Tahoma"/>
            <family val="2"/>
          </rPr>
          <t xml:space="preserve">
5% of FCI.</t>
        </r>
      </text>
    </comment>
    <comment ref="B59" authorId="1" shapeId="0" xr:uid="{E9CA1B61-8B2E-4EC7-AB59-979150E5DF21}">
      <text>
        <r>
          <rPr>
            <b/>
            <sz val="9"/>
            <color indexed="81"/>
            <rFont val="Tahoma"/>
            <family val="2"/>
          </rPr>
          <t>Christopher Kinchin, NREL:</t>
        </r>
        <r>
          <rPr>
            <sz val="9"/>
            <color indexed="81"/>
            <rFont val="Tahoma"/>
            <family val="2"/>
          </rPr>
          <t xml:space="preserve">
Propane</t>
        </r>
      </text>
    </comment>
    <comment ref="C59" authorId="1" shapeId="0" xr:uid="{2AABCE33-DFDB-49EF-B75F-9E1A8375F7B7}">
      <text>
        <r>
          <rPr>
            <b/>
            <sz val="9"/>
            <color indexed="81"/>
            <rFont val="Tahoma"/>
            <family val="2"/>
          </rPr>
          <t>Christopher Kinchin, NREL:</t>
        </r>
        <r>
          <rPr>
            <sz val="9"/>
            <color indexed="81"/>
            <rFont val="Tahoma"/>
            <family val="2"/>
          </rPr>
          <t xml:space="preserve">
Propane</t>
        </r>
      </text>
    </comment>
    <comment ref="B63" authorId="1" shapeId="0" xr:uid="{3C84A10D-9494-48AA-BAA1-98BEA12197C6}">
      <text>
        <r>
          <rPr>
            <b/>
            <sz val="9"/>
            <color indexed="81"/>
            <rFont val="Tahoma"/>
            <family val="2"/>
          </rPr>
          <t>Christopher Kinchin, NREL:</t>
        </r>
        <r>
          <rPr>
            <sz val="9"/>
            <color indexed="81"/>
            <rFont val="Tahoma"/>
            <family val="2"/>
          </rPr>
          <t xml:space="preserve">
90% of salaries.</t>
        </r>
      </text>
    </comment>
    <comment ref="C63" authorId="1" shapeId="0" xr:uid="{CAC3164D-7292-49A1-AEAA-DB0E0F322DE2}">
      <text>
        <r>
          <rPr>
            <b/>
            <sz val="9"/>
            <color indexed="81"/>
            <rFont val="Tahoma"/>
            <family val="2"/>
          </rPr>
          <t>Christopher Kinchin, NREL:</t>
        </r>
        <r>
          <rPr>
            <sz val="9"/>
            <color indexed="81"/>
            <rFont val="Tahoma"/>
            <family val="2"/>
          </rPr>
          <t xml:space="preserve">
90% of salaries.</t>
        </r>
      </text>
    </comment>
    <comment ref="B64" authorId="1" shapeId="0" xr:uid="{7195064C-21B8-4C3D-A778-8BCFEA9C917F}">
      <text>
        <r>
          <rPr>
            <b/>
            <sz val="9"/>
            <color indexed="81"/>
            <rFont val="Tahoma"/>
            <family val="2"/>
          </rPr>
          <t>Christopher Kinchin, NREL:</t>
        </r>
        <r>
          <rPr>
            <sz val="9"/>
            <color indexed="81"/>
            <rFont val="Tahoma"/>
            <family val="2"/>
          </rPr>
          <t xml:space="preserve">
3% of ISBL</t>
        </r>
      </text>
    </comment>
    <comment ref="C64" authorId="1" shapeId="0" xr:uid="{9D1DC275-5E2E-4086-BA89-9E8A8599BA40}">
      <text>
        <r>
          <rPr>
            <b/>
            <sz val="9"/>
            <color indexed="81"/>
            <rFont val="Tahoma"/>
            <family val="2"/>
          </rPr>
          <t>Christopher Kinchin, NREL:</t>
        </r>
        <r>
          <rPr>
            <sz val="9"/>
            <color indexed="81"/>
            <rFont val="Tahoma"/>
            <family val="2"/>
          </rPr>
          <t xml:space="preserve">
3% of ISBL</t>
        </r>
      </text>
    </comment>
    <comment ref="B65" authorId="1" shapeId="0" xr:uid="{AE9D9F73-4B4D-4961-9D79-990381D124A8}">
      <text>
        <r>
          <rPr>
            <b/>
            <sz val="9"/>
            <color indexed="81"/>
            <rFont val="Tahoma"/>
            <family val="2"/>
          </rPr>
          <t>Christopher Kinchin, NREL:</t>
        </r>
        <r>
          <rPr>
            <sz val="9"/>
            <color indexed="81"/>
            <rFont val="Tahoma"/>
            <family val="2"/>
          </rPr>
          <t xml:space="preserve">
0.7% of FCI.</t>
        </r>
      </text>
    </comment>
    <comment ref="C65" authorId="1" shapeId="0" xr:uid="{48FE67E4-73EC-45FD-9075-2251DC1ADACD}">
      <text>
        <r>
          <rPr>
            <b/>
            <sz val="9"/>
            <color indexed="81"/>
            <rFont val="Tahoma"/>
            <family val="2"/>
          </rPr>
          <t>Christopher Kinchin, NREL:</t>
        </r>
        <r>
          <rPr>
            <sz val="9"/>
            <color indexed="81"/>
            <rFont val="Tahoma"/>
            <family val="2"/>
          </rPr>
          <t xml:space="preserve">
0.7% of FCI.</t>
        </r>
      </text>
    </comment>
    <comment ref="A104" authorId="2" shapeId="0" xr:uid="{813698FC-77B9-491C-8ED8-F8B5E0CEFF3E}">
      <text>
        <r>
          <rPr>
            <b/>
            <sz val="8"/>
            <color indexed="81"/>
            <rFont val="Tahoma"/>
            <family val="2"/>
          </rPr>
          <t>Mary Biddy:</t>
        </r>
        <r>
          <rPr>
            <sz val="8"/>
            <color indexed="81"/>
            <rFont val="Tahoma"/>
            <family val="2"/>
          </rPr>
          <t xml:space="preserve">
this is per dry US short ton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ckinchin</author>
    <author>Christopher Kinchin, NREL</author>
  </authors>
  <commentList>
    <comment ref="B20" authorId="0" shapeId="0" xr:uid="{00000000-0006-0000-0500-000001000000}">
      <text>
        <r>
          <rPr>
            <b/>
            <sz val="9"/>
            <color indexed="81"/>
            <rFont val="Tahoma"/>
            <family val="2"/>
          </rPr>
          <t>ckinchin:</t>
        </r>
        <r>
          <rPr>
            <sz val="9"/>
            <color indexed="81"/>
            <rFont val="Tahoma"/>
            <family val="2"/>
          </rPr>
          <t xml:space="preserve">
From Table 5 of source article, called Biomass Conditioning.</t>
        </r>
      </text>
    </comment>
    <comment ref="C20" authorId="0" shapeId="0" xr:uid="{00000000-0006-0000-0500-000002000000}">
      <text>
        <r>
          <rPr>
            <b/>
            <sz val="9"/>
            <color indexed="81"/>
            <rFont val="Tahoma"/>
            <family val="2"/>
          </rPr>
          <t>ckinchin:</t>
        </r>
        <r>
          <rPr>
            <sz val="9"/>
            <color indexed="81"/>
            <rFont val="Tahoma"/>
            <family val="2"/>
          </rPr>
          <t xml:space="preserve">
From Table 5 of source article, called Biomass Conditioning.</t>
        </r>
      </text>
    </comment>
    <comment ref="B27" authorId="0" shapeId="0" xr:uid="{00000000-0006-0000-0500-000003000000}">
      <text>
        <r>
          <rPr>
            <b/>
            <sz val="9"/>
            <color indexed="81"/>
            <rFont val="Tahoma"/>
            <family val="2"/>
          </rPr>
          <t>ckinchin:</t>
        </r>
        <r>
          <rPr>
            <sz val="9"/>
            <color indexed="81"/>
            <rFont val="Tahoma"/>
            <family val="2"/>
          </rPr>
          <t xml:space="preserve">
Called Upgrading (Hydrotreating) in Table 5 of source document.</t>
        </r>
      </text>
    </comment>
    <comment ref="C27" authorId="0" shapeId="0" xr:uid="{00000000-0006-0000-0500-000004000000}">
      <text>
        <r>
          <rPr>
            <b/>
            <sz val="9"/>
            <color indexed="81"/>
            <rFont val="Tahoma"/>
            <family val="2"/>
          </rPr>
          <t>ckinchin:</t>
        </r>
        <r>
          <rPr>
            <sz val="9"/>
            <color indexed="81"/>
            <rFont val="Tahoma"/>
            <family val="2"/>
          </rPr>
          <t xml:space="preserve">
Includes Separations.</t>
        </r>
      </text>
    </comment>
    <comment ref="D38" authorId="1" shapeId="0" xr:uid="{3E404764-4B3F-47BC-ABEB-3DF746C2BD62}">
      <text>
        <r>
          <rPr>
            <b/>
            <sz val="9"/>
            <color indexed="81"/>
            <rFont val="Tahoma"/>
            <family val="2"/>
          </rPr>
          <t>Christopher Kinchin, NREL:</t>
        </r>
        <r>
          <rPr>
            <sz val="9"/>
            <color indexed="81"/>
            <rFont val="Tahoma"/>
            <family val="2"/>
          </rPr>
          <t xml:space="preserve">
4% of TIC</t>
        </r>
      </text>
    </comment>
    <comment ref="D39" authorId="1" shapeId="0" xr:uid="{4DB917C6-143E-4C6B-81BF-2F7C96B34F46}">
      <text>
        <r>
          <rPr>
            <b/>
            <sz val="9"/>
            <color indexed="81"/>
            <rFont val="Tahoma"/>
            <family val="2"/>
          </rPr>
          <t>Christopher Kinchin, NREL:</t>
        </r>
        <r>
          <rPr>
            <sz val="9"/>
            <color indexed="81"/>
            <rFont val="Tahoma"/>
            <family val="2"/>
          </rPr>
          <t xml:space="preserve">
10% of TIC</t>
        </r>
      </text>
    </comment>
    <comment ref="D40" authorId="1" shapeId="0" xr:uid="{56529990-7F51-478E-821C-C9707F0A938B}">
      <text>
        <r>
          <rPr>
            <b/>
            <sz val="9"/>
            <color indexed="81"/>
            <rFont val="Tahoma"/>
            <family val="2"/>
          </rPr>
          <t>Christopher Kinchin, NREL:</t>
        </r>
        <r>
          <rPr>
            <sz val="9"/>
            <color indexed="81"/>
            <rFont val="Tahoma"/>
            <family val="2"/>
          </rPr>
          <t xml:space="preserve">
4.5% of TIC</t>
        </r>
      </text>
    </comment>
    <comment ref="D47" authorId="1" shapeId="0" xr:uid="{D44280A2-3C0B-4297-A04F-844D3914DCEC}">
      <text>
        <r>
          <rPr>
            <b/>
            <sz val="9"/>
            <color indexed="81"/>
            <rFont val="Tahoma"/>
            <family val="2"/>
          </rPr>
          <t>Christopher Kinchin, NREL:</t>
        </r>
        <r>
          <rPr>
            <sz val="9"/>
            <color indexed="81"/>
            <rFont val="Tahoma"/>
            <family val="2"/>
          </rPr>
          <t xml:space="preserve">
10% of TDC</t>
        </r>
      </text>
    </comment>
    <comment ref="D48" authorId="1" shapeId="0" xr:uid="{AF64F68F-4397-4840-9AFD-98D836D5CE61}">
      <text>
        <r>
          <rPr>
            <b/>
            <sz val="9"/>
            <color indexed="81"/>
            <rFont val="Tahoma"/>
            <family val="2"/>
          </rPr>
          <t>Christopher Kinchin, NREL:</t>
        </r>
        <r>
          <rPr>
            <sz val="9"/>
            <color indexed="81"/>
            <rFont val="Tahoma"/>
            <family val="2"/>
          </rPr>
          <t xml:space="preserve">
20% of TDC</t>
        </r>
      </text>
    </comment>
    <comment ref="D49" authorId="1" shapeId="0" xr:uid="{6BB044CB-9243-4945-AFAD-042A4890C844}">
      <text>
        <r>
          <rPr>
            <b/>
            <sz val="9"/>
            <color indexed="81"/>
            <rFont val="Tahoma"/>
            <family val="2"/>
          </rPr>
          <t>Christopher Kinchin, NREL:</t>
        </r>
        <r>
          <rPr>
            <sz val="9"/>
            <color indexed="81"/>
            <rFont val="Tahoma"/>
            <family val="2"/>
          </rPr>
          <t xml:space="preserve">
10% of TDC</t>
        </r>
      </text>
    </comment>
    <comment ref="D50" authorId="1" shapeId="0" xr:uid="{46418268-3873-4E87-A142-EBF88E4028DD}">
      <text>
        <r>
          <rPr>
            <b/>
            <sz val="9"/>
            <color indexed="81"/>
            <rFont val="Tahoma"/>
            <family val="2"/>
          </rPr>
          <t>Christopher Kinchin, NREL:</t>
        </r>
        <r>
          <rPr>
            <sz val="9"/>
            <color indexed="81"/>
            <rFont val="Tahoma"/>
            <family val="2"/>
          </rPr>
          <t xml:space="preserve">
10% of TDC</t>
        </r>
      </text>
    </comment>
    <comment ref="D51" authorId="1" shapeId="0" xr:uid="{DAE67C85-5961-4F89-BFDD-34FFCB820C06}">
      <text>
        <r>
          <rPr>
            <b/>
            <sz val="9"/>
            <color indexed="81"/>
            <rFont val="Tahoma"/>
            <family val="2"/>
          </rPr>
          <t>Christopher Kinchin, NREL:</t>
        </r>
        <r>
          <rPr>
            <sz val="9"/>
            <color indexed="81"/>
            <rFont val="Tahoma"/>
            <family val="2"/>
          </rPr>
          <t xml:space="preserve">
10% of TDC</t>
        </r>
      </text>
    </comment>
    <comment ref="B52" authorId="0" shapeId="0" xr:uid="{00000000-0006-0000-0500-000005000000}">
      <text>
        <r>
          <rPr>
            <b/>
            <sz val="9"/>
            <color indexed="81"/>
            <rFont val="Tahoma"/>
            <family val="2"/>
          </rPr>
          <t>ckinchin:</t>
        </r>
        <r>
          <rPr>
            <sz val="9"/>
            <color indexed="81"/>
            <rFont val="Tahoma"/>
            <family val="2"/>
          </rPr>
          <t xml:space="preserve">
Taken directly from Table 5 of source document.</t>
        </r>
      </text>
    </comment>
    <comment ref="C52" authorId="0" shapeId="0" xr:uid="{00000000-0006-0000-0500-000006000000}">
      <text>
        <r>
          <rPr>
            <b/>
            <sz val="9"/>
            <color indexed="81"/>
            <rFont val="Tahoma"/>
            <family val="2"/>
          </rPr>
          <t>ckinchin:</t>
        </r>
        <r>
          <rPr>
            <sz val="9"/>
            <color indexed="81"/>
            <rFont val="Tahoma"/>
            <family val="2"/>
          </rPr>
          <t xml:space="preserve">
Taken directly from Table 5 of source document.</t>
        </r>
      </text>
    </comment>
    <comment ref="D54" authorId="1" shapeId="0" xr:uid="{4F837867-4078-4F8B-9D4E-61FDC91148C3}">
      <text>
        <r>
          <rPr>
            <b/>
            <sz val="9"/>
            <color indexed="81"/>
            <rFont val="Tahoma"/>
            <family val="2"/>
          </rPr>
          <t>Christopher Kinchin, NREL:</t>
        </r>
        <r>
          <rPr>
            <sz val="9"/>
            <color indexed="81"/>
            <rFont val="Tahoma"/>
            <family val="2"/>
          </rPr>
          <t xml:space="preserve">
Land is 6% of TPEC, which is not reported in the published document.</t>
        </r>
      </text>
    </comment>
    <comment ref="B55" authorId="0" shapeId="0" xr:uid="{00000000-0006-0000-0500-000007000000}">
      <text>
        <r>
          <rPr>
            <b/>
            <sz val="9"/>
            <color indexed="81"/>
            <rFont val="Tahoma"/>
            <family val="2"/>
          </rPr>
          <t>ckinchin:</t>
        </r>
        <r>
          <rPr>
            <sz val="9"/>
            <color indexed="81"/>
            <rFont val="Tahoma"/>
            <family val="2"/>
          </rPr>
          <t xml:space="preserve">
Calculated from working capital % of FCI assumed in DCFROR section of this column.</t>
        </r>
      </text>
    </comment>
    <comment ref="C55" authorId="0" shapeId="0" xr:uid="{00000000-0006-0000-0500-000008000000}">
      <text>
        <r>
          <rPr>
            <b/>
            <sz val="9"/>
            <color indexed="81"/>
            <rFont val="Tahoma"/>
            <family val="2"/>
          </rPr>
          <t>ckinchin:</t>
        </r>
        <r>
          <rPr>
            <sz val="9"/>
            <color indexed="81"/>
            <rFont val="Tahoma"/>
            <family val="2"/>
          </rPr>
          <t xml:space="preserve">
Calculated from working capital % of FCI assumed in DCFROR section of this column.</t>
        </r>
      </text>
    </comment>
    <comment ref="D55" authorId="0" shapeId="0" xr:uid="{F4F09692-BD28-4F3A-AC9F-E979900D8D3A}">
      <text>
        <r>
          <rPr>
            <b/>
            <sz val="9"/>
            <color indexed="81"/>
            <rFont val="Tahoma"/>
            <family val="2"/>
          </rPr>
          <t>ckinchin:</t>
        </r>
        <r>
          <rPr>
            <sz val="9"/>
            <color indexed="81"/>
            <rFont val="Tahoma"/>
            <family val="2"/>
          </rPr>
          <t xml:space="preserve">
5% of FCI.</t>
        </r>
      </text>
    </comment>
    <comment ref="B75" authorId="0" shapeId="0" xr:uid="{00000000-0006-0000-0500-000009000000}">
      <text>
        <r>
          <rPr>
            <b/>
            <sz val="9"/>
            <color indexed="81"/>
            <rFont val="Tahoma"/>
            <family val="2"/>
          </rPr>
          <t>ckinchin:</t>
        </r>
        <r>
          <rPr>
            <sz val="9"/>
            <color indexed="81"/>
            <rFont val="Tahoma"/>
            <family val="2"/>
          </rPr>
          <t xml:space="preserve">
Co-product is heavy oil.</t>
        </r>
      </text>
    </comment>
    <comment ref="B76" authorId="0" shapeId="0" xr:uid="{00000000-0006-0000-0500-00000A000000}">
      <text>
        <r>
          <rPr>
            <b/>
            <sz val="9"/>
            <color indexed="81"/>
            <rFont val="Tahoma"/>
            <family val="2"/>
          </rPr>
          <t>ckinchin:</t>
        </r>
        <r>
          <rPr>
            <sz val="9"/>
            <color indexed="81"/>
            <rFont val="Tahoma"/>
            <family val="2"/>
          </rPr>
          <t xml:space="preserve">
Taken directly from Table 5 of source document.</t>
        </r>
      </text>
    </comment>
    <comment ref="C76" authorId="0" shapeId="0" xr:uid="{00000000-0006-0000-0500-00000B000000}">
      <text>
        <r>
          <rPr>
            <b/>
            <sz val="9"/>
            <color indexed="81"/>
            <rFont val="Tahoma"/>
            <family val="2"/>
          </rPr>
          <t>ckinchin:</t>
        </r>
        <r>
          <rPr>
            <sz val="9"/>
            <color indexed="81"/>
            <rFont val="Tahoma"/>
            <family val="2"/>
          </rPr>
          <t xml:space="preserve">
Taken directly from Table 5 of source document.</t>
        </r>
      </text>
    </comment>
    <comment ref="D78" authorId="1" shapeId="0" xr:uid="{7E3BF0AD-C426-4350-A070-88781092F906}">
      <text>
        <r>
          <rPr>
            <b/>
            <sz val="9"/>
            <color indexed="81"/>
            <rFont val="Tahoma"/>
            <family val="2"/>
          </rPr>
          <t>Christopher Kinchin, NREL:</t>
        </r>
        <r>
          <rPr>
            <sz val="9"/>
            <color indexed="81"/>
            <rFont val="Tahoma"/>
            <family val="2"/>
          </rPr>
          <t xml:space="preserve">
90% of Labor and Supervision.</t>
        </r>
      </text>
    </comment>
    <comment ref="D79" authorId="1" shapeId="0" xr:uid="{DE60BBA7-A52E-4694-853A-6F0A35BF16CA}">
      <text>
        <r>
          <rPr>
            <b/>
            <sz val="9"/>
            <color indexed="81"/>
            <rFont val="Tahoma"/>
            <family val="2"/>
          </rPr>
          <t>Christopher Kinchin, NREL:</t>
        </r>
        <r>
          <rPr>
            <sz val="9"/>
            <color indexed="81"/>
            <rFont val="Tahoma"/>
            <family val="2"/>
          </rPr>
          <t xml:space="preserve">
3% of TIC.</t>
        </r>
      </text>
    </comment>
    <comment ref="D80" authorId="1" shapeId="0" xr:uid="{4A8DEDD0-F3C1-42C8-A8D7-9217A0A10A9E}">
      <text>
        <r>
          <rPr>
            <b/>
            <sz val="9"/>
            <color indexed="81"/>
            <rFont val="Tahoma"/>
            <family val="2"/>
          </rPr>
          <t>Christopher Kinchin, NREL:</t>
        </r>
        <r>
          <rPr>
            <sz val="9"/>
            <color indexed="81"/>
            <rFont val="Tahoma"/>
            <family val="2"/>
          </rPr>
          <t xml:space="preserve">
0.7% of FCI.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Wang, Yuxi</author>
    <author>ckinchin</author>
    <author>Christopher Kinchin, NREL</author>
    <author>Mary Biddy</author>
  </authors>
  <commentList>
    <comment ref="G9" authorId="0" shapeId="0" xr:uid="{85351791-21D4-414A-9C90-0CA6237CDDAA}">
      <text>
        <r>
          <rPr>
            <b/>
            <sz val="9"/>
            <color indexed="81"/>
            <rFont val="Tahoma"/>
            <family val="2"/>
          </rPr>
          <t>Wang, Yuxi:</t>
        </r>
        <r>
          <rPr>
            <sz val="9"/>
            <color indexed="81"/>
            <rFont val="Tahoma"/>
            <family val="2"/>
          </rPr>
          <t xml:space="preserve">
20% solids AFDW.</t>
        </r>
      </text>
    </comment>
    <comment ref="B10" authorId="1" shapeId="0" xr:uid="{00000000-0006-0000-0600-000001000000}">
      <text>
        <r>
          <rPr>
            <b/>
            <sz val="9"/>
            <color indexed="81"/>
            <rFont val="Tahoma"/>
            <family val="2"/>
          </rPr>
          <t>ckinchin:</t>
        </r>
        <r>
          <rPr>
            <sz val="9"/>
            <color indexed="81"/>
            <rFont val="Tahoma"/>
            <family val="2"/>
          </rPr>
          <t xml:space="preserve">
Algae is produced on-site.  No feedstock is delivered.</t>
        </r>
      </text>
    </comment>
    <comment ref="D10" authorId="1" shapeId="0" xr:uid="{2CD7B35E-57E4-4CD9-909B-46A59B01F714}">
      <text>
        <r>
          <rPr>
            <b/>
            <sz val="9"/>
            <color indexed="81"/>
            <rFont val="Tahoma"/>
            <family val="2"/>
          </rPr>
          <t>ckinchin:</t>
        </r>
        <r>
          <rPr>
            <sz val="9"/>
            <color indexed="81"/>
            <rFont val="Tahoma"/>
            <family val="2"/>
          </rPr>
          <t xml:space="preserve">
Algae is produced on-site. No feedstock is delivered.</t>
        </r>
      </text>
    </comment>
    <comment ref="G10" authorId="0" shapeId="0" xr:uid="{9A55FEC8-64C0-46FB-9CE2-485A1566F868}">
      <text>
        <r>
          <rPr>
            <b/>
            <sz val="9"/>
            <color indexed="81"/>
            <rFont val="Tahoma"/>
          </rPr>
          <t>Wang, Yuxi:</t>
        </r>
        <r>
          <rPr>
            <sz val="9"/>
            <color indexed="81"/>
            <rFont val="Tahoma"/>
          </rPr>
          <t xml:space="preserve">
Algae is produced on-site. No feedstock is delivered.</t>
        </r>
      </text>
    </comment>
    <comment ref="B12" authorId="0" shapeId="0" xr:uid="{448999A0-890E-41E5-AC9D-95BF47FD1AD9}">
      <text>
        <r>
          <rPr>
            <b/>
            <sz val="9"/>
            <color indexed="81"/>
            <rFont val="Tahoma"/>
          </rPr>
          <t>Wang, Yuxi:</t>
        </r>
        <r>
          <rPr>
            <sz val="9"/>
            <color indexed="81"/>
            <rFont val="Tahoma"/>
          </rPr>
          <t xml:space="preserve">
Pond Area</t>
        </r>
      </text>
    </comment>
    <comment ref="B22" authorId="1" shapeId="0" xr:uid="{00000000-0006-0000-0600-000002000000}">
      <text>
        <r>
          <rPr>
            <b/>
            <sz val="9"/>
            <color indexed="81"/>
            <rFont val="Tahoma"/>
            <family val="2"/>
          </rPr>
          <t xml:space="preserve">ckinchin:
</t>
        </r>
        <r>
          <rPr>
            <sz val="9"/>
            <color indexed="81"/>
            <rFont val="Tahoma"/>
            <family val="2"/>
          </rPr>
          <t>Installed cost is $34,228/ha.</t>
        </r>
      </text>
    </comment>
    <comment ref="D22" authorId="1" shapeId="0" xr:uid="{97270618-9413-468B-AB0A-CACD99AA70DE}">
      <text>
        <r>
          <rPr>
            <b/>
            <sz val="9"/>
            <color indexed="81"/>
            <rFont val="Tahoma"/>
            <family val="2"/>
          </rPr>
          <t xml:space="preserve">ckinchin:
</t>
        </r>
        <r>
          <rPr>
            <sz val="9"/>
            <color indexed="81"/>
            <rFont val="Tahoma"/>
            <family val="2"/>
          </rPr>
          <t>Average of several 10-acre pond designs.</t>
        </r>
      </text>
    </comment>
    <comment ref="B23" authorId="1" shapeId="0" xr:uid="{00000000-0006-0000-0600-000004000000}">
      <text>
        <r>
          <rPr>
            <b/>
            <sz val="9"/>
            <color indexed="81"/>
            <rFont val="Tahoma"/>
            <family val="2"/>
          </rPr>
          <t>ckinchin:</t>
        </r>
        <r>
          <rPr>
            <sz val="9"/>
            <color indexed="81"/>
            <rFont val="Tahoma"/>
            <family val="2"/>
          </rPr>
          <t xml:space="preserve">
Installed cost is $12,388/ha.</t>
        </r>
      </text>
    </comment>
    <comment ref="B24" authorId="1" shapeId="0" xr:uid="{00000000-0006-0000-0600-000003000000}">
      <text>
        <r>
          <rPr>
            <b/>
            <sz val="9"/>
            <color indexed="81"/>
            <rFont val="Tahoma"/>
            <family val="2"/>
          </rPr>
          <t>ckinchin:</t>
        </r>
        <r>
          <rPr>
            <sz val="9"/>
            <color indexed="81"/>
            <rFont val="Tahoma"/>
            <family val="2"/>
          </rPr>
          <t xml:space="preserve">
Installed cost is $50,657/ha.</t>
        </r>
      </text>
    </comment>
    <comment ref="A51" authorId="1" shapeId="0" xr:uid="{00000000-0006-0000-0600-000005000000}">
      <text>
        <r>
          <rPr>
            <b/>
            <sz val="9"/>
            <color indexed="81"/>
            <rFont val="Tahoma"/>
            <family val="2"/>
          </rPr>
          <t>ckinchin:</t>
        </r>
        <r>
          <rPr>
            <sz val="9"/>
            <color indexed="81"/>
            <rFont val="Tahoma"/>
            <family val="2"/>
          </rPr>
          <t xml:space="preserve">
Non-depreciable.</t>
        </r>
      </text>
    </comment>
    <comment ref="B51" authorId="1" shapeId="0" xr:uid="{00000000-0006-0000-0600-000006000000}">
      <text>
        <r>
          <rPr>
            <b/>
            <sz val="9"/>
            <color indexed="81"/>
            <rFont val="Tahoma"/>
            <family val="2"/>
          </rPr>
          <t>ckinchin:</t>
        </r>
        <r>
          <rPr>
            <sz val="9"/>
            <color indexed="81"/>
            <rFont val="Tahoma"/>
            <family val="2"/>
          </rPr>
          <t xml:space="preserve">
$3000/acre.</t>
        </r>
      </text>
    </comment>
    <comment ref="C51" authorId="1" shapeId="0" xr:uid="{00000000-0006-0000-0600-000007000000}">
      <text>
        <r>
          <rPr>
            <b/>
            <sz val="9"/>
            <color indexed="81"/>
            <rFont val="Tahoma"/>
            <family val="2"/>
          </rPr>
          <t>ckinchin:</t>
        </r>
        <r>
          <rPr>
            <sz val="9"/>
            <color indexed="81"/>
            <rFont val="Tahoma"/>
            <family val="2"/>
          </rPr>
          <t xml:space="preserve">
Included in feedstock cost.</t>
        </r>
      </text>
    </comment>
    <comment ref="B55" authorId="1" shapeId="0" xr:uid="{00000000-0006-0000-0600-000008000000}">
      <text>
        <r>
          <rPr>
            <b/>
            <sz val="9"/>
            <color indexed="81"/>
            <rFont val="Tahoma"/>
            <family val="2"/>
          </rPr>
          <t>ckinchin:</t>
        </r>
        <r>
          <rPr>
            <sz val="9"/>
            <color indexed="81"/>
            <rFont val="Tahoma"/>
            <family val="2"/>
          </rPr>
          <t xml:space="preserve">
1% of ISBL.  This value is different than in the DCFROR workbook due to an error in the workbook.  </t>
        </r>
      </text>
    </comment>
    <comment ref="C55" authorId="1" shapeId="0" xr:uid="{00000000-0006-0000-0600-000009000000}">
      <text>
        <r>
          <rPr>
            <b/>
            <sz val="9"/>
            <color indexed="81"/>
            <rFont val="Tahoma"/>
            <family val="2"/>
          </rPr>
          <t>ckinchin:</t>
        </r>
        <r>
          <rPr>
            <sz val="9"/>
            <color indexed="81"/>
            <rFont val="Tahoma"/>
            <family val="2"/>
          </rPr>
          <t xml:space="preserve">
1% of TIC.</t>
        </r>
      </text>
    </comment>
    <comment ref="D55" authorId="1" shapeId="0" xr:uid="{C8D60B97-7AC6-409B-B90A-4A836408AF43}">
      <text>
        <r>
          <rPr>
            <b/>
            <sz val="9"/>
            <color indexed="81"/>
            <rFont val="Tahoma"/>
            <family val="2"/>
          </rPr>
          <t>ckinchin:</t>
        </r>
        <r>
          <rPr>
            <sz val="9"/>
            <color indexed="81"/>
            <rFont val="Tahoma"/>
            <family val="2"/>
          </rPr>
          <t xml:space="preserve">
1.2% of cultivation ISBL plus 4.0% of dewatering ISBL.</t>
        </r>
      </text>
    </comment>
    <comment ref="E55" authorId="0" shapeId="0" xr:uid="{3B6DA144-7232-4871-B6EA-9817C6EC15F8}">
      <text>
        <r>
          <rPr>
            <b/>
            <sz val="9"/>
            <color indexed="81"/>
            <rFont val="Tahoma"/>
            <family val="2"/>
          </rPr>
          <t>Wang, Yuxi:</t>
        </r>
        <r>
          <rPr>
            <sz val="9"/>
            <color indexed="81"/>
            <rFont val="Tahoma"/>
            <family val="2"/>
          </rPr>
          <t xml:space="preserve">
4% of ISBL.</t>
        </r>
      </text>
    </comment>
    <comment ref="F55" authorId="0" shapeId="0" xr:uid="{20A0441D-032F-45D1-8E38-0BDB42EE0B47}">
      <text>
        <r>
          <rPr>
            <b/>
            <sz val="9"/>
            <color indexed="81"/>
            <rFont val="Tahoma"/>
            <family val="2"/>
          </rPr>
          <t>Wang, Yuxi:</t>
        </r>
        <r>
          <rPr>
            <sz val="9"/>
            <color indexed="81"/>
            <rFont val="Tahoma"/>
            <family val="2"/>
          </rPr>
          <t xml:space="preserve">
4% of ISBL.</t>
        </r>
      </text>
    </comment>
    <comment ref="G55" authorId="0" shapeId="0" xr:uid="{D58C78B0-ADF2-4881-966B-4A0E73B060C4}">
      <text>
        <r>
          <rPr>
            <b/>
            <sz val="9"/>
            <color indexed="81"/>
            <rFont val="Tahoma"/>
            <family val="2"/>
          </rPr>
          <t>Wang, Yuxi:</t>
        </r>
        <r>
          <rPr>
            <sz val="9"/>
            <color indexed="81"/>
            <rFont val="Tahoma"/>
            <family val="2"/>
          </rPr>
          <t xml:space="preserve">
1.22% of cultivation ISBL plus 4.0% of dewatering ISBL.</t>
        </r>
      </text>
    </comment>
    <comment ref="B56" authorId="1" shapeId="0" xr:uid="{00000000-0006-0000-0600-00000A000000}">
      <text>
        <r>
          <rPr>
            <b/>
            <sz val="9"/>
            <color indexed="81"/>
            <rFont val="Tahoma"/>
            <family val="2"/>
          </rPr>
          <t>ckinchin:</t>
        </r>
        <r>
          <rPr>
            <sz val="9"/>
            <color indexed="81"/>
            <rFont val="Tahoma"/>
            <family val="2"/>
          </rPr>
          <t xml:space="preserve">
9% of ISBL.</t>
        </r>
      </text>
    </comment>
    <comment ref="C56" authorId="1" shapeId="0" xr:uid="{00000000-0006-0000-0600-00000B000000}">
      <text>
        <r>
          <rPr>
            <b/>
            <sz val="9"/>
            <color indexed="81"/>
            <rFont val="Tahoma"/>
            <family val="2"/>
          </rPr>
          <t>ckinchin:</t>
        </r>
        <r>
          <rPr>
            <sz val="9"/>
            <color indexed="81"/>
            <rFont val="Tahoma"/>
            <family val="2"/>
          </rPr>
          <t xml:space="preserve">
9% of TIC.</t>
        </r>
      </text>
    </comment>
    <comment ref="D56" authorId="1" shapeId="0" xr:uid="{4FF4467C-F3A4-43BA-9C13-8B5D3AB415EE}">
      <text>
        <r>
          <rPr>
            <b/>
            <sz val="9"/>
            <color indexed="81"/>
            <rFont val="Tahoma"/>
            <family val="2"/>
          </rPr>
          <t>ckinchin:</t>
        </r>
        <r>
          <rPr>
            <sz val="9"/>
            <color indexed="81"/>
            <rFont val="Tahoma"/>
            <family val="2"/>
          </rPr>
          <t xml:space="preserve">
9.0% of dewatering ISBL.</t>
        </r>
      </text>
    </comment>
    <comment ref="E56" authorId="0" shapeId="0" xr:uid="{75309EC0-0773-4CF5-835D-AEF3FE59EEA2}">
      <text>
        <r>
          <rPr>
            <b/>
            <sz val="9"/>
            <color indexed="81"/>
            <rFont val="Tahoma"/>
            <family val="2"/>
          </rPr>
          <t>Wang, Yuxi:</t>
        </r>
        <r>
          <rPr>
            <sz val="9"/>
            <color indexed="81"/>
            <rFont val="Tahoma"/>
            <family val="2"/>
          </rPr>
          <t xml:space="preserve">
9% of ISBL.</t>
        </r>
      </text>
    </comment>
    <comment ref="F56" authorId="0" shapeId="0" xr:uid="{96EFA19F-3283-47AF-BDE6-F004D282248D}">
      <text>
        <r>
          <rPr>
            <b/>
            <sz val="9"/>
            <color indexed="81"/>
            <rFont val="Tahoma"/>
            <family val="2"/>
          </rPr>
          <t>Wang, Yuxi:</t>
        </r>
        <r>
          <rPr>
            <sz val="9"/>
            <color indexed="81"/>
            <rFont val="Tahoma"/>
            <family val="2"/>
          </rPr>
          <t xml:space="preserve">
9% of ISBL.</t>
        </r>
      </text>
    </comment>
    <comment ref="G56" authorId="0" shapeId="0" xr:uid="{B1FD9D7A-FF8F-4923-9770-69B96BF0A4C3}">
      <text>
        <r>
          <rPr>
            <b/>
            <sz val="9"/>
            <color indexed="81"/>
            <rFont val="Tahoma"/>
            <family val="2"/>
          </rPr>
          <t>Wang, Yuxi:</t>
        </r>
        <r>
          <rPr>
            <sz val="9"/>
            <color indexed="81"/>
            <rFont val="Tahoma"/>
            <family val="2"/>
          </rPr>
          <t xml:space="preserve">
9.0% of dewatering ISBL plus 7,706.9 acres of land at $1,534/acre.</t>
        </r>
      </text>
    </comment>
    <comment ref="C57" authorId="1" shapeId="0" xr:uid="{00000000-0006-0000-0600-00000C000000}">
      <text>
        <r>
          <rPr>
            <b/>
            <sz val="9"/>
            <color indexed="81"/>
            <rFont val="Tahoma"/>
            <family val="2"/>
          </rPr>
          <t>ckinchin:</t>
        </r>
        <r>
          <rPr>
            <sz val="9"/>
            <color indexed="81"/>
            <rFont val="Tahoma"/>
            <family val="2"/>
          </rPr>
          <t xml:space="preserve">
Report says 4.5% of TIC, but the calculate value is closer to 3.8%.  The value here is taken directly from the report.</t>
        </r>
      </text>
    </comment>
    <comment ref="D57" authorId="2" shapeId="0" xr:uid="{ED20E8AF-3E9A-4567-8712-6FDE29A6FEBA}">
      <text>
        <r>
          <rPr>
            <b/>
            <sz val="9"/>
            <color indexed="81"/>
            <rFont val="Tahoma"/>
            <family val="2"/>
          </rPr>
          <t>Christopher Kinchin, NREL:</t>
        </r>
        <r>
          <rPr>
            <sz val="9"/>
            <color indexed="81"/>
            <rFont val="Tahoma"/>
            <family val="2"/>
          </rPr>
          <t xml:space="preserve">
4.5% of dewatering ISBL.</t>
        </r>
      </text>
    </comment>
    <comment ref="E57" authorId="0" shapeId="0" xr:uid="{E96FDDDB-91E5-4F88-88A9-2E5A659AE237}">
      <text>
        <r>
          <rPr>
            <b/>
            <sz val="9"/>
            <color indexed="81"/>
            <rFont val="Tahoma"/>
            <family val="2"/>
          </rPr>
          <t>Wang, Yuxi:</t>
        </r>
        <r>
          <rPr>
            <sz val="9"/>
            <color indexed="81"/>
            <rFont val="Tahoma"/>
            <family val="2"/>
          </rPr>
          <t xml:space="preserve">
4.5% of ISBL. 
</t>
        </r>
      </text>
    </comment>
    <comment ref="F57" authorId="0" shapeId="0" xr:uid="{1E4AE145-31F0-40CD-A96F-C6C84B8CF537}">
      <text>
        <r>
          <rPr>
            <b/>
            <sz val="9"/>
            <color indexed="81"/>
            <rFont val="Tahoma"/>
            <family val="2"/>
          </rPr>
          <t>Wang, Yuxi:</t>
        </r>
        <r>
          <rPr>
            <sz val="9"/>
            <color indexed="81"/>
            <rFont val="Tahoma"/>
            <family val="2"/>
          </rPr>
          <t xml:space="preserve">
4.5% of ISBL.</t>
        </r>
      </text>
    </comment>
    <comment ref="G57" authorId="0" shapeId="0" xr:uid="{EAE16566-8487-4966-AAAD-140D9F1CCD5B}">
      <text>
        <r>
          <rPr>
            <b/>
            <sz val="9"/>
            <color indexed="81"/>
            <rFont val="Tahoma"/>
            <family val="2"/>
          </rPr>
          <t>Wang, Yuxi:</t>
        </r>
        <r>
          <rPr>
            <sz val="9"/>
            <color indexed="81"/>
            <rFont val="Tahoma"/>
            <family val="2"/>
          </rPr>
          <t xml:space="preserve">
4.5% of dewatering ISBL.</t>
        </r>
      </text>
    </comment>
    <comment ref="B58" authorId="1" shapeId="0" xr:uid="{00000000-0006-0000-0600-00000D000000}">
      <text>
        <r>
          <rPr>
            <b/>
            <sz val="9"/>
            <color indexed="81"/>
            <rFont val="Tahoma"/>
            <family val="2"/>
          </rPr>
          <t>ckinchin:</t>
        </r>
        <r>
          <rPr>
            <sz val="9"/>
            <color indexed="81"/>
            <rFont val="Tahoma"/>
            <family val="2"/>
          </rPr>
          <t xml:space="preserve">
This value is different than in the DCFROR workbook due to an error in the Buildig/Warehouse line of the workbook.  </t>
        </r>
      </text>
    </comment>
    <comment ref="C58" authorId="1" shapeId="0" xr:uid="{00000000-0006-0000-0600-00000E000000}">
      <text>
        <r>
          <rPr>
            <b/>
            <sz val="9"/>
            <color indexed="81"/>
            <rFont val="Tahoma"/>
            <family val="2"/>
          </rPr>
          <t>ckinchin:</t>
        </r>
        <r>
          <rPr>
            <sz val="9"/>
            <color indexed="81"/>
            <rFont val="Tahoma"/>
            <family val="2"/>
          </rPr>
          <t xml:space="preserve">
</t>
        </r>
      </text>
    </comment>
    <comment ref="D58" authorId="1" shapeId="0" xr:uid="{8849B03A-62CE-4454-90CD-25A5B0E780B7}">
      <text>
        <r>
          <rPr>
            <b/>
            <sz val="9"/>
            <color indexed="81"/>
            <rFont val="Tahoma"/>
            <family val="2"/>
          </rPr>
          <t>ckinchin:</t>
        </r>
        <r>
          <rPr>
            <sz val="9"/>
            <color indexed="81"/>
            <rFont val="Tahoma"/>
            <family val="2"/>
          </rPr>
          <t xml:space="preserve">
This value is different than in the DCFROR workbook due to an error in the Buildig/Warehouse line of the workbook.  </t>
        </r>
      </text>
    </comment>
    <comment ref="B60" authorId="1" shapeId="0" xr:uid="{00000000-0006-0000-0600-00000F000000}">
      <text>
        <r>
          <rPr>
            <b/>
            <sz val="9"/>
            <color indexed="81"/>
            <rFont val="Tahoma"/>
            <family val="2"/>
          </rPr>
          <t>ckinchin:</t>
        </r>
        <r>
          <rPr>
            <sz val="9"/>
            <color indexed="81"/>
            <rFont val="Tahoma"/>
            <family val="2"/>
          </rPr>
          <t xml:space="preserve">
10% of TDC.  Different than value in DCFROR workbook due to error in Buildings/Warehouse line.</t>
        </r>
      </text>
    </comment>
    <comment ref="C60" authorId="1" shapeId="0" xr:uid="{00000000-0006-0000-0600-000010000000}">
      <text>
        <r>
          <rPr>
            <b/>
            <sz val="9"/>
            <color indexed="81"/>
            <rFont val="Tahoma"/>
            <family val="2"/>
          </rPr>
          <t>ckinchin:</t>
        </r>
        <r>
          <rPr>
            <sz val="9"/>
            <color indexed="81"/>
            <rFont val="Tahoma"/>
            <family val="2"/>
          </rPr>
          <t xml:space="preserve">
10% of TDC.</t>
        </r>
      </text>
    </comment>
    <comment ref="D60" authorId="1" shapeId="0" xr:uid="{99FA6068-4213-4878-9722-ABE91463F94C}">
      <text>
        <r>
          <rPr>
            <b/>
            <sz val="9"/>
            <color indexed="81"/>
            <rFont val="Tahoma"/>
            <family val="2"/>
          </rPr>
          <t>ckinchin:</t>
        </r>
        <r>
          <rPr>
            <sz val="9"/>
            <color indexed="81"/>
            <rFont val="Tahoma"/>
            <family val="2"/>
          </rPr>
          <t xml:space="preserve">
4.0% of cultivation ISBL, plus 10.0% of dewatering ISBL, plus 1.0% of OSBL.</t>
        </r>
      </text>
    </comment>
    <comment ref="E60" authorId="0" shapeId="0" xr:uid="{07F54777-6441-4C7C-B315-0F41D04E4901}">
      <text>
        <r>
          <rPr>
            <b/>
            <sz val="9"/>
            <color indexed="81"/>
            <rFont val="Tahoma"/>
            <family val="2"/>
          </rPr>
          <t>Wang, Yuxi:</t>
        </r>
        <r>
          <rPr>
            <sz val="9"/>
            <color indexed="81"/>
            <rFont val="Tahoma"/>
            <family val="2"/>
          </rPr>
          <t xml:space="preserve">
10% of TDC.</t>
        </r>
      </text>
    </comment>
    <comment ref="F60" authorId="0" shapeId="0" xr:uid="{BDF9F0B3-B74B-40C2-8732-D7F7BBDEF851}">
      <text>
        <r>
          <rPr>
            <b/>
            <sz val="9"/>
            <color indexed="81"/>
            <rFont val="Tahoma"/>
            <family val="2"/>
          </rPr>
          <t>Wang, Yuxi:</t>
        </r>
        <r>
          <rPr>
            <sz val="9"/>
            <color indexed="81"/>
            <rFont val="Tahoma"/>
            <family val="2"/>
          </rPr>
          <t xml:space="preserve">
10% of TDC.</t>
        </r>
      </text>
    </comment>
    <comment ref="G60" authorId="0" shapeId="0" xr:uid="{E2A2D627-8C0C-4907-8B68-63A965DF1F48}">
      <text>
        <r>
          <rPr>
            <b/>
            <sz val="9"/>
            <color indexed="81"/>
            <rFont val="Tahoma"/>
            <family val="2"/>
          </rPr>
          <t>Wang, Yuxi:</t>
        </r>
        <r>
          <rPr>
            <sz val="9"/>
            <color indexed="81"/>
            <rFont val="Tahoma"/>
            <family val="2"/>
          </rPr>
          <t xml:space="preserve">
4.0% of cultivation TDC + 10.0% of dewatering TDC + 1.0% of OSBL TDC.</t>
        </r>
      </text>
    </comment>
    <comment ref="B61" authorId="1" shapeId="0" xr:uid="{00000000-0006-0000-0600-000011000000}">
      <text>
        <r>
          <rPr>
            <b/>
            <sz val="9"/>
            <color indexed="81"/>
            <rFont val="Tahoma"/>
            <family val="2"/>
          </rPr>
          <t>ckinchin:</t>
        </r>
        <r>
          <rPr>
            <sz val="9"/>
            <color indexed="81"/>
            <rFont val="Tahoma"/>
            <family val="2"/>
          </rPr>
          <t xml:space="preserve">
10% of TDC.  Different than value in DCFROR workbook due to error in Buildings/Warehouse line.</t>
        </r>
      </text>
    </comment>
    <comment ref="C61" authorId="1" shapeId="0" xr:uid="{00000000-0006-0000-0600-000012000000}">
      <text>
        <r>
          <rPr>
            <b/>
            <sz val="9"/>
            <color indexed="81"/>
            <rFont val="Tahoma"/>
            <family val="2"/>
          </rPr>
          <t>ckinchin:</t>
        </r>
        <r>
          <rPr>
            <sz val="9"/>
            <color indexed="81"/>
            <rFont val="Tahoma"/>
            <family val="2"/>
          </rPr>
          <t xml:space="preserve">
10% of TDC.  </t>
        </r>
      </text>
    </comment>
    <comment ref="D61" authorId="1" shapeId="0" xr:uid="{3433DD23-BB72-4705-A935-E6FC3EB87C72}">
      <text>
        <r>
          <rPr>
            <b/>
            <sz val="9"/>
            <color indexed="81"/>
            <rFont val="Tahoma"/>
            <family val="2"/>
          </rPr>
          <t>ckinchin:</t>
        </r>
        <r>
          <rPr>
            <sz val="9"/>
            <color indexed="81"/>
            <rFont val="Tahoma"/>
            <family val="2"/>
          </rPr>
          <t xml:space="preserve">
4.5% of cultivation ISBL, plus 10.0% of dewatering ISBL, plus 1.0% of OSBL.</t>
        </r>
      </text>
    </comment>
    <comment ref="E61" authorId="0" shapeId="0" xr:uid="{A948FA18-1FF4-4C27-A9AC-BBE658DC5306}">
      <text>
        <r>
          <rPr>
            <b/>
            <sz val="9"/>
            <color indexed="81"/>
            <rFont val="Tahoma"/>
            <family val="2"/>
          </rPr>
          <t>Wang, Yuxi:</t>
        </r>
        <r>
          <rPr>
            <sz val="9"/>
            <color indexed="81"/>
            <rFont val="Tahoma"/>
            <family val="2"/>
          </rPr>
          <t xml:space="preserve">
10% of TDC.</t>
        </r>
      </text>
    </comment>
    <comment ref="F61" authorId="0" shapeId="0" xr:uid="{1F4615FB-4CD3-403D-A54F-7364852F06BE}">
      <text>
        <r>
          <rPr>
            <b/>
            <sz val="9"/>
            <color indexed="81"/>
            <rFont val="Tahoma"/>
            <family val="2"/>
          </rPr>
          <t>Wang, Yuxi:</t>
        </r>
        <r>
          <rPr>
            <sz val="9"/>
            <color indexed="81"/>
            <rFont val="Tahoma"/>
            <family val="2"/>
          </rPr>
          <t xml:space="preserve">
10% of TDC.</t>
        </r>
      </text>
    </comment>
    <comment ref="G61" authorId="0" shapeId="0" xr:uid="{F3A3DDCD-5441-4A74-8B7B-59CAF9E9FE49}">
      <text>
        <r>
          <rPr>
            <b/>
            <sz val="9"/>
            <color indexed="81"/>
            <rFont val="Tahoma"/>
            <family val="2"/>
          </rPr>
          <t>Wang, Yuxi:</t>
        </r>
        <r>
          <rPr>
            <sz val="9"/>
            <color indexed="81"/>
            <rFont val="Tahoma"/>
            <family val="2"/>
          </rPr>
          <t xml:space="preserve">
4.46% of cultivation TDC + 10.0% of dewatering TDC + 1.0% of OSBL TDC.</t>
        </r>
      </text>
    </comment>
    <comment ref="B62" authorId="1" shapeId="0" xr:uid="{00000000-0006-0000-0600-000013000000}">
      <text>
        <r>
          <rPr>
            <b/>
            <sz val="9"/>
            <color indexed="81"/>
            <rFont val="Tahoma"/>
            <family val="2"/>
          </rPr>
          <t>ckinchin:</t>
        </r>
        <r>
          <rPr>
            <sz val="9"/>
            <color indexed="81"/>
            <rFont val="Tahoma"/>
            <family val="2"/>
          </rPr>
          <t xml:space="preserve">
10% of TDC.  Different than value in DCFROR workbook due to error in Buildings/Warehouse line.</t>
        </r>
      </text>
    </comment>
    <comment ref="C62" authorId="1" shapeId="0" xr:uid="{00000000-0006-0000-0600-000014000000}">
      <text>
        <r>
          <rPr>
            <b/>
            <sz val="9"/>
            <color indexed="81"/>
            <rFont val="Tahoma"/>
            <family val="2"/>
          </rPr>
          <t>ckinchin:</t>
        </r>
        <r>
          <rPr>
            <sz val="9"/>
            <color indexed="81"/>
            <rFont val="Tahoma"/>
            <family val="2"/>
          </rPr>
          <t xml:space="preserve">
20% of TDC.  </t>
        </r>
      </text>
    </comment>
    <comment ref="D62" authorId="1" shapeId="0" xr:uid="{35E99E7E-B6AB-450B-AC20-078F78BCB2FA}">
      <text>
        <r>
          <rPr>
            <b/>
            <sz val="9"/>
            <color indexed="81"/>
            <rFont val="Tahoma"/>
            <family val="2"/>
          </rPr>
          <t>ckinchin:</t>
        </r>
        <r>
          <rPr>
            <sz val="9"/>
            <color indexed="81"/>
            <rFont val="Tahoma"/>
            <family val="2"/>
          </rPr>
          <t xml:space="preserve">
10.3% of cultivation ISBL, plus 20.0% of dewatering ISBL, plus 1.0% of OSBL.</t>
        </r>
      </text>
    </comment>
    <comment ref="E62" authorId="0" shapeId="0" xr:uid="{3268ED1A-9633-46DC-8C71-CFA608C67434}">
      <text>
        <r>
          <rPr>
            <b/>
            <sz val="9"/>
            <color indexed="81"/>
            <rFont val="Tahoma"/>
            <family val="2"/>
          </rPr>
          <t>Wang, Yuxi:</t>
        </r>
        <r>
          <rPr>
            <sz val="9"/>
            <color indexed="81"/>
            <rFont val="Tahoma"/>
            <family val="2"/>
          </rPr>
          <t xml:space="preserve">
20% of TDC.</t>
        </r>
      </text>
    </comment>
    <comment ref="F62" authorId="0" shapeId="0" xr:uid="{5BA3E81E-FDA9-4500-805F-E299AB903DE8}">
      <text>
        <r>
          <rPr>
            <b/>
            <sz val="9"/>
            <color indexed="81"/>
            <rFont val="Tahoma"/>
            <family val="2"/>
          </rPr>
          <t>Wang, Yuxi:</t>
        </r>
        <r>
          <rPr>
            <sz val="9"/>
            <color indexed="81"/>
            <rFont val="Tahoma"/>
            <family val="2"/>
          </rPr>
          <t xml:space="preserve">
20% of TDC.</t>
        </r>
      </text>
    </comment>
    <comment ref="G62" authorId="0" shapeId="0" xr:uid="{07EA9157-EDA5-4803-B074-B6DD75542A6B}">
      <text>
        <r>
          <rPr>
            <b/>
            <sz val="9"/>
            <color indexed="81"/>
            <rFont val="Tahoma"/>
            <family val="2"/>
          </rPr>
          <t>Wang, Yuxi:</t>
        </r>
        <r>
          <rPr>
            <sz val="9"/>
            <color indexed="81"/>
            <rFont val="Tahoma"/>
            <family val="2"/>
          </rPr>
          <t xml:space="preserve">
10.34% of cultivation TDC + 20.0% of dewatering TDC + 1.0% of OSBL TDC.</t>
        </r>
      </text>
    </comment>
    <comment ref="B63" authorId="1" shapeId="0" xr:uid="{00000000-0006-0000-0600-000015000000}">
      <text>
        <r>
          <rPr>
            <b/>
            <sz val="9"/>
            <color indexed="81"/>
            <rFont val="Tahoma"/>
            <family val="2"/>
          </rPr>
          <t>ckinchin:</t>
        </r>
        <r>
          <rPr>
            <sz val="9"/>
            <color indexed="81"/>
            <rFont val="Tahoma"/>
            <family val="2"/>
          </rPr>
          <t xml:space="preserve">
20% of TDC.  Different than value in DCFROR workbook due to error in Buildings/Warehouse line.</t>
        </r>
      </text>
    </comment>
    <comment ref="C63" authorId="1" shapeId="0" xr:uid="{00000000-0006-0000-0600-000016000000}">
      <text>
        <r>
          <rPr>
            <b/>
            <sz val="9"/>
            <color indexed="81"/>
            <rFont val="Tahoma"/>
            <family val="2"/>
          </rPr>
          <t>ckinchin:</t>
        </r>
        <r>
          <rPr>
            <sz val="9"/>
            <color indexed="81"/>
            <rFont val="Tahoma"/>
            <family val="2"/>
          </rPr>
          <t xml:space="preserve">
10% of TDC. </t>
        </r>
      </text>
    </comment>
    <comment ref="D63" authorId="1" shapeId="0" xr:uid="{5CA0619D-81F4-4F02-9FF2-F2A32EC88362}">
      <text>
        <r>
          <rPr>
            <b/>
            <sz val="9"/>
            <color indexed="81"/>
            <rFont val="Tahoma"/>
            <family val="2"/>
          </rPr>
          <t>ckinchin:</t>
        </r>
        <r>
          <rPr>
            <sz val="9"/>
            <color indexed="81"/>
            <rFont val="Tahoma"/>
            <family val="2"/>
          </rPr>
          <t xml:space="preserve">
10.0% of cultivation ISBL, plus 10.0% of dewatering ISBL, plus 10.0% of OSBL.</t>
        </r>
      </text>
    </comment>
    <comment ref="E63" authorId="0" shapeId="0" xr:uid="{16C49ACF-EF11-4BAD-BC23-F32928682E5D}">
      <text>
        <r>
          <rPr>
            <b/>
            <sz val="9"/>
            <color indexed="81"/>
            <rFont val="Tahoma"/>
            <family val="2"/>
          </rPr>
          <t>Wang, Yuxi:</t>
        </r>
        <r>
          <rPr>
            <sz val="9"/>
            <color indexed="81"/>
            <rFont val="Tahoma"/>
            <family val="2"/>
          </rPr>
          <t xml:space="preserve">
10% of TDC.</t>
        </r>
      </text>
    </comment>
    <comment ref="F63" authorId="0" shapeId="0" xr:uid="{C22C3E82-41B6-4E5E-9ACF-DA9D1C3F3292}">
      <text>
        <r>
          <rPr>
            <b/>
            <sz val="9"/>
            <color indexed="81"/>
            <rFont val="Tahoma"/>
            <family val="2"/>
          </rPr>
          <t>Wang, Yuxi:</t>
        </r>
        <r>
          <rPr>
            <sz val="9"/>
            <color indexed="81"/>
            <rFont val="Tahoma"/>
            <family val="2"/>
          </rPr>
          <t xml:space="preserve">
10% of TDC.</t>
        </r>
      </text>
    </comment>
    <comment ref="G63" authorId="0" shapeId="0" xr:uid="{20878D6F-0C12-493E-8EF3-998696FB8663}">
      <text>
        <r>
          <rPr>
            <b/>
            <sz val="9"/>
            <color indexed="81"/>
            <rFont val="Tahoma"/>
            <family val="2"/>
          </rPr>
          <t>Wang, Yuxi:</t>
        </r>
        <r>
          <rPr>
            <sz val="9"/>
            <color indexed="81"/>
            <rFont val="Tahoma"/>
            <family val="2"/>
          </rPr>
          <t xml:space="preserve">
10.0% of cultivation TDC + 10.0% of dewatering TDC + 10.0% of OSBL TDC.</t>
        </r>
      </text>
    </comment>
    <comment ref="B64" authorId="1" shapeId="0" xr:uid="{00000000-0006-0000-0600-000017000000}">
      <text>
        <r>
          <rPr>
            <b/>
            <sz val="9"/>
            <color indexed="81"/>
            <rFont val="Tahoma"/>
            <family val="2"/>
          </rPr>
          <t>ckinchin:</t>
        </r>
        <r>
          <rPr>
            <sz val="9"/>
            <color indexed="81"/>
            <rFont val="Tahoma"/>
            <family val="2"/>
          </rPr>
          <t xml:space="preserve">
5% of TDC.  Different than value in DCFROR workbook due to error in Buildings/Warehouse line.</t>
        </r>
      </text>
    </comment>
    <comment ref="C64" authorId="1" shapeId="0" xr:uid="{00000000-0006-0000-0600-000018000000}">
      <text>
        <r>
          <rPr>
            <b/>
            <sz val="9"/>
            <color indexed="81"/>
            <rFont val="Tahoma"/>
            <family val="2"/>
          </rPr>
          <t>ckinchin:</t>
        </r>
        <r>
          <rPr>
            <sz val="9"/>
            <color indexed="81"/>
            <rFont val="Tahoma"/>
            <family val="2"/>
          </rPr>
          <t xml:space="preserve">
5% of TDC. </t>
        </r>
      </text>
    </comment>
    <comment ref="D64" authorId="1" shapeId="0" xr:uid="{BDD39AD1-11EC-4611-AC0F-5993111012CF}">
      <text>
        <r>
          <rPr>
            <b/>
            <sz val="9"/>
            <color indexed="81"/>
            <rFont val="Tahoma"/>
            <family val="2"/>
          </rPr>
          <t>ckinchin:</t>
        </r>
        <r>
          <rPr>
            <sz val="9"/>
            <color indexed="81"/>
            <rFont val="Tahoma"/>
            <family val="2"/>
          </rPr>
          <t xml:space="preserve">
2.6% of cultivation ISBL, plus 10.0% of dewatering ISBL, plus 1.0% of OSBL.</t>
        </r>
      </text>
    </comment>
    <comment ref="E64" authorId="0" shapeId="0" xr:uid="{F10ABC6D-9529-41D6-92A7-661A9D9658E2}">
      <text>
        <r>
          <rPr>
            <b/>
            <sz val="9"/>
            <color indexed="81"/>
            <rFont val="Tahoma"/>
            <family val="2"/>
          </rPr>
          <t>Wang, Yuxi:</t>
        </r>
        <r>
          <rPr>
            <sz val="9"/>
            <color indexed="81"/>
            <rFont val="Tahoma"/>
            <family val="2"/>
          </rPr>
          <t xml:space="preserve">
10% of TDC.</t>
        </r>
      </text>
    </comment>
    <comment ref="F64" authorId="0" shapeId="0" xr:uid="{A0059934-D7D6-412A-8532-D24A6233CCAA}">
      <text>
        <r>
          <rPr>
            <b/>
            <sz val="9"/>
            <color indexed="81"/>
            <rFont val="Tahoma"/>
            <family val="2"/>
          </rPr>
          <t>Wang, Yuxi:</t>
        </r>
        <r>
          <rPr>
            <sz val="9"/>
            <color indexed="81"/>
            <rFont val="Tahoma"/>
            <family val="2"/>
          </rPr>
          <t xml:space="preserve">
10% of TDC.</t>
        </r>
      </text>
    </comment>
    <comment ref="G64" authorId="0" shapeId="0" xr:uid="{C074A413-3B07-4CD3-A262-1229F46D5654}">
      <text>
        <r>
          <rPr>
            <b/>
            <sz val="9"/>
            <color indexed="81"/>
            <rFont val="Tahoma"/>
            <family val="2"/>
          </rPr>
          <t>Wang, Yuxi:</t>
        </r>
        <r>
          <rPr>
            <sz val="9"/>
            <color indexed="81"/>
            <rFont val="Tahoma"/>
            <family val="2"/>
          </rPr>
          <t xml:space="preserve">
2.64% of cultivation TDC + 10.0% of dewatering TDC + 1.0% of OSBL TDC.</t>
        </r>
      </text>
    </comment>
    <comment ref="A67" authorId="1" shapeId="0" xr:uid="{0A9B5F98-E44F-4765-BBF1-70852D4E137F}">
      <text>
        <r>
          <rPr>
            <b/>
            <sz val="9"/>
            <color indexed="81"/>
            <rFont val="Tahoma"/>
            <family val="2"/>
          </rPr>
          <t>ckinchin:</t>
        </r>
        <r>
          <rPr>
            <sz val="9"/>
            <color indexed="81"/>
            <rFont val="Tahoma"/>
            <family val="2"/>
          </rPr>
          <t xml:space="preserve">
Non-depreciable.</t>
        </r>
      </text>
    </comment>
    <comment ref="D67" authorId="2" shapeId="0" xr:uid="{C015471D-DC0B-4742-BA77-228644E75F84}">
      <text>
        <r>
          <rPr>
            <b/>
            <sz val="9"/>
            <color indexed="81"/>
            <rFont val="Tahoma"/>
            <family val="2"/>
          </rPr>
          <t>Christopher Kinchin, NREL:</t>
        </r>
        <r>
          <rPr>
            <sz val="9"/>
            <color indexed="81"/>
            <rFont val="Tahoma"/>
            <family val="2"/>
          </rPr>
          <t xml:space="preserve">
7,615 acres at $3,000/acre.</t>
        </r>
      </text>
    </comment>
    <comment ref="E67" authorId="0" shapeId="0" xr:uid="{5145F29F-B037-4149-AAF0-749664939E97}">
      <text>
        <r>
          <rPr>
            <b/>
            <sz val="9"/>
            <color indexed="81"/>
            <rFont val="Tahoma"/>
            <family val="2"/>
          </rPr>
          <t>Wang, Yuxi:</t>
        </r>
        <r>
          <rPr>
            <sz val="9"/>
            <color indexed="81"/>
            <rFont val="Tahoma"/>
            <family val="2"/>
          </rPr>
          <t xml:space="preserve">
132 acres at $14,000 per acre.</t>
        </r>
      </text>
    </comment>
    <comment ref="F67" authorId="0" shapeId="0" xr:uid="{5150C5C6-ECB2-41D6-BC5C-B1749668E4FA}">
      <text>
        <r>
          <rPr>
            <b/>
            <sz val="9"/>
            <color indexed="81"/>
            <rFont val="Tahoma"/>
            <family val="2"/>
          </rPr>
          <t>Wang, Yuxi:</t>
        </r>
        <r>
          <rPr>
            <sz val="9"/>
            <color indexed="81"/>
            <rFont val="Tahoma"/>
            <family val="2"/>
          </rPr>
          <t xml:space="preserve">
132 acres at $14,000 per acre.</t>
        </r>
      </text>
    </comment>
    <comment ref="G67" authorId="0" shapeId="0" xr:uid="{34FCCC19-1061-40D2-9F9E-6B1959BC1C66}">
      <text>
        <r>
          <rPr>
            <b/>
            <sz val="9"/>
            <color indexed="81"/>
            <rFont val="Tahoma"/>
            <family val="2"/>
          </rPr>
          <t>Wang, Yuxi:</t>
        </r>
        <r>
          <rPr>
            <sz val="9"/>
            <color indexed="81"/>
            <rFont val="Tahoma"/>
            <family val="2"/>
          </rPr>
          <t xml:space="preserve">
7706.9 acres at $3,000/acre.</t>
        </r>
      </text>
    </comment>
    <comment ref="E68" authorId="0" shapeId="0" xr:uid="{632A709E-C49C-4F14-82F5-9AF002BC3D5D}">
      <text>
        <r>
          <rPr>
            <b/>
            <sz val="9"/>
            <color indexed="81"/>
            <rFont val="Tahoma"/>
            <family val="2"/>
          </rPr>
          <t>Wang, Yuxi:</t>
        </r>
        <r>
          <rPr>
            <sz val="9"/>
            <color indexed="81"/>
            <rFont val="Tahoma"/>
            <family val="2"/>
          </rPr>
          <t xml:space="preserve">
5% of FCI.</t>
        </r>
      </text>
    </comment>
    <comment ref="F68" authorId="0" shapeId="0" xr:uid="{19AAB997-59D4-4F53-BAAD-99834F9205F4}">
      <text>
        <r>
          <rPr>
            <b/>
            <sz val="9"/>
            <color indexed="81"/>
            <rFont val="Tahoma"/>
            <family val="2"/>
          </rPr>
          <t>Wang, Yuxi:</t>
        </r>
        <r>
          <rPr>
            <sz val="9"/>
            <color indexed="81"/>
            <rFont val="Tahoma"/>
            <family val="2"/>
          </rPr>
          <t xml:space="preserve">
5% of FCI.</t>
        </r>
      </text>
    </comment>
    <comment ref="G68" authorId="0" shapeId="0" xr:uid="{3298CA19-3C37-46C2-BE78-42104C20371C}">
      <text>
        <r>
          <rPr>
            <b/>
            <sz val="9"/>
            <color indexed="81"/>
            <rFont val="Tahoma"/>
            <family val="2"/>
          </rPr>
          <t>Wang, Yuxi:</t>
        </r>
        <r>
          <rPr>
            <sz val="9"/>
            <color indexed="81"/>
            <rFont val="Tahoma"/>
            <family val="2"/>
          </rPr>
          <t xml:space="preserve">
5.0 of FCI.</t>
        </r>
      </text>
    </comment>
    <comment ref="D92" authorId="2" shapeId="0" xr:uid="{8BB7679E-722E-4760-9AF9-49201E704A13}">
      <text>
        <r>
          <rPr>
            <b/>
            <sz val="9"/>
            <color indexed="81"/>
            <rFont val="Tahoma"/>
            <family val="2"/>
          </rPr>
          <t>Christopher Kinchin, NREL:</t>
        </r>
        <r>
          <rPr>
            <sz val="9"/>
            <color indexed="81"/>
            <rFont val="Tahoma"/>
            <family val="2"/>
          </rPr>
          <t xml:space="preserve">
90% of employee salaries.</t>
        </r>
      </text>
    </comment>
    <comment ref="E92" authorId="0" shapeId="0" xr:uid="{F7E2AB07-103A-420C-A724-5EDEAC5116BE}">
      <text>
        <r>
          <rPr>
            <b/>
            <sz val="9"/>
            <color indexed="81"/>
            <rFont val="Tahoma"/>
            <family val="2"/>
          </rPr>
          <t>Wang, Yuxi:</t>
        </r>
        <r>
          <rPr>
            <sz val="9"/>
            <color indexed="81"/>
            <rFont val="Tahoma"/>
            <family val="2"/>
          </rPr>
          <t xml:space="preserve">
90% of employee salaries.</t>
        </r>
      </text>
    </comment>
    <comment ref="F92" authorId="0" shapeId="0" xr:uid="{68612B2C-14DE-4731-93F9-847A126DDB35}">
      <text>
        <r>
          <rPr>
            <b/>
            <sz val="9"/>
            <color indexed="81"/>
            <rFont val="Tahoma"/>
            <family val="2"/>
          </rPr>
          <t>Wang, Yuxi:</t>
        </r>
        <r>
          <rPr>
            <sz val="9"/>
            <color indexed="81"/>
            <rFont val="Tahoma"/>
            <family val="2"/>
          </rPr>
          <t xml:space="preserve">
90% of employee salaries.</t>
        </r>
      </text>
    </comment>
    <comment ref="G92" authorId="0" shapeId="0" xr:uid="{6AC45C97-D787-4D97-B01C-A010DB86B596}">
      <text>
        <r>
          <rPr>
            <b/>
            <sz val="9"/>
            <color indexed="81"/>
            <rFont val="Tahoma"/>
            <family val="2"/>
          </rPr>
          <t>Wang, Yuxi:</t>
        </r>
        <r>
          <rPr>
            <sz val="9"/>
            <color indexed="81"/>
            <rFont val="Tahoma"/>
            <family val="2"/>
          </rPr>
          <t xml:space="preserve">
90% of employee salaries.</t>
        </r>
      </text>
    </comment>
    <comment ref="D93" authorId="2" shapeId="0" xr:uid="{9A2054D7-C6B2-4F95-A8E5-8FD675CE5980}">
      <text>
        <r>
          <rPr>
            <b/>
            <sz val="9"/>
            <color indexed="81"/>
            <rFont val="Tahoma"/>
            <family val="2"/>
          </rPr>
          <t>Christopher Kinchin, NREL:</t>
        </r>
        <r>
          <rPr>
            <sz val="9"/>
            <color indexed="81"/>
            <rFont val="Tahoma"/>
            <family val="2"/>
          </rPr>
          <t xml:space="preserve">
0.5% of cultivation ISBL plus 3.0% of dewatering ISBL.</t>
        </r>
      </text>
    </comment>
    <comment ref="E93" authorId="0" shapeId="0" xr:uid="{22EB4A3B-25B6-4228-9F3A-16277550869F}">
      <text>
        <r>
          <rPr>
            <b/>
            <sz val="9"/>
            <color indexed="81"/>
            <rFont val="Tahoma"/>
            <family val="2"/>
          </rPr>
          <t>Wang, Yuxi:</t>
        </r>
        <r>
          <rPr>
            <sz val="9"/>
            <color indexed="81"/>
            <rFont val="Tahoma"/>
            <family val="2"/>
          </rPr>
          <t xml:space="preserve">
3% of ISBL.</t>
        </r>
      </text>
    </comment>
    <comment ref="F93" authorId="0" shapeId="0" xr:uid="{2AEA73B4-F0E1-4A1A-9830-779FDFCF61E5}">
      <text>
        <r>
          <rPr>
            <b/>
            <sz val="9"/>
            <color indexed="81"/>
            <rFont val="Tahoma"/>
            <family val="2"/>
          </rPr>
          <t>Wang, Yuxi:</t>
        </r>
        <r>
          <rPr>
            <sz val="9"/>
            <color indexed="81"/>
            <rFont val="Tahoma"/>
            <family val="2"/>
          </rPr>
          <t xml:space="preserve">
3% of ISBL.</t>
        </r>
      </text>
    </comment>
    <comment ref="G93" authorId="0" shapeId="0" xr:uid="{DC68CB6A-A5F3-4107-8483-92098D95E51B}">
      <text>
        <r>
          <rPr>
            <b/>
            <sz val="9"/>
            <color indexed="81"/>
            <rFont val="Tahoma"/>
            <family val="2"/>
          </rPr>
          <t>Wang, Yuxi:</t>
        </r>
        <r>
          <rPr>
            <sz val="9"/>
            <color indexed="81"/>
            <rFont val="Tahoma"/>
            <family val="2"/>
          </rPr>
          <t xml:space="preserve">
3.0% of dewatering ISBL + 0.5% of cultivation ISBL + 0.5% OSBL in CO2 delivery and water delivery.</t>
        </r>
      </text>
    </comment>
    <comment ref="D94" authorId="2" shapeId="0" xr:uid="{39D8393E-2D95-4656-AAB0-2B1A03341FB4}">
      <text>
        <r>
          <rPr>
            <b/>
            <sz val="9"/>
            <color indexed="81"/>
            <rFont val="Tahoma"/>
            <family val="2"/>
          </rPr>
          <t>Christopher Kinchin, NREL:</t>
        </r>
        <r>
          <rPr>
            <sz val="9"/>
            <color indexed="81"/>
            <rFont val="Tahoma"/>
            <family val="2"/>
          </rPr>
          <t xml:space="preserve">
0.07% of FCI.</t>
        </r>
      </text>
    </comment>
    <comment ref="E94" authorId="0" shapeId="0" xr:uid="{7068C315-9CBA-4391-9F8A-6795F7037A48}">
      <text>
        <r>
          <rPr>
            <b/>
            <sz val="9"/>
            <color indexed="81"/>
            <rFont val="Tahoma"/>
            <family val="2"/>
          </rPr>
          <t>Wang, Yuxi:</t>
        </r>
        <r>
          <rPr>
            <sz val="9"/>
            <color indexed="81"/>
            <rFont val="Tahoma"/>
            <family val="2"/>
          </rPr>
          <t xml:space="preserve">
0.7% of FCI.</t>
        </r>
      </text>
    </comment>
    <comment ref="F94" authorId="0" shapeId="0" xr:uid="{BD87288D-99B3-4334-9E9B-73F68696FA1E}">
      <text>
        <r>
          <rPr>
            <b/>
            <sz val="9"/>
            <color indexed="81"/>
            <rFont val="Tahoma"/>
            <family val="2"/>
          </rPr>
          <t>Wang, Yuxi:</t>
        </r>
        <r>
          <rPr>
            <sz val="9"/>
            <color indexed="81"/>
            <rFont val="Tahoma"/>
            <family val="2"/>
          </rPr>
          <t xml:space="preserve">
0.7% of FCI.</t>
        </r>
      </text>
    </comment>
    <comment ref="G94" authorId="0" shapeId="0" xr:uid="{ED47F3FC-0C29-4505-A828-B7C092943EEB}">
      <text>
        <r>
          <rPr>
            <b/>
            <sz val="9"/>
            <color indexed="81"/>
            <rFont val="Tahoma"/>
            <family val="2"/>
          </rPr>
          <t>Wang, Yuxi:</t>
        </r>
        <r>
          <rPr>
            <sz val="9"/>
            <color indexed="81"/>
            <rFont val="Tahoma"/>
            <family val="2"/>
          </rPr>
          <t xml:space="preserve">
0.7% of FCI.</t>
        </r>
      </text>
    </comment>
    <comment ref="B97" authorId="1" shapeId="0" xr:uid="{00000000-0006-0000-0600-000019000000}">
      <text>
        <r>
          <rPr>
            <b/>
            <sz val="9"/>
            <color indexed="81"/>
            <rFont val="Tahoma"/>
            <family val="2"/>
          </rPr>
          <t>ckinchin:</t>
        </r>
        <r>
          <rPr>
            <sz val="9"/>
            <color indexed="81"/>
            <rFont val="Tahoma"/>
            <family val="2"/>
          </rPr>
          <t xml:space="preserve">
This value was not calculated in the source DCFROR spreadheet. </t>
        </r>
      </text>
    </comment>
    <comment ref="B98" authorId="1" shapeId="0" xr:uid="{00000000-0006-0000-0600-00001A000000}">
      <text>
        <r>
          <rPr>
            <b/>
            <sz val="9"/>
            <color indexed="81"/>
            <rFont val="Tahoma"/>
            <family val="2"/>
          </rPr>
          <t>ckinchin:</t>
        </r>
        <r>
          <rPr>
            <sz val="9"/>
            <color indexed="81"/>
            <rFont val="Tahoma"/>
            <family val="2"/>
          </rPr>
          <t xml:space="preserve">
This value was not calculated in the source DCFROR spreadheet.  </t>
        </r>
      </text>
    </comment>
    <comment ref="B99" authorId="1" shapeId="0" xr:uid="{00000000-0006-0000-0600-00001B000000}">
      <text>
        <r>
          <rPr>
            <b/>
            <sz val="9"/>
            <color indexed="81"/>
            <rFont val="Tahoma"/>
            <family val="2"/>
          </rPr>
          <t>ckinchin:</t>
        </r>
        <r>
          <rPr>
            <sz val="9"/>
            <color indexed="81"/>
            <rFont val="Tahoma"/>
            <family val="2"/>
          </rPr>
          <t xml:space="preserve">
This value was not calculated in the source DCFROR spreadheet.  </t>
        </r>
      </text>
    </comment>
    <comment ref="A118" authorId="3" shapeId="0" xr:uid="{00000000-0006-0000-0600-00001C000000}">
      <text>
        <r>
          <rPr>
            <b/>
            <sz val="8"/>
            <color indexed="81"/>
            <rFont val="Tahoma"/>
            <family val="2"/>
          </rPr>
          <t>Mary Biddy:</t>
        </r>
        <r>
          <rPr>
            <sz val="8"/>
            <color indexed="81"/>
            <rFont val="Tahoma"/>
            <family val="2"/>
          </rPr>
          <t xml:space="preserve">
We need the direct and indirect costs that get us to the FCI. </t>
        </r>
      </text>
    </comment>
    <comment ref="B128" authorId="1" shapeId="0" xr:uid="{00000000-0006-0000-0600-00001D000000}">
      <text>
        <r>
          <rPr>
            <b/>
            <sz val="9"/>
            <color indexed="81"/>
            <rFont val="Tahoma"/>
            <family val="2"/>
          </rPr>
          <t>ckinchin:</t>
        </r>
        <r>
          <rPr>
            <sz val="9"/>
            <color indexed="81"/>
            <rFont val="Tahoma"/>
            <family val="2"/>
          </rPr>
          <t xml:space="preserve">
IRS publication 946, Table A1, Page 76.  http://www.irs.gov/pub/irs-pdf/p946.pdf</t>
        </r>
      </text>
    </comment>
    <comment ref="D128" authorId="1" shapeId="0" xr:uid="{FCD1EDBF-0F2F-455A-B190-8B7585FB07A0}">
      <text>
        <r>
          <rPr>
            <b/>
            <sz val="9"/>
            <color indexed="81"/>
            <rFont val="Tahoma"/>
            <family val="2"/>
          </rPr>
          <t>ckinchin:</t>
        </r>
        <r>
          <rPr>
            <sz val="9"/>
            <color indexed="81"/>
            <rFont val="Tahoma"/>
            <family val="2"/>
          </rPr>
          <t xml:space="preserve">
IRS publication 946, Table A1, Page 76.  http://www.irs.gov/pub/irs-pdf/p946.pdf</t>
        </r>
      </text>
    </comment>
    <comment ref="E128" authorId="0" shapeId="0" xr:uid="{BA8EDC8C-CBEE-4A39-9213-CCB0E5341BF5}">
      <text>
        <r>
          <rPr>
            <b/>
            <sz val="9"/>
            <color indexed="81"/>
            <rFont val="Tahoma"/>
            <family val="2"/>
          </rPr>
          <t>Wang, Yuxi:</t>
        </r>
        <r>
          <rPr>
            <sz val="9"/>
            <color indexed="81"/>
            <rFont val="Tahoma"/>
            <family val="2"/>
          </rPr>
          <t xml:space="preserve">
IRS publication 946, Table A1, Page 76.  http://www.irs.gov/pub/irs-pdf/p946.pdf</t>
        </r>
      </text>
    </comment>
    <comment ref="F128" authorId="0" shapeId="0" xr:uid="{6E71A524-2E5F-45DA-94C5-73A6ACDBC731}">
      <text>
        <r>
          <rPr>
            <b/>
            <sz val="9"/>
            <color indexed="81"/>
            <rFont val="Tahoma"/>
            <family val="2"/>
          </rPr>
          <t>Wang, Yuxi:</t>
        </r>
        <r>
          <rPr>
            <sz val="9"/>
            <color indexed="81"/>
            <rFont val="Tahoma"/>
            <family val="2"/>
          </rPr>
          <t xml:space="preserve">
IRS publication 946, Table A1, Page 76.  http://www.irs.gov/pub/irs-pdf/p946.pdf</t>
        </r>
      </text>
    </comment>
    <comment ref="G128" authorId="0" shapeId="0" xr:uid="{364217F6-FCD1-4B43-A6AE-8E3F36AED47E}">
      <text>
        <r>
          <rPr>
            <b/>
            <sz val="9"/>
            <color indexed="81"/>
            <rFont val="Tahoma"/>
            <family val="2"/>
          </rPr>
          <t>Wang, Yuxi:</t>
        </r>
        <r>
          <rPr>
            <sz val="9"/>
            <color indexed="81"/>
            <rFont val="Tahoma"/>
            <family val="2"/>
          </rPr>
          <t xml:space="preserve">
IRS publication 946, Table A1, Page 76.  http://www.irs.gov/pub/irs-pdf/p946.pdf</t>
        </r>
      </text>
    </comment>
    <comment ref="A148" authorId="3" shapeId="0" xr:uid="{00000000-0006-0000-0600-00001E000000}">
      <text>
        <r>
          <rPr>
            <b/>
            <sz val="8"/>
            <color indexed="81"/>
            <rFont val="Tahoma"/>
            <family val="2"/>
          </rPr>
          <t>Mary Biddy:</t>
        </r>
        <r>
          <rPr>
            <sz val="8"/>
            <color indexed="81"/>
            <rFont val="Tahoma"/>
            <family val="2"/>
          </rPr>
          <t xml:space="preserve">
this is per dry US short ton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ckinchin</author>
    <author>Wang, Yuxi</author>
  </authors>
  <commentList>
    <comment ref="A11" authorId="0" shapeId="0" xr:uid="{00000000-0006-0000-0700-000001000000}">
      <text>
        <r>
          <rPr>
            <b/>
            <sz val="9"/>
            <color indexed="81"/>
            <rFont val="Tahoma"/>
            <family val="2"/>
          </rPr>
          <t>ckinchin:</t>
        </r>
        <r>
          <rPr>
            <sz val="9"/>
            <color indexed="81"/>
            <rFont val="Tahoma"/>
            <family val="2"/>
          </rPr>
          <t xml:space="preserve">
http://www.afdc.energy.gov/fuels/fuel_properties.php
</t>
        </r>
      </text>
    </comment>
    <comment ref="A12" authorId="0" shapeId="0" xr:uid="{00000000-0006-0000-0700-000002000000}">
      <text>
        <r>
          <rPr>
            <b/>
            <sz val="9"/>
            <color indexed="81"/>
            <rFont val="Tahoma"/>
            <family val="2"/>
          </rPr>
          <t>ckinchin:</t>
        </r>
        <r>
          <rPr>
            <sz val="9"/>
            <color indexed="81"/>
            <rFont val="Tahoma"/>
            <family val="2"/>
          </rPr>
          <t xml:space="preserve">
http://www.afdc.energy.gov/fuels/fuel_properties.php
</t>
        </r>
      </text>
    </comment>
    <comment ref="A70" authorId="0" shapeId="0" xr:uid="{00000000-0006-0000-0700-000003000000}">
      <text>
        <r>
          <rPr>
            <b/>
            <sz val="9"/>
            <color indexed="81"/>
            <rFont val="Tahoma"/>
            <family val="2"/>
          </rPr>
          <t>ckinchin:</t>
        </r>
        <r>
          <rPr>
            <sz val="9"/>
            <color indexed="81"/>
            <rFont val="Tahoma"/>
            <family val="2"/>
          </rPr>
          <t xml:space="preserve">
http://www.afdc.energy.gov/fuels/fuel_properties.php
</t>
        </r>
      </text>
    </comment>
    <comment ref="A71" authorId="0" shapeId="0" xr:uid="{00000000-0006-0000-0700-000004000000}">
      <text>
        <r>
          <rPr>
            <b/>
            <sz val="9"/>
            <color indexed="81"/>
            <rFont val="Tahoma"/>
            <family val="2"/>
          </rPr>
          <t>ckinchin:</t>
        </r>
        <r>
          <rPr>
            <sz val="9"/>
            <color indexed="81"/>
            <rFont val="Tahoma"/>
            <family val="2"/>
          </rPr>
          <t xml:space="preserve">
http://www.afdc.energy.gov/fuels/fuel_properties.php
</t>
        </r>
      </text>
    </comment>
    <comment ref="A93" authorId="0" shapeId="0" xr:uid="{00000000-0006-0000-0700-000005000000}">
      <text>
        <r>
          <rPr>
            <b/>
            <sz val="9"/>
            <color indexed="81"/>
            <rFont val="Tahoma"/>
            <family val="2"/>
          </rPr>
          <t>ckinchin:</t>
        </r>
        <r>
          <rPr>
            <sz val="9"/>
            <color indexed="81"/>
            <rFont val="Tahoma"/>
            <family val="2"/>
          </rPr>
          <t xml:space="preserve">
http://www.afdc.energy.gov/fuels/fuel_properties.php
</t>
        </r>
      </text>
    </comment>
    <comment ref="B96" authorId="0" shapeId="0" xr:uid="{00000000-0006-0000-0700-000006000000}">
      <text>
        <r>
          <rPr>
            <b/>
            <sz val="9"/>
            <color indexed="81"/>
            <rFont val="Tahoma"/>
            <family val="2"/>
          </rPr>
          <t>ckinchin:</t>
        </r>
        <r>
          <rPr>
            <sz val="9"/>
            <color indexed="81"/>
            <rFont val="Tahoma"/>
            <family val="2"/>
          </rPr>
          <t xml:space="preserve">
From Production Summary sheet of DCFROR workbook.</t>
        </r>
      </text>
    </comment>
    <comment ref="C96" authorId="0" shapeId="0" xr:uid="{00000000-0006-0000-0700-000007000000}">
      <text>
        <r>
          <rPr>
            <b/>
            <sz val="9"/>
            <color indexed="81"/>
            <rFont val="Tahoma"/>
            <family val="2"/>
          </rPr>
          <t>ckinchin:</t>
        </r>
        <r>
          <rPr>
            <sz val="9"/>
            <color indexed="81"/>
            <rFont val="Tahoma"/>
            <family val="2"/>
          </rPr>
          <t xml:space="preserve">
From Production Summary sheet of DCFROR workbook.</t>
        </r>
      </text>
    </comment>
    <comment ref="A97" authorId="0" shapeId="0" xr:uid="{00000000-0006-0000-0700-000008000000}">
      <text>
        <r>
          <rPr>
            <b/>
            <sz val="9"/>
            <color indexed="81"/>
            <rFont val="Tahoma"/>
            <family val="2"/>
          </rPr>
          <t>ckinchin:</t>
        </r>
        <r>
          <rPr>
            <sz val="9"/>
            <color indexed="81"/>
            <rFont val="Tahoma"/>
            <family val="2"/>
          </rPr>
          <t xml:space="preserve">
http://www.afdc.energy.gov/fuels/fuel_properties.php
</t>
        </r>
      </text>
    </comment>
    <comment ref="B100" authorId="0" shapeId="0" xr:uid="{00000000-0006-0000-0700-000009000000}">
      <text>
        <r>
          <rPr>
            <b/>
            <sz val="9"/>
            <color indexed="81"/>
            <rFont val="Tahoma"/>
            <family val="2"/>
          </rPr>
          <t>ckinchin:</t>
        </r>
        <r>
          <rPr>
            <sz val="9"/>
            <color indexed="81"/>
            <rFont val="Tahoma"/>
            <family val="2"/>
          </rPr>
          <t xml:space="preserve">
From Production Summary sheet of DCFROR workbook.</t>
        </r>
      </text>
    </comment>
    <comment ref="C100" authorId="0" shapeId="0" xr:uid="{00000000-0006-0000-0700-00000A000000}">
      <text>
        <r>
          <rPr>
            <b/>
            <sz val="9"/>
            <color indexed="81"/>
            <rFont val="Tahoma"/>
            <family val="2"/>
          </rPr>
          <t>ckinchin:</t>
        </r>
        <r>
          <rPr>
            <sz val="9"/>
            <color indexed="81"/>
            <rFont val="Tahoma"/>
            <family val="2"/>
          </rPr>
          <t xml:space="preserve">
From Production Summary sheet of DCFROR workbook.</t>
        </r>
      </text>
    </comment>
    <comment ref="A128" authorId="0" shapeId="0" xr:uid="{00000000-0006-0000-0700-00000B000000}">
      <text>
        <r>
          <rPr>
            <b/>
            <sz val="9"/>
            <color indexed="81"/>
            <rFont val="Tahoma"/>
            <family val="2"/>
          </rPr>
          <t>ckinchin:</t>
        </r>
        <r>
          <rPr>
            <sz val="9"/>
            <color indexed="81"/>
            <rFont val="Tahoma"/>
            <family val="2"/>
          </rPr>
          <t xml:space="preserve">
From Table 2 of Zhu paper.</t>
        </r>
      </text>
    </comment>
    <comment ref="A129" authorId="0" shapeId="0" xr:uid="{00000000-0006-0000-0700-00000C000000}">
      <text>
        <r>
          <rPr>
            <b/>
            <sz val="9"/>
            <color indexed="81"/>
            <rFont val="Tahoma"/>
            <family val="2"/>
          </rPr>
          <t>ckinchin:</t>
        </r>
        <r>
          <rPr>
            <sz val="9"/>
            <color indexed="81"/>
            <rFont val="Tahoma"/>
            <family val="2"/>
          </rPr>
          <t xml:space="preserve">
From Table 2 of Zhu paper.</t>
        </r>
      </text>
    </comment>
    <comment ref="A130" authorId="0" shapeId="0" xr:uid="{00000000-0006-0000-0700-00000D000000}">
      <text>
        <r>
          <rPr>
            <b/>
            <sz val="9"/>
            <color indexed="81"/>
            <rFont val="Tahoma"/>
            <family val="2"/>
          </rPr>
          <t>ckinchin:</t>
        </r>
        <r>
          <rPr>
            <sz val="9"/>
            <color indexed="81"/>
            <rFont val="Tahoma"/>
            <family val="2"/>
          </rPr>
          <t xml:space="preserve">
http://www.afdc.energy.gov/fuels/fuel_properties.php
</t>
        </r>
      </text>
    </comment>
    <comment ref="A131" authorId="0" shapeId="0" xr:uid="{00000000-0006-0000-0700-00000E000000}">
      <text>
        <r>
          <rPr>
            <b/>
            <sz val="9"/>
            <color indexed="81"/>
            <rFont val="Tahoma"/>
            <family val="2"/>
          </rPr>
          <t>ckinchin:</t>
        </r>
        <r>
          <rPr>
            <sz val="9"/>
            <color indexed="81"/>
            <rFont val="Tahoma"/>
            <family val="2"/>
          </rPr>
          <t xml:space="preserve">
http://www.afdc.energy.gov/fuels/fuel_properties.php
</t>
        </r>
      </text>
    </comment>
    <comment ref="B134" authorId="0" shapeId="0" xr:uid="{00000000-0006-0000-0700-00000F000000}">
      <text>
        <r>
          <rPr>
            <b/>
            <sz val="9"/>
            <color indexed="81"/>
            <rFont val="Tahoma"/>
            <family val="2"/>
          </rPr>
          <t>ckinchin:</t>
        </r>
        <r>
          <rPr>
            <sz val="9"/>
            <color indexed="81"/>
            <rFont val="Tahoma"/>
            <family val="2"/>
          </rPr>
          <t xml:space="preserve">
From Table 3 in publication.</t>
        </r>
      </text>
    </comment>
    <comment ref="C134" authorId="0" shapeId="0" xr:uid="{00000000-0006-0000-0700-000010000000}">
      <text>
        <r>
          <rPr>
            <b/>
            <sz val="9"/>
            <color indexed="81"/>
            <rFont val="Tahoma"/>
            <family val="2"/>
          </rPr>
          <t>ckinchin:</t>
        </r>
        <r>
          <rPr>
            <sz val="9"/>
            <color indexed="81"/>
            <rFont val="Tahoma"/>
            <family val="2"/>
          </rPr>
          <t xml:space="preserve">
From Table 3 in publication.</t>
        </r>
      </text>
    </comment>
    <comment ref="D134" authorId="0" shapeId="0" xr:uid="{00000000-0006-0000-0700-000011000000}">
      <text>
        <r>
          <rPr>
            <b/>
            <sz val="9"/>
            <color indexed="81"/>
            <rFont val="Tahoma"/>
            <family val="2"/>
          </rPr>
          <t>ckinchin:</t>
        </r>
        <r>
          <rPr>
            <sz val="9"/>
            <color indexed="81"/>
            <rFont val="Tahoma"/>
            <family val="2"/>
          </rPr>
          <t xml:space="preserve">
From Table 3 in publication.</t>
        </r>
      </text>
    </comment>
    <comment ref="A135" authorId="0" shapeId="0" xr:uid="{00000000-0006-0000-0700-000012000000}">
      <text>
        <r>
          <rPr>
            <b/>
            <sz val="9"/>
            <color indexed="81"/>
            <rFont val="Tahoma"/>
            <family val="2"/>
          </rPr>
          <t>ckinchin:</t>
        </r>
        <r>
          <rPr>
            <sz val="9"/>
            <color indexed="81"/>
            <rFont val="Tahoma"/>
            <family val="2"/>
          </rPr>
          <t xml:space="preserve">
http://www.afdc.energy.gov/fuels/fuel_properties.php
</t>
        </r>
      </text>
    </comment>
    <comment ref="A136" authorId="0" shapeId="0" xr:uid="{00000000-0006-0000-0700-000013000000}">
      <text>
        <r>
          <rPr>
            <b/>
            <sz val="9"/>
            <color indexed="81"/>
            <rFont val="Tahoma"/>
            <family val="2"/>
          </rPr>
          <t>ckinchin:</t>
        </r>
        <r>
          <rPr>
            <sz val="9"/>
            <color indexed="81"/>
            <rFont val="Tahoma"/>
            <family val="2"/>
          </rPr>
          <t xml:space="preserve">
http://www.afdc.energy.gov/fuels/fuel_properties.php
</t>
        </r>
      </text>
    </comment>
    <comment ref="A156" authorId="0" shapeId="0" xr:uid="{00000000-0006-0000-0700-000014000000}">
      <text>
        <r>
          <rPr>
            <b/>
            <sz val="9"/>
            <color indexed="81"/>
            <rFont val="Tahoma"/>
            <family val="2"/>
          </rPr>
          <t>ckinchin:</t>
        </r>
        <r>
          <rPr>
            <sz val="9"/>
            <color indexed="81"/>
            <rFont val="Tahoma"/>
            <family val="2"/>
          </rPr>
          <t xml:space="preserve">
http://www.afdc.energy.gov/fuels/fuel_properties.php
</t>
        </r>
      </text>
    </comment>
    <comment ref="A160" authorId="0" shapeId="0" xr:uid="{00000000-0006-0000-0700-000015000000}">
      <text>
        <r>
          <rPr>
            <b/>
            <sz val="9"/>
            <color indexed="81"/>
            <rFont val="Tahoma"/>
            <family val="2"/>
          </rPr>
          <t>ckinchin:</t>
        </r>
        <r>
          <rPr>
            <sz val="9"/>
            <color indexed="81"/>
            <rFont val="Tahoma"/>
            <family val="2"/>
          </rPr>
          <t xml:space="preserve">
http://www.afdc.energy.gov/fuels/fuel_properties.php
</t>
        </r>
      </text>
    </comment>
    <comment ref="A174" authorId="0" shapeId="0" xr:uid="{CC05FC74-70E1-4981-81F0-66E1603BBCE6}">
      <text>
        <r>
          <rPr>
            <b/>
            <sz val="9"/>
            <color indexed="81"/>
            <rFont val="Tahoma"/>
            <family val="2"/>
          </rPr>
          <t>ckinchin:</t>
        </r>
        <r>
          <rPr>
            <sz val="9"/>
            <color indexed="81"/>
            <rFont val="Tahoma"/>
            <family val="2"/>
          </rPr>
          <t xml:space="preserve">
http://www.afdc.energy.gov/fuels/fuel_properties.php
</t>
        </r>
      </text>
    </comment>
    <comment ref="A175" authorId="0" shapeId="0" xr:uid="{BD1BFE01-DE35-4A0A-A1EF-CFEC4952CAF9}">
      <text>
        <r>
          <rPr>
            <b/>
            <sz val="9"/>
            <color indexed="81"/>
            <rFont val="Tahoma"/>
            <family val="2"/>
          </rPr>
          <t>ckinchin:</t>
        </r>
        <r>
          <rPr>
            <sz val="9"/>
            <color indexed="81"/>
            <rFont val="Tahoma"/>
            <family val="2"/>
          </rPr>
          <t xml:space="preserve">
http://www.afdc.energy.gov/fuels/fuel_properties.php
</t>
        </r>
      </text>
    </comment>
    <comment ref="A179" authorId="0" shapeId="0" xr:uid="{0B59421F-C4BF-4EAB-A4EB-6C5C7015E896}">
      <text>
        <r>
          <rPr>
            <b/>
            <sz val="9"/>
            <color indexed="81"/>
            <rFont val="Tahoma"/>
            <family val="2"/>
          </rPr>
          <t>ckinchin:</t>
        </r>
        <r>
          <rPr>
            <sz val="9"/>
            <color indexed="81"/>
            <rFont val="Tahoma"/>
            <family val="2"/>
          </rPr>
          <t xml:space="preserve">
http://www.afdc.energy.gov/fuels/fuel_properties.php
</t>
        </r>
      </text>
    </comment>
    <comment ref="A193" authorId="1" shapeId="0" xr:uid="{045247C0-55F9-4AD5-A7B9-107626D15092}">
      <text>
        <r>
          <rPr>
            <b/>
            <sz val="9"/>
            <color indexed="81"/>
            <rFont val="Tahoma"/>
            <family val="2"/>
          </rPr>
          <t>Wang, Yuxi:</t>
        </r>
        <r>
          <rPr>
            <sz val="9"/>
            <color indexed="81"/>
            <rFont val="Tahoma"/>
            <family val="2"/>
          </rPr>
          <t xml:space="preserve">
http://www.afdc.energy.gov/fuels/fuel_properties.php</t>
        </r>
      </text>
    </comment>
    <comment ref="A197" authorId="1" shapeId="0" xr:uid="{7916B60F-9296-4513-9096-CBCBA56E1C31}">
      <text>
        <r>
          <rPr>
            <b/>
            <sz val="9"/>
            <color indexed="81"/>
            <rFont val="Tahoma"/>
            <family val="2"/>
          </rPr>
          <t>Wang, Yuxi:</t>
        </r>
        <r>
          <rPr>
            <sz val="9"/>
            <color indexed="81"/>
            <rFont val="Tahoma"/>
            <family val="2"/>
          </rPr>
          <t xml:space="preserve">
http://www.afdc.energy.gov/fuels/fuel_properties.php</t>
        </r>
      </text>
    </comment>
    <comment ref="A210" authorId="0" shapeId="0" xr:uid="{00000000-0006-0000-0700-000016000000}">
      <text>
        <r>
          <rPr>
            <b/>
            <sz val="9"/>
            <color indexed="81"/>
            <rFont val="Tahoma"/>
            <family val="2"/>
          </rPr>
          <t>ckinchin:</t>
        </r>
        <r>
          <rPr>
            <sz val="9"/>
            <color indexed="81"/>
            <rFont val="Tahoma"/>
            <family val="2"/>
          </rPr>
          <t xml:space="preserve">
http://cta.ornl.gov/bedb/biofuels/ethanol/Fuel_Property_Comparison_for_Ethanol-Gasoline-No2Diesel.xls
</t>
        </r>
      </text>
    </comment>
    <comment ref="A213" authorId="0" shapeId="0" xr:uid="{00000000-0006-0000-0700-000017000000}">
      <text>
        <r>
          <rPr>
            <b/>
            <sz val="9"/>
            <color indexed="81"/>
            <rFont val="Tahoma"/>
            <family val="2"/>
          </rPr>
          <t>ckinchin:</t>
        </r>
        <r>
          <rPr>
            <sz val="9"/>
            <color indexed="81"/>
            <rFont val="Tahoma"/>
            <family val="2"/>
          </rPr>
          <t xml:space="preserve">
http://www.afdc.energy.gov/fuels/fuel_properties.php
</t>
        </r>
      </text>
    </comment>
    <comment ref="A214" authorId="0" shapeId="0" xr:uid="{00000000-0006-0000-0700-000018000000}">
      <text>
        <r>
          <rPr>
            <b/>
            <sz val="9"/>
            <color indexed="81"/>
            <rFont val="Tahoma"/>
            <family val="2"/>
          </rPr>
          <t>ckinchin:</t>
        </r>
        <r>
          <rPr>
            <sz val="9"/>
            <color indexed="81"/>
            <rFont val="Tahoma"/>
            <family val="2"/>
          </rPr>
          <t xml:space="preserve">
http://www.afdc.energy.gov/fuels/fuel_properties.php
</t>
        </r>
      </text>
    </comment>
    <comment ref="A215" authorId="0" shapeId="0" xr:uid="{00000000-0006-0000-0700-000019000000}">
      <text>
        <r>
          <rPr>
            <b/>
            <sz val="9"/>
            <color indexed="81"/>
            <rFont val="Tahoma"/>
            <family val="2"/>
          </rPr>
          <t>ckinchin:</t>
        </r>
        <r>
          <rPr>
            <sz val="9"/>
            <color indexed="81"/>
            <rFont val="Tahoma"/>
            <family val="2"/>
          </rPr>
          <t xml:space="preserve">
http://www.afdc.energy.gov/fuels/fuel_properties.php</t>
        </r>
      </text>
    </comment>
    <comment ref="B215" authorId="0" shapeId="0" xr:uid="{00000000-0006-0000-0700-00001A000000}">
      <text>
        <r>
          <rPr>
            <b/>
            <sz val="9"/>
            <color indexed="81"/>
            <rFont val="Tahoma"/>
            <family val="2"/>
          </rPr>
          <t>ckinchin:</t>
        </r>
        <r>
          <rPr>
            <sz val="9"/>
            <color indexed="81"/>
            <rFont val="Tahoma"/>
            <family val="2"/>
          </rPr>
          <t xml:space="preserve">
http://www.afdc.energy.gov/fuels/fuel_properties.php</t>
        </r>
      </text>
    </comment>
    <comment ref="C215" authorId="0" shapeId="0" xr:uid="{00000000-0006-0000-0700-00001B000000}">
      <text>
        <r>
          <rPr>
            <b/>
            <sz val="9"/>
            <color indexed="81"/>
            <rFont val="Tahoma"/>
            <family val="2"/>
          </rPr>
          <t>ckinchin:</t>
        </r>
        <r>
          <rPr>
            <sz val="9"/>
            <color indexed="81"/>
            <rFont val="Tahoma"/>
            <family val="2"/>
          </rPr>
          <t xml:space="preserve">
http://www.afdc.energy.gov/fuels/fuel_properties.php</t>
        </r>
      </text>
    </comment>
    <comment ref="A234" authorId="0" shapeId="0" xr:uid="{00000000-0006-0000-0700-00001C000000}">
      <text>
        <r>
          <rPr>
            <b/>
            <sz val="9"/>
            <color indexed="81"/>
            <rFont val="Tahoma"/>
            <family val="2"/>
          </rPr>
          <t>ckinchin:</t>
        </r>
        <r>
          <rPr>
            <sz val="9"/>
            <color indexed="81"/>
            <rFont val="Tahoma"/>
            <family val="2"/>
          </rPr>
          <t xml:space="preserve">
http://www.afdc.energy.gov/fuels/fuel_properties.php
</t>
        </r>
      </text>
    </comment>
    <comment ref="A235" authorId="0" shapeId="0" xr:uid="{00000000-0006-0000-0700-00001D000000}">
      <text>
        <r>
          <rPr>
            <b/>
            <sz val="9"/>
            <color indexed="81"/>
            <rFont val="Tahoma"/>
            <family val="2"/>
          </rPr>
          <t>ckinchin:</t>
        </r>
        <r>
          <rPr>
            <sz val="9"/>
            <color indexed="81"/>
            <rFont val="Tahoma"/>
            <family val="2"/>
          </rPr>
          <t xml:space="preserve">
http://www.afdc.energy.gov/fuels/fuel_properties.php
</t>
        </r>
      </text>
    </comment>
    <comment ref="A236" authorId="0" shapeId="0" xr:uid="{00000000-0006-0000-0700-00001E000000}">
      <text>
        <r>
          <rPr>
            <b/>
            <sz val="9"/>
            <color indexed="81"/>
            <rFont val="Tahoma"/>
            <family val="2"/>
          </rPr>
          <t>ckinchin:</t>
        </r>
        <r>
          <rPr>
            <sz val="9"/>
            <color indexed="81"/>
            <rFont val="Tahoma"/>
            <family val="2"/>
          </rPr>
          <t xml:space="preserve">
http://www.afdc.energy.gov/fuels/fuel_properties.php
</t>
        </r>
      </text>
    </comment>
    <comment ref="A237" authorId="0" shapeId="0" xr:uid="{00000000-0006-0000-0700-00001F000000}">
      <text>
        <r>
          <rPr>
            <b/>
            <sz val="9"/>
            <color indexed="81"/>
            <rFont val="Tahoma"/>
            <family val="2"/>
          </rPr>
          <t>ckinchin:</t>
        </r>
        <r>
          <rPr>
            <sz val="9"/>
            <color indexed="81"/>
            <rFont val="Tahoma"/>
            <family val="2"/>
          </rPr>
          <t xml:space="preserve">
http://www.afdc.energy.gov/fuels/fuel_properties.php
</t>
        </r>
      </text>
    </comment>
    <comment ref="A266" authorId="0" shapeId="0" xr:uid="{00000000-0006-0000-0700-000020000000}">
      <text>
        <r>
          <rPr>
            <b/>
            <sz val="9"/>
            <color indexed="81"/>
            <rFont val="Tahoma"/>
            <family val="2"/>
          </rPr>
          <t>ckinchin:</t>
        </r>
        <r>
          <rPr>
            <sz val="9"/>
            <color indexed="81"/>
            <rFont val="Tahoma"/>
            <family val="2"/>
          </rPr>
          <t xml:space="preserve">
http://www.afdc.energy.gov/fuels/fuel_properties.php
</t>
        </r>
      </text>
    </comment>
    <comment ref="A270" authorId="0" shapeId="0" xr:uid="{00000000-0006-0000-0700-000021000000}">
      <text>
        <r>
          <rPr>
            <b/>
            <sz val="9"/>
            <color indexed="81"/>
            <rFont val="Tahoma"/>
            <family val="2"/>
          </rPr>
          <t>ckinchin:</t>
        </r>
        <r>
          <rPr>
            <sz val="9"/>
            <color indexed="81"/>
            <rFont val="Tahoma"/>
            <family val="2"/>
          </rPr>
          <t xml:space="preserve">
http://www.afdc.energy.gov/fuels/fuel_properties.php
</t>
        </r>
      </text>
    </comment>
    <comment ref="A283" authorId="0" shapeId="0" xr:uid="{00000000-0006-0000-0700-000022000000}">
      <text>
        <r>
          <rPr>
            <b/>
            <sz val="9"/>
            <color indexed="81"/>
            <rFont val="Tahoma"/>
            <family val="2"/>
          </rPr>
          <t>ckinchin:</t>
        </r>
        <r>
          <rPr>
            <sz val="9"/>
            <color indexed="81"/>
            <rFont val="Tahoma"/>
            <family val="2"/>
          </rPr>
          <t xml:space="preserve">
http://www.afdc.energy.gov/fuels/fuel_properties.php
</t>
        </r>
      </text>
    </comment>
    <comment ref="A287" authorId="0" shapeId="0" xr:uid="{00000000-0006-0000-0700-000023000000}">
      <text>
        <r>
          <rPr>
            <b/>
            <sz val="9"/>
            <color indexed="81"/>
            <rFont val="Tahoma"/>
            <family val="2"/>
          </rPr>
          <t>ckinchin:</t>
        </r>
        <r>
          <rPr>
            <sz val="9"/>
            <color indexed="81"/>
            <rFont val="Tahoma"/>
            <family val="2"/>
          </rPr>
          <t xml:space="preserve">
http://www.afdc.energy.gov/fuels/fuel_properties.php
</t>
        </r>
      </text>
    </comment>
    <comment ref="A300" authorId="0" shapeId="0" xr:uid="{00000000-0006-0000-0700-000024000000}">
      <text>
        <r>
          <rPr>
            <b/>
            <sz val="9"/>
            <color indexed="81"/>
            <rFont val="Tahoma"/>
            <family val="2"/>
          </rPr>
          <t>ckinchin:</t>
        </r>
        <r>
          <rPr>
            <sz val="9"/>
            <color indexed="81"/>
            <rFont val="Tahoma"/>
            <family val="2"/>
          </rPr>
          <t xml:space="preserve">
http://www.afdc.energy.gov/fuels/fuel_properties.php
</t>
        </r>
      </text>
    </comment>
    <comment ref="A304" authorId="0" shapeId="0" xr:uid="{00000000-0006-0000-0700-000025000000}">
      <text>
        <r>
          <rPr>
            <b/>
            <sz val="9"/>
            <color indexed="81"/>
            <rFont val="Tahoma"/>
            <family val="2"/>
          </rPr>
          <t>ckinchin:</t>
        </r>
        <r>
          <rPr>
            <sz val="9"/>
            <color indexed="81"/>
            <rFont val="Tahoma"/>
            <family val="2"/>
          </rPr>
          <t xml:space="preserve">
http://www.afdc.energy.gov/fuels/fuel_properties.php
</t>
        </r>
      </text>
    </comment>
    <comment ref="A314" authorId="0" shapeId="0" xr:uid="{9D43B583-1ACF-434A-8D0A-3072A94673D7}">
      <text>
        <r>
          <rPr>
            <b/>
            <sz val="9"/>
            <color indexed="81"/>
            <rFont val="Tahoma"/>
            <family val="2"/>
          </rPr>
          <t>ckinchin:</t>
        </r>
        <r>
          <rPr>
            <sz val="9"/>
            <color indexed="81"/>
            <rFont val="Tahoma"/>
            <family val="2"/>
          </rPr>
          <t xml:space="preserve">
http://www.afdc.energy.gov/fuels/fuel_properties.php
</t>
        </r>
      </text>
    </comment>
    <comment ref="A327" authorId="0" shapeId="0" xr:uid="{D2E217B6-639A-4D02-A3A8-96E8E18288D1}">
      <text>
        <r>
          <rPr>
            <b/>
            <sz val="9"/>
            <color indexed="81"/>
            <rFont val="Tahoma"/>
            <family val="2"/>
          </rPr>
          <t>ckinchin:</t>
        </r>
        <r>
          <rPr>
            <sz val="9"/>
            <color indexed="81"/>
            <rFont val="Tahoma"/>
            <family val="2"/>
          </rPr>
          <t xml:space="preserve">
http://www.afdc.energy.gov/fuels/fuel_properties.php
</t>
        </r>
      </text>
    </comment>
    <comment ref="A340" authorId="1" shapeId="0" xr:uid="{9E6EA0F8-4472-415A-999C-4D71EE6B14A4}">
      <text>
        <r>
          <rPr>
            <b/>
            <sz val="9"/>
            <color indexed="81"/>
            <rFont val="Tahoma"/>
            <family val="2"/>
          </rPr>
          <t>Wang, Yuxi:</t>
        </r>
        <r>
          <rPr>
            <sz val="9"/>
            <color indexed="81"/>
            <rFont val="Tahoma"/>
            <family val="2"/>
          </rPr>
          <t xml:space="preserve">
http://www.afdc.energy.gov/fuels/fuel_properties.php</t>
        </r>
      </text>
    </comment>
    <comment ref="A357" authorId="0" shapeId="0" xr:uid="{00000000-0006-0000-0700-000026000000}">
      <text>
        <r>
          <rPr>
            <b/>
            <sz val="9"/>
            <color indexed="81"/>
            <rFont val="Tahoma"/>
            <family val="2"/>
          </rPr>
          <t>ckinchin:</t>
        </r>
        <r>
          <rPr>
            <sz val="9"/>
            <color indexed="81"/>
            <rFont val="Tahoma"/>
            <family val="2"/>
          </rPr>
          <t xml:space="preserve">
http://www.afdc.energy.gov/fuels/fuel_properties.php
</t>
        </r>
      </text>
    </comment>
    <comment ref="A358" authorId="0" shapeId="0" xr:uid="{00000000-0006-0000-0700-000027000000}">
      <text>
        <r>
          <rPr>
            <b/>
            <sz val="9"/>
            <color indexed="81"/>
            <rFont val="Tahoma"/>
            <family val="2"/>
          </rPr>
          <t>ckinchin:</t>
        </r>
        <r>
          <rPr>
            <sz val="9"/>
            <color indexed="81"/>
            <rFont val="Tahoma"/>
            <family val="2"/>
          </rPr>
          <t xml:space="preserve">
http://www.afdc.energy.gov/fuels/fuel_properties.php
</t>
        </r>
      </text>
    </comment>
    <comment ref="A362" authorId="0" shapeId="0" xr:uid="{00000000-0006-0000-0700-000028000000}">
      <text>
        <r>
          <rPr>
            <b/>
            <sz val="9"/>
            <color indexed="81"/>
            <rFont val="Tahoma"/>
            <family val="2"/>
          </rPr>
          <t>ckinchin:</t>
        </r>
        <r>
          <rPr>
            <sz val="9"/>
            <color indexed="81"/>
            <rFont val="Tahoma"/>
            <family val="2"/>
          </rPr>
          <t xml:space="preserve">
http://www.afdc.energy.gov/fuels/fuel_properties.php
</t>
        </r>
      </text>
    </comment>
    <comment ref="A363" authorId="0" shapeId="0" xr:uid="{00000000-0006-0000-0700-000029000000}">
      <text>
        <r>
          <rPr>
            <b/>
            <sz val="9"/>
            <color indexed="81"/>
            <rFont val="Tahoma"/>
            <family val="2"/>
          </rPr>
          <t>ckinchin:</t>
        </r>
        <r>
          <rPr>
            <sz val="9"/>
            <color indexed="81"/>
            <rFont val="Tahoma"/>
            <family val="2"/>
          </rPr>
          <t xml:space="preserve">
http://www.afdc.energy.gov/fuels/fuel_properties.php
</t>
        </r>
      </text>
    </comment>
    <comment ref="A387" authorId="0" shapeId="0" xr:uid="{7C1DC280-DCBF-47AE-921A-A0458D4EB887}">
      <text>
        <r>
          <rPr>
            <b/>
            <sz val="9"/>
            <color indexed="81"/>
            <rFont val="Tahoma"/>
            <family val="2"/>
          </rPr>
          <t>ckinchin:</t>
        </r>
        <r>
          <rPr>
            <sz val="9"/>
            <color indexed="81"/>
            <rFont val="Tahoma"/>
            <family val="2"/>
          </rPr>
          <t xml:space="preserve">
http://www.afdc.energy.gov/fuels/fuel_properties.php
</t>
        </r>
      </text>
    </comment>
    <comment ref="A389" authorId="0" shapeId="0" xr:uid="{FBEE8C9B-CC3F-46DB-94A2-72B0AD7BE370}">
      <text>
        <r>
          <rPr>
            <b/>
            <sz val="9"/>
            <color indexed="81"/>
            <rFont val="Tahoma"/>
            <family val="2"/>
          </rPr>
          <t>ckinchin:</t>
        </r>
        <r>
          <rPr>
            <sz val="9"/>
            <color indexed="81"/>
            <rFont val="Tahoma"/>
            <family val="2"/>
          </rPr>
          <t xml:space="preserve">
http://www.afdc.energy.gov/fuels/fuel_properties.php
</t>
        </r>
      </text>
    </comment>
    <comment ref="A394" authorId="0" shapeId="0" xr:uid="{0EE8379B-7141-4AFE-8873-6614E2AE6D4A}">
      <text>
        <r>
          <rPr>
            <b/>
            <sz val="9"/>
            <color indexed="81"/>
            <rFont val="Tahoma"/>
            <family val="2"/>
          </rPr>
          <t>ckinchin:</t>
        </r>
        <r>
          <rPr>
            <sz val="9"/>
            <color indexed="81"/>
            <rFont val="Tahoma"/>
            <family val="2"/>
          </rPr>
          <t xml:space="preserve">
http://www.afdc.energy.gov/fuels/fuel_properties.php
</t>
        </r>
      </text>
    </comment>
    <comment ref="A395" authorId="0" shapeId="0" xr:uid="{E535FD6B-B611-4CA9-AAF7-76B7B0D57AEE}">
      <text>
        <r>
          <rPr>
            <b/>
            <sz val="9"/>
            <color indexed="81"/>
            <rFont val="Tahoma"/>
            <family val="2"/>
          </rPr>
          <t>ckinchin:</t>
        </r>
        <r>
          <rPr>
            <sz val="9"/>
            <color indexed="81"/>
            <rFont val="Tahoma"/>
            <family val="2"/>
          </rPr>
          <t xml:space="preserve">
http://www.afdc.energy.gov/fuels/fuel_properties.php
</t>
        </r>
      </text>
    </comment>
    <comment ref="A401" authorId="0" shapeId="0" xr:uid="{2F19D4B1-866F-4C96-9FF4-0D516FF360A9}">
      <text>
        <r>
          <rPr>
            <b/>
            <sz val="9"/>
            <color indexed="81"/>
            <rFont val="Tahoma"/>
            <family val="2"/>
          </rPr>
          <t>ckinchin:</t>
        </r>
        <r>
          <rPr>
            <sz val="9"/>
            <color indexed="81"/>
            <rFont val="Tahoma"/>
            <family val="2"/>
          </rPr>
          <t xml:space="preserve">
From Setup page of DCFROR workbook.
</t>
        </r>
      </text>
    </comment>
    <comment ref="A402" authorId="0" shapeId="0" xr:uid="{2D0452A6-1F5E-49A5-AA08-5328D95B2A65}">
      <text>
        <r>
          <rPr>
            <b/>
            <sz val="9"/>
            <color indexed="81"/>
            <rFont val="Tahoma"/>
            <family val="2"/>
          </rPr>
          <t>ckinchin:</t>
        </r>
        <r>
          <rPr>
            <sz val="9"/>
            <color indexed="81"/>
            <rFont val="Tahoma"/>
            <family val="2"/>
          </rPr>
          <t xml:space="preserve">
http://www.afdc.energy.gov/fuels/fuel_properties.php
</t>
        </r>
      </text>
    </comment>
    <comment ref="A403" authorId="0" shapeId="0" xr:uid="{0851460F-D1D4-4168-BCD8-106541E15F7F}">
      <text>
        <r>
          <rPr>
            <b/>
            <sz val="9"/>
            <color indexed="81"/>
            <rFont val="Tahoma"/>
            <family val="2"/>
          </rPr>
          <t>ckinchin:</t>
        </r>
        <r>
          <rPr>
            <sz val="9"/>
            <color indexed="81"/>
            <rFont val="Tahoma"/>
            <family val="2"/>
          </rPr>
          <t xml:space="preserve">
http://www.afdc.energy.gov/fuels/fuel_properties.php
</t>
        </r>
      </text>
    </comment>
    <comment ref="A427" authorId="0" shapeId="0" xr:uid="{00000000-0006-0000-0700-000030000000}">
      <text>
        <r>
          <rPr>
            <b/>
            <sz val="9"/>
            <color indexed="81"/>
            <rFont val="Tahoma"/>
            <family val="2"/>
          </rPr>
          <t>ckinchin:</t>
        </r>
        <r>
          <rPr>
            <sz val="9"/>
            <color indexed="81"/>
            <rFont val="Tahoma"/>
            <family val="2"/>
          </rPr>
          <t xml:space="preserve">
http://www.afdc.energy.gov/fuels/fuel_properties.php
</t>
        </r>
      </text>
    </comment>
    <comment ref="A431" authorId="0" shapeId="0" xr:uid="{00000000-0006-0000-0700-000031000000}">
      <text>
        <r>
          <rPr>
            <b/>
            <sz val="9"/>
            <color indexed="81"/>
            <rFont val="Tahoma"/>
            <family val="2"/>
          </rPr>
          <t>ckinchin:</t>
        </r>
        <r>
          <rPr>
            <sz val="9"/>
            <color indexed="81"/>
            <rFont val="Tahoma"/>
            <family val="2"/>
          </rPr>
          <t xml:space="preserve">
http://www.afdc.energy.gov/fuels/fuel_properties.php
</t>
        </r>
      </text>
    </comment>
    <comment ref="A443" authorId="0" shapeId="0" xr:uid="{00000000-0006-0000-0700-000032000000}">
      <text>
        <r>
          <rPr>
            <b/>
            <sz val="9"/>
            <color indexed="81"/>
            <rFont val="Tahoma"/>
            <family val="2"/>
          </rPr>
          <t>ckinchin:</t>
        </r>
        <r>
          <rPr>
            <sz val="9"/>
            <color indexed="81"/>
            <rFont val="Tahoma"/>
            <family val="2"/>
          </rPr>
          <t xml:space="preserve">
http://www.afdc.energy.gov/fuels/fuel_properties.php
</t>
        </r>
      </text>
    </comment>
    <comment ref="A447" authorId="0" shapeId="0" xr:uid="{00000000-0006-0000-0700-000033000000}">
      <text>
        <r>
          <rPr>
            <b/>
            <sz val="9"/>
            <color indexed="81"/>
            <rFont val="Tahoma"/>
            <family val="2"/>
          </rPr>
          <t>ckinchin:</t>
        </r>
        <r>
          <rPr>
            <sz val="9"/>
            <color indexed="81"/>
            <rFont val="Tahoma"/>
            <family val="2"/>
          </rPr>
          <t xml:space="preserve">
http://www.afdc.energy.gov/fuels/fuel_properties.php
</t>
        </r>
      </text>
    </comment>
    <comment ref="A458" authorId="0" shapeId="0" xr:uid="{A27A5913-E21A-4BF3-904E-63153F54FD8A}">
      <text>
        <r>
          <rPr>
            <b/>
            <sz val="9"/>
            <color indexed="81"/>
            <rFont val="Tahoma"/>
            <family val="2"/>
          </rPr>
          <t>ckinchin:</t>
        </r>
        <r>
          <rPr>
            <sz val="9"/>
            <color indexed="81"/>
            <rFont val="Tahoma"/>
            <family val="2"/>
          </rPr>
          <t xml:space="preserve">
http://www.afdc.energy.gov/fuels/fuel_properties.php
</t>
        </r>
      </text>
    </comment>
    <comment ref="A462" authorId="0" shapeId="0" xr:uid="{DF3C352A-D5D0-4A2E-90B4-3C8E6A6C3EE5}">
      <text>
        <r>
          <rPr>
            <b/>
            <sz val="9"/>
            <color indexed="81"/>
            <rFont val="Tahoma"/>
            <family val="2"/>
          </rPr>
          <t>ckinchin:</t>
        </r>
        <r>
          <rPr>
            <sz val="9"/>
            <color indexed="81"/>
            <rFont val="Tahoma"/>
            <family val="2"/>
          </rPr>
          <t xml:space="preserve">
http://www.afdc.energy.gov/fuels/fuel_properties.php
</t>
        </r>
      </text>
    </comment>
    <comment ref="A473" authorId="1" shapeId="0" xr:uid="{7F06F91B-DA69-4911-B169-2E642BEE668B}">
      <text>
        <r>
          <rPr>
            <b/>
            <sz val="9"/>
            <color indexed="81"/>
            <rFont val="Tahoma"/>
            <family val="2"/>
          </rPr>
          <t>Wang, Yuxi:</t>
        </r>
        <r>
          <rPr>
            <sz val="9"/>
            <color indexed="81"/>
            <rFont val="Tahoma"/>
            <family val="2"/>
          </rPr>
          <t xml:space="preserve">
http://www.afdc.energy.gov/fuels/fuel_properties.php
LHV range: 112,114 - 116,090 Btu/gal (g)</t>
        </r>
      </text>
    </comment>
    <comment ref="A477" authorId="1" shapeId="0" xr:uid="{680949FD-03A0-484F-93F8-9BD01B765CF2}">
      <text>
        <r>
          <rPr>
            <b/>
            <sz val="9"/>
            <color indexed="81"/>
            <rFont val="Tahoma"/>
            <family val="2"/>
          </rPr>
          <t>Wang, Yuxi:</t>
        </r>
        <r>
          <rPr>
            <sz val="9"/>
            <color indexed="81"/>
            <rFont val="Tahoma"/>
            <family val="2"/>
          </rPr>
          <t xml:space="preserve">
http://www.afdc.energy.gov/fuels/fuel_properties.php
LHV range: 112,114 - 116,090 Btu/gal (g)</t>
        </r>
      </text>
    </comment>
    <comment ref="A495" authorId="0" shapeId="0" xr:uid="{00000000-0006-0000-0700-000034000000}">
      <text>
        <r>
          <rPr>
            <b/>
            <sz val="9"/>
            <color indexed="81"/>
            <rFont val="Tahoma"/>
            <family val="2"/>
          </rPr>
          <t>ckinchin:</t>
        </r>
        <r>
          <rPr>
            <sz val="9"/>
            <color indexed="81"/>
            <rFont val="Tahoma"/>
            <family val="2"/>
          </rPr>
          <t xml:space="preserve">
http://www.afdc.energy.gov/fuels/fuel_properties.php
</t>
        </r>
      </text>
    </comment>
    <comment ref="A496" authorId="0" shapeId="0" xr:uid="{00000000-0006-0000-0700-000035000000}">
      <text>
        <r>
          <rPr>
            <b/>
            <sz val="9"/>
            <color indexed="81"/>
            <rFont val="Tahoma"/>
            <family val="2"/>
          </rPr>
          <t>ckinchin:</t>
        </r>
        <r>
          <rPr>
            <sz val="9"/>
            <color indexed="81"/>
            <rFont val="Tahoma"/>
            <family val="2"/>
          </rPr>
          <t xml:space="preserve">
http://www.afdc.energy.gov/fuels/fuel_properties.php
</t>
        </r>
      </text>
    </comment>
    <comment ref="A501" authorId="0" shapeId="0" xr:uid="{00000000-0006-0000-0700-000036000000}">
      <text>
        <r>
          <rPr>
            <b/>
            <sz val="9"/>
            <color indexed="81"/>
            <rFont val="Tahoma"/>
            <family val="2"/>
          </rPr>
          <t>ckinchin:</t>
        </r>
        <r>
          <rPr>
            <sz val="9"/>
            <color indexed="81"/>
            <rFont val="Tahoma"/>
            <family val="2"/>
          </rPr>
          <t xml:space="preserve">
http://www.afdc.energy.gov/fuels/fuel_properties.php
</t>
        </r>
      </text>
    </comment>
    <comment ref="A502" authorId="0" shapeId="0" xr:uid="{00000000-0006-0000-0700-000037000000}">
      <text>
        <r>
          <rPr>
            <b/>
            <sz val="9"/>
            <color indexed="81"/>
            <rFont val="Tahoma"/>
            <family val="2"/>
          </rPr>
          <t>ckinchin:</t>
        </r>
        <r>
          <rPr>
            <sz val="9"/>
            <color indexed="81"/>
            <rFont val="Tahoma"/>
            <family val="2"/>
          </rPr>
          <t xml:space="preserve">
http://www.afdc.energy.gov/fuels/fuel_properties.php
</t>
        </r>
      </text>
    </comment>
    <comment ref="A526" authorId="0" shapeId="0" xr:uid="{00000000-0006-0000-0700-000038000000}">
      <text>
        <r>
          <rPr>
            <b/>
            <sz val="9"/>
            <color indexed="81"/>
            <rFont val="Tahoma"/>
            <family val="2"/>
          </rPr>
          <t>ckinchin:</t>
        </r>
        <r>
          <rPr>
            <sz val="9"/>
            <color indexed="81"/>
            <rFont val="Tahoma"/>
            <family val="2"/>
          </rPr>
          <t xml:space="preserve">
http://www.afdc.energy.gov/fuels/fuel_properties.php
</t>
        </r>
      </text>
    </comment>
    <comment ref="A527" authorId="0" shapeId="0" xr:uid="{00000000-0006-0000-0700-000039000000}">
      <text>
        <r>
          <rPr>
            <b/>
            <sz val="9"/>
            <color indexed="81"/>
            <rFont val="Tahoma"/>
            <family val="2"/>
          </rPr>
          <t>ckinchin:</t>
        </r>
        <r>
          <rPr>
            <sz val="9"/>
            <color indexed="81"/>
            <rFont val="Tahoma"/>
            <family val="2"/>
          </rPr>
          <t xml:space="preserve">
http://www.afdc.energy.gov/fuels/fuel_properties.php
</t>
        </r>
      </text>
    </comment>
    <comment ref="A554" authorId="0" shapeId="0" xr:uid="{00000000-0006-0000-0700-00003A000000}">
      <text>
        <r>
          <rPr>
            <b/>
            <sz val="9"/>
            <color indexed="81"/>
            <rFont val="Tahoma"/>
            <family val="2"/>
          </rPr>
          <t>ckinchin:</t>
        </r>
        <r>
          <rPr>
            <sz val="9"/>
            <color indexed="81"/>
            <rFont val="Tahoma"/>
            <family val="2"/>
          </rPr>
          <t xml:space="preserve">
http://www.afdc.energy.gov/fuels/fuel_properties.php
</t>
        </r>
      </text>
    </comment>
    <comment ref="A555" authorId="0" shapeId="0" xr:uid="{00000000-0006-0000-0700-00003B000000}">
      <text>
        <r>
          <rPr>
            <b/>
            <sz val="9"/>
            <color indexed="81"/>
            <rFont val="Tahoma"/>
            <family val="2"/>
          </rPr>
          <t>ckinchin:</t>
        </r>
        <r>
          <rPr>
            <sz val="9"/>
            <color indexed="81"/>
            <rFont val="Tahoma"/>
            <family val="2"/>
          </rPr>
          <t xml:space="preserve">
http://www.afdc.energy.gov/fuels/fuel_properties.php
</t>
        </r>
      </text>
    </comment>
    <comment ref="A574" authorId="0" shapeId="0" xr:uid="{2900D2ED-050E-4DE9-ADA4-6129E8688511}">
      <text>
        <r>
          <rPr>
            <b/>
            <sz val="9"/>
            <color indexed="81"/>
            <rFont val="Tahoma"/>
            <family val="2"/>
          </rPr>
          <t>ckinchin:</t>
        </r>
        <r>
          <rPr>
            <sz val="9"/>
            <color indexed="81"/>
            <rFont val="Tahoma"/>
            <family val="2"/>
          </rPr>
          <t xml:space="preserve">
From Aspen calculations.</t>
        </r>
      </text>
    </comment>
    <comment ref="A575" authorId="0" shapeId="0" xr:uid="{1ED3B4A7-5FC7-4E24-99CC-C54300155317}">
      <text>
        <r>
          <rPr>
            <b/>
            <sz val="9"/>
            <color indexed="81"/>
            <rFont val="Tahoma"/>
            <family val="2"/>
          </rPr>
          <t>ckinchin:</t>
        </r>
        <r>
          <rPr>
            <sz val="9"/>
            <color indexed="81"/>
            <rFont val="Tahoma"/>
            <family val="2"/>
          </rPr>
          <t xml:space="preserve">
From Aspen calculations.</t>
        </r>
      </text>
    </comment>
    <comment ref="A597" authorId="1" shapeId="0" xr:uid="{71DA3960-12AB-488E-B267-294AE6D9D339}">
      <text>
        <r>
          <rPr>
            <b/>
            <sz val="9"/>
            <color indexed="81"/>
            <rFont val="Tahoma"/>
            <family val="2"/>
          </rPr>
          <t>Wang, Yuxi:</t>
        </r>
        <r>
          <rPr>
            <sz val="9"/>
            <color indexed="81"/>
            <rFont val="Tahoma"/>
            <family val="2"/>
          </rPr>
          <t xml:space="preserve">
http://www.afdc.energy.gov/fuels/fuel_properties.php
LHV range: 112,114 - 116,090 Btu/gal (g)</t>
        </r>
      </text>
    </comment>
    <comment ref="A601" authorId="1" shapeId="0" xr:uid="{FD0F2F72-36E0-499B-8158-2334DEB44E8A}">
      <text>
        <r>
          <rPr>
            <b/>
            <sz val="9"/>
            <color indexed="81"/>
            <rFont val="Tahoma"/>
            <family val="2"/>
          </rPr>
          <t>Wang, Yuxi:</t>
        </r>
        <r>
          <rPr>
            <sz val="9"/>
            <color indexed="81"/>
            <rFont val="Tahoma"/>
            <family val="2"/>
          </rPr>
          <t xml:space="preserve">
http://www.afdc.energy.gov/fuels/fuel_properties.php
LHV range: 112,114 - 116,090 Btu/gal (g)</t>
        </r>
      </text>
    </comment>
  </commentList>
</comments>
</file>

<file path=xl/sharedStrings.xml><?xml version="1.0" encoding="utf-8"?>
<sst xmlns="http://schemas.openxmlformats.org/spreadsheetml/2006/main" count="1781" uniqueCount="775">
  <si>
    <t>Report Title</t>
  </si>
  <si>
    <t>Author</t>
  </si>
  <si>
    <t>Publication Date</t>
  </si>
  <si>
    <t>url</t>
  </si>
  <si>
    <t>Final Product</t>
  </si>
  <si>
    <t>Gasoline from Wood via Integrated Gasification, Synthesis, and Methanol-to-Gasoline Technologies</t>
  </si>
  <si>
    <t>Steven D. Phillips, Joan K. Tarud, Mary J. Biddy, and Abhijit Dutta</t>
  </si>
  <si>
    <t>www.nrel.gov/docs/fy11osti/47594.pdf</t>
  </si>
  <si>
    <t>Gasoline</t>
  </si>
  <si>
    <t>Feedstock Type</t>
  </si>
  <si>
    <t>Hybrid Poplar Wood Chips</t>
  </si>
  <si>
    <t>Nameplate Capacity, dry metric tonnes per day</t>
  </si>
  <si>
    <t>Percent time on stream</t>
  </si>
  <si>
    <t>Product Yield</t>
  </si>
  <si>
    <t>Heating values used for GGE calculations come from the Hydrogen Analysis Resource Center webpage:  http://hydrogen.pnl.gov/cocoon/morf/hydrogen/site_specific/fuel_heating_calculator?canprint=false</t>
  </si>
  <si>
    <t>Product Yield, GGE/tonne of feedstock</t>
  </si>
  <si>
    <t>Product Yield, MMGal/yr gasoline</t>
  </si>
  <si>
    <t>Capacity, dry tonnes feedstock/day</t>
  </si>
  <si>
    <t>Product Yield, Gal/day gasoline</t>
  </si>
  <si>
    <t>Total Installed Capital (TIC)</t>
  </si>
  <si>
    <t>Cost Year</t>
  </si>
  <si>
    <t>Feed Handling and Drying</t>
  </si>
  <si>
    <t>Gasification</t>
  </si>
  <si>
    <t>MTG Process Conversion</t>
  </si>
  <si>
    <t>Separations</t>
  </si>
  <si>
    <t>Steam System &amp; Power Generation</t>
  </si>
  <si>
    <t>Cooling Water &amp; Other Utilities</t>
  </si>
  <si>
    <t>Construction time, years</t>
  </si>
  <si>
    <t>Revenues (% of Normal)</t>
  </si>
  <si>
    <t>Variable Costs (% of Normal)</t>
  </si>
  <si>
    <t>Fixed Cost (% of Normal)</t>
  </si>
  <si>
    <t>% Spent in Year -3</t>
  </si>
  <si>
    <t>% Spent in Year -2</t>
  </si>
  <si>
    <t>% Spent in Year -1</t>
  </si>
  <si>
    <t>Equity</t>
  </si>
  <si>
    <t>Loan Interest</t>
  </si>
  <si>
    <t>Loan Term, years</t>
  </si>
  <si>
    <t>Annual Loan Payment</t>
  </si>
  <si>
    <t>Working Capital (% of FCI)</t>
  </si>
  <si>
    <t>Fixed Capital Investment (FCI)</t>
  </si>
  <si>
    <t>Salvage Value</t>
  </si>
  <si>
    <t>General Plant</t>
  </si>
  <si>
    <t>Steam Plant</t>
  </si>
  <si>
    <t>Type of Depreciation</t>
  </si>
  <si>
    <t>Depreciation Period, years</t>
  </si>
  <si>
    <t>Internal Rate of Return</t>
  </si>
  <si>
    <t>Income Tax Rate</t>
  </si>
  <si>
    <t>Energy Production Rate (MM Btu/yr)</t>
  </si>
  <si>
    <t>Total Energy Price ($/MMBtu)</t>
  </si>
  <si>
    <t>Capital Costs</t>
  </si>
  <si>
    <t>DCFROR Data</t>
  </si>
  <si>
    <t>Fixed Costs</t>
  </si>
  <si>
    <t>Operating Costs (per year at 100% time on stream)</t>
  </si>
  <si>
    <t>MgO</t>
  </si>
  <si>
    <t>Boiler Chemicals</t>
  </si>
  <si>
    <t>Cooling Tower Chemicals</t>
  </si>
  <si>
    <t>No. 2 Diesel Fuel</t>
  </si>
  <si>
    <t>Electricity</t>
  </si>
  <si>
    <t>Adjustments to cost year are made using the Chemical Engineering Magazine Plant Cost Index, SRI Inorganic Chemical Index, and Bureau of Labor Statistics Labor Index for Chemical Production Workers.</t>
  </si>
  <si>
    <t>Equipment:  Chemical Engineering Magazine Plant Cost Index</t>
  </si>
  <si>
    <t>Chemicals, Materials:  SRI Inorganic Chemical Index</t>
  </si>
  <si>
    <t>Labor:  Bureau of Labor Statistics Labor Index for Chemical Production Workers.</t>
  </si>
  <si>
    <t>Natural Gas</t>
  </si>
  <si>
    <t>Feedstock</t>
  </si>
  <si>
    <t>Catalysts</t>
  </si>
  <si>
    <t>Olivine</t>
  </si>
  <si>
    <t>Other Raw Material Costs</t>
  </si>
  <si>
    <t>Waste Disposal</t>
  </si>
  <si>
    <t>Employee Salaries</t>
  </si>
  <si>
    <t>Minimum Fuel Selling Price ($/GGE)</t>
  </si>
  <si>
    <t>Feedstock capacity in dry metric tonnes per day.  Assumes the facility is on stream 100%.</t>
  </si>
  <si>
    <t>Reported in gallons of gasoline equivalent of main product per dry tonne of feedstock.</t>
  </si>
  <si>
    <t>Minimum Fuel Selling Price (MFSP), $/gge</t>
  </si>
  <si>
    <t xml:space="preserve">Reported in dollars per gallon of gasoline equivalent (gge) of main product required to yield return on investment (ROI) specified in the DCFROR section.  </t>
  </si>
  <si>
    <t>Minimum Fuel Selling Price ($/gge)</t>
  </si>
  <si>
    <t>Replacement Costs</t>
  </si>
  <si>
    <t>MACRS</t>
  </si>
  <si>
    <t>Product Yield, GGE/dry ton of feedstock</t>
  </si>
  <si>
    <t>Coproducts</t>
  </si>
  <si>
    <t>Includes only the main products.  Does not include co-products.</t>
  </si>
  <si>
    <t>Coproducts may be "sold" internally to the process and counted as coproducts in the financial analysis, but this is usually not the case.</t>
  </si>
  <si>
    <t>Feedstock Cost</t>
  </si>
  <si>
    <t>This is inconsistent with the units used for nameplate capacity, dry metric tonnes.</t>
  </si>
  <si>
    <t>Calculated as Days on stream divided by 365.</t>
  </si>
  <si>
    <t>Operating Costs</t>
  </si>
  <si>
    <t>Fixed and operating costs assuming 100% time on-stream (nameplate capacity).</t>
  </si>
  <si>
    <t xml:space="preserve">Assuming 100% time on-stream provides a more consistent comparison of variable operating costs between published sources. </t>
  </si>
  <si>
    <t>Sum of direct and indirect capital costs, but does not include working capital.</t>
  </si>
  <si>
    <t>Indirect capital costs include field expenses, office construction, contingency, etc.</t>
  </si>
  <si>
    <t>In most cases the direct capital cost is total installed depreciable capital (TIC minus land cost) plus site development and warehouse capital costs.</t>
  </si>
  <si>
    <t>Working Capital</t>
  </si>
  <si>
    <t>Calculated as a percent of fixed capital investment.</t>
  </si>
  <si>
    <t>Salvage values used in equipment depreciation calculations.  In most cases a salvage value of zero dollars is assumed for both the general plant and the steam plant.</t>
  </si>
  <si>
    <t>Options are straight line (SL), declining balance (DB), double declining balance (DDB), and modified accelerated cost recovery system (MACRS).</t>
  </si>
  <si>
    <t>Depreciation percent of straight line</t>
  </si>
  <si>
    <t>Depreciation period</t>
  </si>
  <si>
    <t>May be different for general plant and steam plant.</t>
  </si>
  <si>
    <t>Construction time</t>
  </si>
  <si>
    <t>Time required to construct the facility.</t>
  </si>
  <si>
    <t>Includes the percent of fixed capital investment spent and loan principle accrued in each year of construction.</t>
  </si>
  <si>
    <t>Startup time</t>
  </si>
  <si>
    <t>Specifies fuel production and operating costs as a percent that would be realized in a full year after startup.</t>
  </si>
  <si>
    <t>Energy Production Rate</t>
  </si>
  <si>
    <t>Total heating value of all main products and coproducts, per year, unless specified as including only the main product.</t>
  </si>
  <si>
    <t>Heating values used for Energy Production Rate calculations come from the Hydrogen Analysis Resource Center webpage:  http://hydrogen.pnl.gov/cocoon/morf/hydrogen/site_specific/fuel_heating_calculator?canprint=false</t>
  </si>
  <si>
    <t>Net Present Value</t>
  </si>
  <si>
    <t>Used to calculate discount factor of each year of cash flow analysis.</t>
  </si>
  <si>
    <t>Sum of the annual present values (yearly cash flows times discount rates) from start of construction through the end of the project lifetime.</t>
  </si>
  <si>
    <t>Total Energy Price</t>
  </si>
  <si>
    <t>The total energy in the calculation usually includes the sum of energy from all external products (main products and coproducts).</t>
  </si>
  <si>
    <t>Products that are not the main transportation fuel product.  Examples may be DDGS, light hydrocarbons, electricity, etc.</t>
  </si>
  <si>
    <t>Nameplate Capacity</t>
  </si>
  <si>
    <t>Includes the sum of scaled, installed capital costs adjusted to the reported cost year. This includes non-depreciable capital costs such as land.</t>
  </si>
  <si>
    <t>Used in depreciation calculations if declining balance and double declining balance deprecation methods are used.</t>
  </si>
  <si>
    <t>Time after construction required to ramp up to full operating capacity.</t>
  </si>
  <si>
    <t>Net present value is intentionally set to zero in the discounted cash flow rate of return (DCFROR) calculations to calculate the minimum fuel selling price at the plant gate required to meet the specified internal rate of return.</t>
  </si>
  <si>
    <t>Variable Costs ($s/yr)</t>
  </si>
  <si>
    <t>Cost Dollar Year of Analysis</t>
  </si>
  <si>
    <t>Hydroprocessing</t>
  </si>
  <si>
    <t>Hydrocracking</t>
  </si>
  <si>
    <t>Hydrogen Plant</t>
  </si>
  <si>
    <t>Waste Water Treatment</t>
  </si>
  <si>
    <t>Hydrogen</t>
  </si>
  <si>
    <t>Product Seperation</t>
  </si>
  <si>
    <t xml:space="preserve">Feed Handling </t>
  </si>
  <si>
    <t>On-site Enzyme Production</t>
  </si>
  <si>
    <t>Sulfuric Acid</t>
  </si>
  <si>
    <t>WWT Chemicals</t>
  </si>
  <si>
    <t>Make-up Water</t>
  </si>
  <si>
    <t xml:space="preserve">Buffer Agent </t>
  </si>
  <si>
    <t>Hydrothermal Liquefaction Reactor System</t>
  </si>
  <si>
    <t>Storage</t>
  </si>
  <si>
    <t>Tar Reforming, Quench, Acid Gas and Sulfur Removal</t>
  </si>
  <si>
    <t xml:space="preserve">      Total Installed Capital (TIC)</t>
  </si>
  <si>
    <t>Engineering</t>
  </si>
  <si>
    <t>Construction</t>
  </si>
  <si>
    <t>Legal and Contractors Fees</t>
  </si>
  <si>
    <t>Project Contingency</t>
  </si>
  <si>
    <t xml:space="preserve">      Fixed Capital Investment (FCI)</t>
  </si>
  <si>
    <t>Process Design and Economics for the Conversion of Lignocellulosic Biomass to Hydrocarbons:  Dilute Acid and Enzymatic Deconstruction of Biomass to Sugars and Biological Conversion of Sugars to Hydrocarbons</t>
  </si>
  <si>
    <t>R. Davis, L. Tao, E.C.D. Tan, M.J. Biddy, G.T. Beckham, C. Scarlata, J. Jacobson, K. Cafferty, J. Ross, J. Lukas, D. Knor, and P. Schoen</t>
  </si>
  <si>
    <t>Renewable Diesel Blendstock</t>
  </si>
  <si>
    <t>http://www.pnl.gov/main/publications/external/technical_reports/PNNL-18284.pdf</t>
  </si>
  <si>
    <t>Production of Gasoline and Diesel from Biomass via Fast Pyrolysis, Hydrotreating and Hydrocracking: A Design Case</t>
  </si>
  <si>
    <t>S.B.  Jones, J.EE Holladay, C. Valkenburg, D.J. Stevens, C.W. Walton, C. Kinchin, D.C. Elliott, S. Czernik</t>
  </si>
  <si>
    <t>Gasoline and Diesel Blendstocks</t>
  </si>
  <si>
    <t>Diesel</t>
  </si>
  <si>
    <t>Product Yield, lb/100lb feed</t>
  </si>
  <si>
    <t>Product Yield, gal/100lb feed</t>
  </si>
  <si>
    <t>Density, lb/gal</t>
  </si>
  <si>
    <t>Lower Heating Value, Btu/gal</t>
  </si>
  <si>
    <t>GGE</t>
  </si>
  <si>
    <t>Product Yield, gal/dry ton feedstock</t>
  </si>
  <si>
    <t>Product Yield, GGE/dry ton feedstock</t>
  </si>
  <si>
    <t>Product Recovery</t>
  </si>
  <si>
    <t>Capital Depreciation</t>
  </si>
  <si>
    <t>Average Income Tax</t>
  </si>
  <si>
    <t>Average Return on Investment</t>
  </si>
  <si>
    <t>Production, MM gal/yr</t>
  </si>
  <si>
    <t>Production, MM Btu/yr</t>
  </si>
  <si>
    <t>Minimum Fuel Selling Price ($/gal)</t>
  </si>
  <si>
    <t>Lower Heating Value, MMBtu/gal</t>
  </si>
  <si>
    <t>Process Design and Economics for the Conversion of Lignocellulosic Biomass to Hydrocarbon Fuels, Fast Pyrolysis and Hydrotreating Bio-Oil Pathway</t>
  </si>
  <si>
    <t>Susan Jones, Pimphan Meyer, Lesley Snowden-Swan, Asandga Padmaperuma, Erik Tan, Abhijit Dutta, Jacob Jacobson, Kara Cafferty</t>
  </si>
  <si>
    <t>Site Development</t>
  </si>
  <si>
    <t>Prorated Expenses</t>
  </si>
  <si>
    <t>Field Expenses</t>
  </si>
  <si>
    <t>Pyrolysis</t>
  </si>
  <si>
    <t>Feedstock + Handling</t>
  </si>
  <si>
    <t>Electricity and other utilities</t>
  </si>
  <si>
    <t>http://www.pnnl.gov/main/publications/external/technical_reports/PNNL-23053.pdf</t>
  </si>
  <si>
    <t>SB Jones, Y Zhu</t>
  </si>
  <si>
    <t>Capacity, tonnes/day</t>
  </si>
  <si>
    <t>Capacity, tons/day</t>
  </si>
  <si>
    <t>% of total</t>
  </si>
  <si>
    <t>Biomass</t>
  </si>
  <si>
    <t>Catalysts and Chemicals</t>
  </si>
  <si>
    <t>Electricity and Other Utilities</t>
  </si>
  <si>
    <t>LPG Credit</t>
  </si>
  <si>
    <t>MM$/yr</t>
  </si>
  <si>
    <t>at 90% capacity</t>
  </si>
  <si>
    <t>at 100% capacity</t>
  </si>
  <si>
    <t>Operating Costs (from Table 4-2 of design report)</t>
  </si>
  <si>
    <t>Directly-Heated Gasifier</t>
  </si>
  <si>
    <t>PSA Unit</t>
  </si>
  <si>
    <t>Indirect Costs (from Table 3-2 of design report)</t>
  </si>
  <si>
    <t>Legal and Contractor Fees</t>
  </si>
  <si>
    <t>% of TPEC</t>
  </si>
  <si>
    <t>Total Purchased Equipment Cost</t>
  </si>
  <si>
    <t>Total Installed Capital</t>
  </si>
  <si>
    <t>Land</t>
  </si>
  <si>
    <t>MFSP, $/gal</t>
  </si>
  <si>
    <t>Energy Price ($/MMBtu)</t>
  </si>
  <si>
    <t>Yunhua Zhu, Susanne B. Jones, Mary J. Biddy, Robert A. Dagle, Daniel R. Palo</t>
  </si>
  <si>
    <t>http://www.sciencedirect.com/science/article/pii/S0960852412006293</t>
  </si>
  <si>
    <t>Case/Scenario</t>
  </si>
  <si>
    <t>State of Technology (SOT)</t>
  </si>
  <si>
    <t>Goal</t>
  </si>
  <si>
    <t>Conventional</t>
  </si>
  <si>
    <t>Gasoline Blendstock</t>
  </si>
  <si>
    <t>Low-Ash Wood Chips</t>
  </si>
  <si>
    <t>State of Technology</t>
  </si>
  <si>
    <t xml:space="preserve">      Total Capital Investment (TCI)</t>
  </si>
  <si>
    <t>http://www.sciencedirect.com/science/article/pii/S0306261914002840#</t>
  </si>
  <si>
    <t>Yunhua Zhu, Mary J. Biddy, Susanne B. Jones, Douglas C. Elliot, Andrew J. Schmidt</t>
  </si>
  <si>
    <t>Woody Biomass</t>
  </si>
  <si>
    <t>Maintenance Materials</t>
  </si>
  <si>
    <t>Missing Equipment</t>
  </si>
  <si>
    <t>Co-product credits</t>
  </si>
  <si>
    <t>Lower Heating Value, MM Btu/gal</t>
  </si>
  <si>
    <t>Nameplate Capacity, dry short tons per day</t>
  </si>
  <si>
    <t>http://www.nrel.gov/docs/fy14osti/60223.pdf</t>
  </si>
  <si>
    <t>Installed Capital Costs</t>
  </si>
  <si>
    <t xml:space="preserve">Maintenance </t>
  </si>
  <si>
    <t>Capacity, dry short tons per year</t>
  </si>
  <si>
    <t>Indirectly Heated Gasifier</t>
  </si>
  <si>
    <t>Directly Heated Gasifier</t>
  </si>
  <si>
    <t>Insurance and Taxes</t>
  </si>
  <si>
    <t>Feedstock Cost ($ per dry ton)</t>
  </si>
  <si>
    <t>Indirectly-Heated Gasifier</t>
  </si>
  <si>
    <t>Capacity, dry short tons per day</t>
  </si>
  <si>
    <t>DDB</t>
  </si>
  <si>
    <t>MACR</t>
  </si>
  <si>
    <t>http://www.nrel.gov/docs/fy12osti/55431.pdf</t>
  </si>
  <si>
    <t>http://www.osti.gov/scitech/biblio/1059031</t>
  </si>
  <si>
    <t>Publication Source</t>
  </si>
  <si>
    <t>Fuel 89 (2010) S2-S10</t>
  </si>
  <si>
    <t>http://www.sciencedirect.com/science/article/pii/S0016236110003765</t>
  </si>
  <si>
    <t>Mark M. Wright, Daren E. Daugaard, Justinus A. Satrio, Robert C. Brown</t>
  </si>
  <si>
    <t>Corn Stover</t>
  </si>
  <si>
    <t>Co-located (H2 purchase)</t>
  </si>
  <si>
    <t>Fuel Production Rate (MM gal/yr)</t>
  </si>
  <si>
    <t>Overhead</t>
  </si>
  <si>
    <t>Maintenance</t>
  </si>
  <si>
    <t>NREL report NREL/TP-5100-47594</t>
  </si>
  <si>
    <t>Bioresource Technology 117 (2012) 341-351</t>
  </si>
  <si>
    <t>Applied Energy 129 (2014) 384-394</t>
  </si>
  <si>
    <t>Feedstock Cost, $/U.S. dry ton</t>
  </si>
  <si>
    <t>Buildings/Warehouse</t>
  </si>
  <si>
    <t>No. 2 Diesel Fuel (Denaturant)</t>
  </si>
  <si>
    <t>Pretreatment</t>
  </si>
  <si>
    <t>Neutralization/Conditioning</t>
  </si>
  <si>
    <t>Upgrading/Hydrogen Plant</t>
  </si>
  <si>
    <t>Recovery</t>
  </si>
  <si>
    <t>Maintenance and Overhead</t>
  </si>
  <si>
    <t>http://www.sciencedirect.com/science/article/pii/S0016236110003741#</t>
  </si>
  <si>
    <t>Ryan M. Swanson, Alexandru Platon, Justinus A. Satrio, Robert C. Brown</t>
  </si>
  <si>
    <t>Fuel 89 (2010) S11-S19</t>
  </si>
  <si>
    <t>Energy Production Rate (MM GGE/yr)</t>
  </si>
  <si>
    <t>Total Energy Price ($/GGE)</t>
  </si>
  <si>
    <t>Air Separation</t>
  </si>
  <si>
    <t xml:space="preserve">Alcohol/Fuel Synthesis </t>
  </si>
  <si>
    <t>Hydrocracking/Hydrotreating/Upgrading</t>
  </si>
  <si>
    <t>Steam</t>
  </si>
  <si>
    <t>Biomass to Gasoline and Diesel Using Integrated Hydropyrolysis and Hydroconversion</t>
  </si>
  <si>
    <t>Michael Roberts, Terry Marker, multiple other contributers including Eric Tan</t>
  </si>
  <si>
    <t>Absorption Tower</t>
  </si>
  <si>
    <t>Distillation Tower</t>
  </si>
  <si>
    <t>Sour Water Stripper</t>
  </si>
  <si>
    <t>Amine Scrubber</t>
  </si>
  <si>
    <t>Ammonium Sulfate Oxidizer</t>
  </si>
  <si>
    <t>Equipment Contingency</t>
  </si>
  <si>
    <t>BFW Makeup</t>
  </si>
  <si>
    <t>Cooling Water Makeup</t>
  </si>
  <si>
    <t>MDEA Makeup</t>
  </si>
  <si>
    <t>Wastewater Treatment</t>
  </si>
  <si>
    <t>Ryan Davis</t>
  </si>
  <si>
    <t>NREL Tech Memo</t>
  </si>
  <si>
    <t>Minimum Diesel Selling Price ($/gal)</t>
  </si>
  <si>
    <t>Energy Production Rate (MM gal diesel/yr)</t>
  </si>
  <si>
    <t>Product Yield, gal diesel/dry ton of feedstock</t>
  </si>
  <si>
    <t>Amine Makeup</t>
  </si>
  <si>
    <t>Renewable Diesel from Algal Lipids: An Integrated Baseline for Cost, Emissions, and Resource Potential from a Harmonized Model</t>
  </si>
  <si>
    <t>Coordinating Authors:  Ryan Davis, Daniel Fishman, Edward D. Frank, Mark S. Wigmosta.  Contributing Authors:  Andy Aden, Andre M. Coleman, Philip T. Pienkos, Richard J. Skaggs, Erik R. Venteris, Michael Q. Wang</t>
  </si>
  <si>
    <t>Publications Source</t>
  </si>
  <si>
    <t xml:space="preserve">      Total Installed Depreciable Capital (TIC)</t>
  </si>
  <si>
    <t xml:space="preserve">      Total Installed Non-Depreciable Capital (TIC)</t>
  </si>
  <si>
    <t>Power</t>
  </si>
  <si>
    <t>Nutrients (N,P) + Digester Nutrients</t>
  </si>
  <si>
    <t>CO2</t>
  </si>
  <si>
    <t>Flocculant</t>
  </si>
  <si>
    <t>Water</t>
  </si>
  <si>
    <t>Labor and Overhead</t>
  </si>
  <si>
    <t>Maint., Ins., and Taxes</t>
  </si>
  <si>
    <t>Process Design and Economics for the Conversion of Algal Biomass to Hydrocarbons: Whole Algae Hydrothermal Liquefaction and Upgrading</t>
  </si>
  <si>
    <t xml:space="preserve">S. Jones, Y. Zhu, D. Anderson, R. Hallen, D. Elliot, A. Schmidt, K. Albrecht, T. Hart, M. Butcher, C. Drennan, L. Snowden-Swan, R. Davis, C. Kinchin </t>
  </si>
  <si>
    <t>http://energy.gov/sites/prod/files/2014/05/f15/pnnl_whole_algae_liquefaction.pdf</t>
  </si>
  <si>
    <t>http://www.pnl.gov/main/publications/external/technical_reports/PNNL-18481.pdf</t>
  </si>
  <si>
    <t>Diesel Product Yield, gal/US ton AFDW algae</t>
  </si>
  <si>
    <t>Total Byproduct Credits</t>
  </si>
  <si>
    <t>HTL Oil Production</t>
  </si>
  <si>
    <t>CHG Water Treatment</t>
  </si>
  <si>
    <t>HTL Oil Upgrading</t>
  </si>
  <si>
    <t>Steam Cycle</t>
  </si>
  <si>
    <t>Balance of Plant</t>
  </si>
  <si>
    <t>Electricity and Utilities</t>
  </si>
  <si>
    <t>Indirect Capital Costs</t>
  </si>
  <si>
    <t xml:space="preserve">      Total Indirect Capital Costs</t>
  </si>
  <si>
    <t>Direct Capital Costs</t>
  </si>
  <si>
    <t xml:space="preserve">      Total Direct Capital Costs</t>
  </si>
  <si>
    <t xml:space="preserve">      Total Direct Capital Costs (TDC)</t>
  </si>
  <si>
    <t>Supporting Calculations</t>
  </si>
  <si>
    <t>Total Blendsock Fuel Yield, MM Btu/ton feedstock</t>
  </si>
  <si>
    <t>Final Blendstock</t>
  </si>
  <si>
    <t>Fermentation</t>
  </si>
  <si>
    <t>Algae</t>
  </si>
  <si>
    <t>Hydrothermal Liquefaction (HTL)</t>
  </si>
  <si>
    <t xml:space="preserve">Feedstock cost is reported in dollars per dry U.S. short tons.  </t>
  </si>
  <si>
    <t>The minimum selling price, usually in dollars per MMBtu, required to produce a net present value of zero for the specified internal rate of return.</t>
  </si>
  <si>
    <t>Title:</t>
  </si>
  <si>
    <t>Contact phone:</t>
  </si>
  <si>
    <t>Contact e-mail:</t>
  </si>
  <si>
    <t>Organization:</t>
  </si>
  <si>
    <t>NREL</t>
  </si>
  <si>
    <t>Web Site:</t>
  </si>
  <si>
    <t>Christopher Kinchin</t>
  </si>
  <si>
    <t>christopher.kinchin@nrel.gov</t>
  </si>
  <si>
    <t>Author Contact:</t>
  </si>
  <si>
    <t>Process Design and Economics for the Conversion of Lignocellulosic Biomass to Hydrocarbon Fuels, Thermochemical Research Pathways with In Situ and Ex Situ Upgrading of Fast Pyrolysis Vapors</t>
  </si>
  <si>
    <t>Abhijit Dutta, Asad Sahir, Eric Tan, David Humbird, Lesley Snowden-Swan, Pimphan Meyer, Jeff Ross, Danielle Sexton, Raymond Yap, John Lucas</t>
  </si>
  <si>
    <t>https://www.nrel.gov/docs/fy15osti/62455.pdf</t>
  </si>
  <si>
    <t>Buildings, Warehouses</t>
  </si>
  <si>
    <t>Variable Costs (MM$/yr)</t>
  </si>
  <si>
    <t>Net Water Makeup</t>
  </si>
  <si>
    <t>Sand Makeup</t>
  </si>
  <si>
    <t>Ex-Situ</t>
  </si>
  <si>
    <t>In-Situ</t>
  </si>
  <si>
    <t>https://www.nrel.gov/docs/fy15osti/62402.pdf</t>
  </si>
  <si>
    <t>High-Octane Gasoline Blendstock</t>
  </si>
  <si>
    <t>Process Design and Economics for the Conversion of Lignocellulosic Biomass to Hydrocarbons via Indirect Liquefaction, Thermochemical Research Pathway to High-Octane Gasoline Blendstock Through Methanol/Dimethyl Ether Intermediates</t>
  </si>
  <si>
    <t>Authors</t>
  </si>
  <si>
    <t>Eric C.D. Tan, Michael Talmadge, Abhijit Dutta, Mary J. Biddy, David Humbird, Leslie Snowden-Swan, Daniel Sexton, Raymond Yap, John Lukas</t>
  </si>
  <si>
    <t>Alcohol Degassing/Conditioning</t>
  </si>
  <si>
    <t>Other Direct Capital Costs</t>
  </si>
  <si>
    <t>Other Costs (Start-Up, Permit, etc.)</t>
  </si>
  <si>
    <t>Raw Materials for Lignin Utilization</t>
  </si>
  <si>
    <t>Hydrocarbon Blendstock</t>
  </si>
  <si>
    <t>Process Design and Economics for the Conversion of Lignocellulosic Biomass to Hydrocarbons: Dilute-Acid and Enzymatic Deconstruction of Biomass to Sugars and Catalytic Conversion of Sugars to Hydrocarbons</t>
  </si>
  <si>
    <t>R. Davis, L. Tao, C. Scarlata, and E.C.D. Tan, J. Ross, J. Lukas, and D. Sexton</t>
  </si>
  <si>
    <t>https://www.nrel.gov/docs/fy15osti/62498.pdf</t>
  </si>
  <si>
    <t>Cat. Conversion</t>
  </si>
  <si>
    <t>of Sugars</t>
  </si>
  <si>
    <t>Ling Tao, Jennifer Markham, Zia Haq, Mary Biddy</t>
  </si>
  <si>
    <t>http://pubs.rsc.org/en/content/articlepdf/2017/gc/c6gc02800d</t>
  </si>
  <si>
    <t>Green Chemistry, 2017, 19, 1082</t>
  </si>
  <si>
    <t>DDGS Drying</t>
  </si>
  <si>
    <t>Enzyme</t>
  </si>
  <si>
    <t>Utiltities</t>
  </si>
  <si>
    <t xml:space="preserve">      Total Project Investment (TPI)</t>
  </si>
  <si>
    <t>2014$</t>
  </si>
  <si>
    <t>Corn Stover Case in 2014$</t>
  </si>
  <si>
    <t>Shelled Corn Grain</t>
  </si>
  <si>
    <t>Enzymatic Hydrolysis and Fermentation</t>
  </si>
  <si>
    <t>Overhead (Labor Burden)</t>
  </si>
  <si>
    <t>Minimum Fuel Selling Price ($/GDE)</t>
  </si>
  <si>
    <t>Energy Production Rate (MM GDE/yr)</t>
  </si>
  <si>
    <t>Raw Materials for Xylose Utilization</t>
  </si>
  <si>
    <t>Periodic Expenses</t>
  </si>
  <si>
    <t>Baghouse Bags (5-yr lifetime)</t>
  </si>
  <si>
    <t>Corn Grain Case in 2014$</t>
  </si>
  <si>
    <t>Maintenance and Operating Supplies</t>
  </si>
  <si>
    <t>The Techno-Economic Basis for Coproduct Manufacturing To Enable Hydrocarbon Fuel Production from Lignocellulosic Biomass</t>
  </si>
  <si>
    <t>Mary J. Biddy, Ryan Davis, David Humbird, Ling Tao, Nancy Dowe, Michael T. Guarnieri, Jeffrey G. Linger, Eric M. Karp, Davinia Salvachúa, Derek R. Vardon, and Gregg T. Beckham</t>
  </si>
  <si>
    <t>ACS Sustainable Chemistry and Engineering 2016, 4, 3196-3211</t>
  </si>
  <si>
    <t>https://pubs.acs.org/doi/10.1021/acssuschemeng.6b00243</t>
  </si>
  <si>
    <t>Coproduction of Fuels and Chemicals</t>
  </si>
  <si>
    <t>Lo-CAT Chemicals</t>
  </si>
  <si>
    <t>DimethylSulfide (DMDS)</t>
  </si>
  <si>
    <t>Pretreatment and Conditioning</t>
  </si>
  <si>
    <t>Lipid Extraction and Processing</t>
  </si>
  <si>
    <t>Anaerobic Digestion / Biogas Production</t>
  </si>
  <si>
    <t>Combined Heat and Power</t>
  </si>
  <si>
    <t>Utilities and Storage</t>
  </si>
  <si>
    <t>AD Sludge (NH4SO4)</t>
  </si>
  <si>
    <t>NH3 Recycle</t>
  </si>
  <si>
    <t>DAP Recycle</t>
  </si>
  <si>
    <t>CO2 recycle</t>
  </si>
  <si>
    <t>AD Sludge (NH3)</t>
  </si>
  <si>
    <t>NH4SO4 Recycle</t>
  </si>
  <si>
    <t>RDB Production, MMGGE/yr</t>
  </si>
  <si>
    <t>Naphtha Production, MMGGE/yr</t>
  </si>
  <si>
    <t>LHV of RDB, Btu/gal</t>
  </si>
  <si>
    <t>LHV of Gasoline, Btu/gal</t>
  </si>
  <si>
    <t>Product Yield, MMBtu/yr</t>
  </si>
  <si>
    <t>R. Davis, C. Kinchin, J. Markham, E.C.D. Tan, L.M.L. Laurens, D. Sexton, D. Knorr, P. Schoen, and J. Lukas</t>
  </si>
  <si>
    <t>NREL Technical Report NREL/TP-5100-62368</t>
  </si>
  <si>
    <t>Process Design and Economics for the Production of Algal Biomass: Algal Biomass Production in Open Pond Systems and Processing Through Dewatering for Downstream Conversion</t>
  </si>
  <si>
    <t>Ryan Davis, Jennifer Markham, Christopher Kinchin, Nicholas Grundl, Eric C.D. Tan, David Humbird</t>
  </si>
  <si>
    <t>https://www.nrel.gov/docs/fy16osti/64772.pdf</t>
  </si>
  <si>
    <t>Minimum Biomass Selling Price ($/Dry US Ton AFDW)</t>
  </si>
  <si>
    <t>Chiller Utility</t>
  </si>
  <si>
    <t>Gasification, IDL</t>
  </si>
  <si>
    <t>Ling Tao, Anelia Milbrandt, Yanan Zhang, and Wei Cheng Wang</t>
  </si>
  <si>
    <t>Biotechnology for Biofuels (2017) 10:261</t>
  </si>
  <si>
    <t>Jatropha</t>
  </si>
  <si>
    <t>Yellow Grease</t>
  </si>
  <si>
    <t>Dehulling</t>
  </si>
  <si>
    <t>Combustion</t>
  </si>
  <si>
    <t>Oil Extraction</t>
  </si>
  <si>
    <t>Fuel Upgrading</t>
  </si>
  <si>
    <t>Product Separation</t>
  </si>
  <si>
    <t>Utilities</t>
  </si>
  <si>
    <t>Nitrogen</t>
  </si>
  <si>
    <t>Hydrotreating Catalyst</t>
  </si>
  <si>
    <t>Isomerization/Hydrocracking Catalyst</t>
  </si>
  <si>
    <t>Cooling Water</t>
  </si>
  <si>
    <t>Variable Costs ($'s/yr)</t>
  </si>
  <si>
    <t>Co-Products</t>
  </si>
  <si>
    <t>Propane</t>
  </si>
  <si>
    <t>https://biotechnologyforbiofuels.biomedcentral.com/articles/10.1186/s13068-017-0945-3</t>
  </si>
  <si>
    <t>Economic and Environmental Potentials for Natural Gas to Enhance Biomass-to-Liquid Fuels Technologies</t>
  </si>
  <si>
    <t>Yanan Zhang, Asad H. Sahir, Eric C. D. Tan, Michael S. Talmadge, Ryan Davis, Mary, J. Biddy, and Ling Tao</t>
  </si>
  <si>
    <t>GBtL (90% Wood Chips, 10% NG by weight)</t>
  </si>
  <si>
    <t>Syngas Conditioning</t>
  </si>
  <si>
    <t>FT Synthesis</t>
  </si>
  <si>
    <t>Last Updated:</t>
  </si>
  <si>
    <t>GBtL (50% Wood Chips, 50% NG by weight)</t>
  </si>
  <si>
    <t>Tar Reformer Catalyst</t>
  </si>
  <si>
    <t>Wax</t>
  </si>
  <si>
    <t>50% Wood, 50% NG</t>
  </si>
  <si>
    <t>90% Wood, 10% NG</t>
  </si>
  <si>
    <t>Ex Situ Catalytic Fast Pyrolysis of Lignocellulosic Biomass to Hydrocarbon Fuels: 2018 State of Technology and Future Research</t>
  </si>
  <si>
    <t>Abhijit Dutta, Kristiina Iisa, Calvin Mukarakate, Mike Griffin, Eric C.D. Tan, Josh Schaidle, David Humbird, Huamin Wang, Damon Hartley, David Thompson, and Hao Cai</t>
  </si>
  <si>
    <t>https://www.nrel.gov/docs/fy19osti/71954.pdf</t>
  </si>
  <si>
    <t>Clean Pine</t>
  </si>
  <si>
    <t>Hydroprocessing and Separation</t>
  </si>
  <si>
    <t>2018 SOT</t>
  </si>
  <si>
    <t>Eric C. D. Tan, Lesley J. Snowden-Swan, Michael Talmadge, Abhijit Dutta, Susanne Jones, Karthikeyan K. Ramasamy, Michel Gray, Robert Dagle, Asanga Padmaperuma, Mark Gerber, Asad H. Sahir, Ling Tao, Yanan Zhang</t>
  </si>
  <si>
    <t>https://onlinelibrary.wiley.com/doi/abs/10.1002/bbb.1710</t>
  </si>
  <si>
    <t>Biofuels, Bioproducts, and Biorefining
Biofuel, Bioprod. Bioref. 11:41–66 (2017)</t>
  </si>
  <si>
    <t>Naphtha, Jet, Diesel</t>
  </si>
  <si>
    <t>Home Office and Construction Fees</t>
  </si>
  <si>
    <t>Product Yield, GGE/dry ton of biomass feedstock</t>
  </si>
  <si>
    <t>Summary of Process and Results</t>
  </si>
  <si>
    <t>Compression and Fermentation</t>
  </si>
  <si>
    <t>Mixed-Alcohols to Jet/Diesel</t>
  </si>
  <si>
    <t>B</t>
  </si>
  <si>
    <t>C</t>
  </si>
  <si>
    <t>D</t>
  </si>
  <si>
    <t>E</t>
  </si>
  <si>
    <t>F</t>
  </si>
  <si>
    <t>G</t>
  </si>
  <si>
    <t>H</t>
  </si>
  <si>
    <t>I</t>
  </si>
  <si>
    <t>J</t>
  </si>
  <si>
    <t>K</t>
  </si>
  <si>
    <t>L</t>
  </si>
  <si>
    <t>M</t>
  </si>
  <si>
    <t>N</t>
  </si>
  <si>
    <t>O</t>
  </si>
  <si>
    <t>P</t>
  </si>
  <si>
    <t>Q</t>
  </si>
  <si>
    <t>R</t>
  </si>
  <si>
    <t>Economic and Environmental Potentials for Natural Gas to Enhance Biomass-to-Liquid Fuels Technologies - GBtL (50% Wood Chips, 50% NG by weight)</t>
  </si>
  <si>
    <t>Economic and Environmental Potentials for Natural Gas to Enhance Biomass-to-Liquid Fuels Technologies - GBtL (90% Wood Chips, 10% NG by weight)</t>
  </si>
  <si>
    <r>
      <t xml:space="preserve">Process Design and Economics for the Conversion of Lignocellulosic Biomass to Hydrocarbon Fuels, Thermochemical Research Pathways with In Situ and Ex Situ Upgrading of Fast Pyrolysis Vapors - </t>
    </r>
    <r>
      <rPr>
        <i/>
        <sz val="11"/>
        <color theme="1"/>
        <rFont val="Calibri"/>
        <family val="2"/>
        <scheme val="minor"/>
      </rPr>
      <t>Ex-Situ</t>
    </r>
    <r>
      <rPr>
        <sz val="11"/>
        <color theme="1"/>
        <rFont val="Calibri"/>
        <family val="2"/>
        <scheme val="minor"/>
      </rPr>
      <t xml:space="preserve"> CFP 2022 Target Case in 2014 dollars</t>
    </r>
  </si>
  <si>
    <r>
      <t xml:space="preserve">Process Design and Economics for the Conversion of Lignocellulosic Biomass to Hydrocarbon Fuels, Thermochemical Research Pathways with In Situ and Ex Situ Upgrading of Fast Pyrolysis Vapors - </t>
    </r>
    <r>
      <rPr>
        <i/>
        <sz val="11"/>
        <color theme="1"/>
        <rFont val="Calibri"/>
        <family val="2"/>
        <scheme val="minor"/>
      </rPr>
      <t>In-Situ</t>
    </r>
    <r>
      <rPr>
        <sz val="11"/>
        <color theme="1"/>
        <rFont val="Calibri"/>
        <family val="2"/>
        <scheme val="minor"/>
      </rPr>
      <t xml:space="preserve"> CFP 2022 Target Case in 2014 dollars</t>
    </r>
  </si>
  <si>
    <r>
      <t xml:space="preserve">Ex Situ Catalytic Fast Pyrolysis of Lignocellulosic Biomass to Hydrocarbon Fuels: 2018 State of Technology and Future Research - </t>
    </r>
    <r>
      <rPr>
        <i/>
        <sz val="11"/>
        <color theme="1"/>
        <rFont val="Calibri"/>
        <family val="2"/>
        <scheme val="minor"/>
      </rPr>
      <t>Ex-Situ</t>
    </r>
    <r>
      <rPr>
        <sz val="11"/>
        <color theme="1"/>
        <rFont val="Calibri"/>
        <family val="2"/>
        <scheme val="minor"/>
      </rPr>
      <t xml:space="preserve"> Fixed Bed 2018 SOT (0.5 wt% Pt/TiO2 catalyst)</t>
    </r>
  </si>
  <si>
    <t>Minimum Fuel Selling Price, ($/GGE)</t>
  </si>
  <si>
    <t>Pathway 1A: Syngas to molybdenum disulfide (MoS2)-catalyzed alcohols followed by fuel production via alcohol condensation (Guerbet reaction), dehydration, oligomerization, and hydrogenation</t>
  </si>
  <si>
    <t>Pathway 1B: Syngas fermentation to ethanol followed by fuel production via alcohol condensation (Guerbet reaction), dehydration, oligomerization, and hydrogenation</t>
  </si>
  <si>
    <t>Pathway 2A: Syngas to rhodium (Rh)-catalyzed mixed oxygenates followed by fuel production via carbon coupling/deoxygenation (to isobutene), oligomerization, and hydrogenation</t>
  </si>
  <si>
    <t>Pathway 2B: Syngas fermentation to ethanol followed by fuel production via carbon coupling/deoxygenation (to isobutene), oligomerization, and hydrogenation</t>
  </si>
  <si>
    <t>Pathway HT: Syngas to liquid fuels via Fischer-Tropsch technology as a commercial benchmark for comparisons</t>
  </si>
  <si>
    <t>Dry Algae Yield, g/m2/day</t>
  </si>
  <si>
    <t>Pond Area, m2</t>
  </si>
  <si>
    <t>Dry Algae Yield, metric tonnes per day</t>
  </si>
  <si>
    <t>Dry Algae Yield, g/day (AFDW)</t>
  </si>
  <si>
    <t>Dry Algae Yield, kg/day (AFDW)</t>
  </si>
  <si>
    <t>DEPG Make-up</t>
  </si>
  <si>
    <t>Pathway 1A</t>
  </si>
  <si>
    <t>Total Fuel yield (MM GGE/yr)</t>
  </si>
  <si>
    <t>Total Fuel yield (GGE/yr)</t>
  </si>
  <si>
    <t>Nutrients</t>
  </si>
  <si>
    <t>Acetic Acid</t>
  </si>
  <si>
    <t>Pathway 1B</t>
  </si>
  <si>
    <t>Process Design and Economics for the Conversion of Lignocellulosic Biomass to Hydrocarbon Fuels and Coproducts: 2018 Biochemical Design Case Update
Biochemical Deconstruction and Conversion of Biomass to Fuels and Products via Integrated Biorefinery Pathways</t>
  </si>
  <si>
    <t>Ryan Davis, Nicholas Grundl, Ling Tao, Mary J. Biddy, Eric C. D. Tan, Gregg T. Beckham, David Humbird, David N. Thompson, and Mohammad S. Roni</t>
  </si>
  <si>
    <t>NREL Technical Report NREL/TP-5100-71949</t>
  </si>
  <si>
    <t>https://www.nrel.gov/docs/fy19osti/71949.pdf</t>
  </si>
  <si>
    <t>Bioconversion and Upgrading</t>
  </si>
  <si>
    <t>Lignin Utilization/Upgrading</t>
  </si>
  <si>
    <t>MF Filter Replacement</t>
  </si>
  <si>
    <t>UF Filter Replacment</t>
  </si>
  <si>
    <t>Hot Oil System</t>
  </si>
  <si>
    <t>Makeup Solvent (Toluene)</t>
  </si>
  <si>
    <t>Electricity-Import</t>
  </si>
  <si>
    <t>Recovered Salt from WWT</t>
  </si>
  <si>
    <t>Organic Acid</t>
  </si>
  <si>
    <t>BDO</t>
  </si>
  <si>
    <t>Total Fuel Production Rate (MM GGE/yr)</t>
  </si>
  <si>
    <t>Process Design and Economics for the Conversion of Lignocellulosic Biomass to Hydrocarbon Fuels and Coproducts: 2018 Biochemical Design Case Update - Organic Acids Intermediate Pathway</t>
  </si>
  <si>
    <t>Process Design and Economics for the Conversion of Lignocellulosic Biomass to Hydrocarbon Fuels and Coproducts: 2018 Biochemical Design Case Update - BDO Intermediate Pathway</t>
  </si>
  <si>
    <t>High-Octane Gasoline from Lignocellulosic Biomass via Syngas and DME Intermediates (2018 SOT)</t>
  </si>
  <si>
    <t>Eric C.D. Tan, Dan Ruddy, Connor Nash, Dan Dupuis, Abhijit Dutta, Damon Hartley, and Hao Cai</t>
  </si>
  <si>
    <t>2022 Projection</t>
  </si>
  <si>
    <t>High-Octane Gasoline from Lignocellulosic Biomass via Syngas and DME Intermediates (2022 Projection)</t>
  </si>
  <si>
    <t>DME and Hydrocarbon Conversion</t>
  </si>
  <si>
    <t>Sulfur</t>
  </si>
  <si>
    <t>https://www.nrel.gov/docs/fy19osti/71957.pdf</t>
  </si>
  <si>
    <r>
      <t xml:space="preserve">Ex Situ Catalytic Fast Pyrolysis of Lignocellulosic Biomass to Hydrocarbon Fuels: 2018 State of Technology and Future Research - </t>
    </r>
    <r>
      <rPr>
        <i/>
        <sz val="11"/>
        <color theme="1"/>
        <rFont val="Calibri"/>
        <family val="2"/>
        <scheme val="minor"/>
      </rPr>
      <t>Ex-Situ</t>
    </r>
    <r>
      <rPr>
        <sz val="11"/>
        <color theme="1"/>
        <rFont val="Calibri"/>
        <family val="2"/>
        <scheme val="minor"/>
      </rPr>
      <t xml:space="preserve"> Fixed Bed 2022 Projection</t>
    </r>
  </si>
  <si>
    <r>
      <rPr>
        <i/>
        <sz val="11"/>
        <rFont val="Calibri"/>
        <family val="2"/>
      </rPr>
      <t>Ex-Situ</t>
    </r>
    <r>
      <rPr>
        <sz val="11"/>
        <rFont val="Calibri"/>
        <family val="2"/>
      </rPr>
      <t xml:space="preserve"> Fixed Bed 2022 Projection</t>
    </r>
  </si>
  <si>
    <t>S</t>
  </si>
  <si>
    <t>A negative value indicates coproduct is sold for revenue.</t>
  </si>
  <si>
    <t>https://pubs.rsc.org/en/content/articlelanding/2018/gc/c8gc01257a#!divAbstract</t>
  </si>
  <si>
    <t>Green Chemistry, 2018, 20, 5358</t>
  </si>
  <si>
    <t>Definitions</t>
  </si>
  <si>
    <t xml:space="preserve">      Succinic Acid</t>
  </si>
  <si>
    <t>DDGS</t>
  </si>
  <si>
    <t>Gasoline and Diesel</t>
  </si>
  <si>
    <t>LPG</t>
  </si>
  <si>
    <t>Fuel Gas and Char</t>
  </si>
  <si>
    <t>Coproduct Credits</t>
  </si>
  <si>
    <t>Average Annual Catalyst Cost</t>
  </si>
  <si>
    <t>50 wt% Caustic</t>
  </si>
  <si>
    <t>Ammonia</t>
  </si>
  <si>
    <t>Caustic</t>
  </si>
  <si>
    <t>Corn Steep Liquor</t>
  </si>
  <si>
    <t>Corn Oil</t>
  </si>
  <si>
    <t>Sulfur Dioxide</t>
  </si>
  <si>
    <t>DAP</t>
  </si>
  <si>
    <t>Enzyme Production Materials</t>
  </si>
  <si>
    <t>Ethanol</t>
  </si>
  <si>
    <t>Biochemical</t>
  </si>
  <si>
    <t>2015 Biochemical Catalysis Design Report (Base Case Updated to 2014$)</t>
  </si>
  <si>
    <t>Coproduction of Fuels and Chemicals via Biochemical C5/C6 Sugar Splitting Pathway</t>
  </si>
  <si>
    <t>Renewable Diesel Blendstock, Succinic Acid</t>
  </si>
  <si>
    <t>2018 Biochemical Design Case: Organic Acids Pathway</t>
  </si>
  <si>
    <t>Renewable Diesel Blendstock, Adipic Acid</t>
  </si>
  <si>
    <t>2018 Biochemical Design Case: BDO Pathway</t>
  </si>
  <si>
    <t>2012 Algae Harmonization Baseline Report: Overall Average Case</t>
  </si>
  <si>
    <t>NA (biomass cost not explicitly broken out)</t>
  </si>
  <si>
    <t>Dewatered Algal Biomass (20% solids)</t>
  </si>
  <si>
    <t>$45/tonne CO2</t>
  </si>
  <si>
    <t>5,000 acres</t>
  </si>
  <si>
    <t>Inoculation System</t>
  </si>
  <si>
    <t>Minimum Biomass Selling Price ($/ton)</t>
  </si>
  <si>
    <t>BETO Biofuels TEA Database</t>
  </si>
  <si>
    <t>Susannne Jones, Pimphan Meyer, Lesley Snowden-Swan, Asanga Padmaperuma, Eric Tan, Abhijit Dutta, Jacob Jacobson, Kara Cafferty</t>
  </si>
  <si>
    <t>included in delivered feedstock cost</t>
  </si>
  <si>
    <t>Hexane</t>
  </si>
  <si>
    <t>Algae Feedstock</t>
  </si>
  <si>
    <t>Byproduct Credits ($'s/yr)</t>
  </si>
  <si>
    <t>Ponds + Paddle Wheels</t>
  </si>
  <si>
    <t>Pond Liners</t>
  </si>
  <si>
    <t>BETO Biofuels Techno-economic Analysis (TEA) Database</t>
  </si>
  <si>
    <t>Hydroprocessed Esters and Fatty Acids (HEFA)</t>
  </si>
  <si>
    <t>Design Report</t>
  </si>
  <si>
    <t>Conceptual Biorefinery Design and Research Targeted for 2022: Hydrothermal Liquefaction Processing of Wet Waste to Fuels</t>
  </si>
  <si>
    <t>LJ Snowden-Swan RT Hallen
Y Zhu,  TR Hart, MD Bearden, J Liu, TE Seiple, KO Albrecht, SB Jones, SP Fox, AJ Schmidt,  GD Maupin, JM Billing DC Elliott</t>
  </si>
  <si>
    <t>https://www.pnnl.gov/main/publications/external/technical_reports/PNNL-27186.pdf</t>
  </si>
  <si>
    <t>PNNL Technical Report PNNL-27186</t>
  </si>
  <si>
    <t>Wastewater Sludge</t>
  </si>
  <si>
    <t>Baghouse Bags replaced every 5 years, Average $/yr</t>
  </si>
  <si>
    <t>HTL Sludge Dewatering</t>
  </si>
  <si>
    <t>HTL Oil Production Water Recycle Treatment</t>
  </si>
  <si>
    <t>HTL Oil Production Balance of Plant</t>
  </si>
  <si>
    <t>HTL Upgrading Balance of Plant</t>
  </si>
  <si>
    <t>Startup and Permits</t>
  </si>
  <si>
    <t xml:space="preserve">      Total Direct Capital (TDC)</t>
  </si>
  <si>
    <t>Direct Capital Costs (TDC)</t>
  </si>
  <si>
    <t>Buildings</t>
  </si>
  <si>
    <t>Additional Piping</t>
  </si>
  <si>
    <t>Sledge Dewatering Polymer</t>
  </si>
  <si>
    <t>Quicklime for HTL Aqueous Phase Treatment</t>
  </si>
  <si>
    <t>Water Makeup</t>
  </si>
  <si>
    <t>WWT Fee</t>
  </si>
  <si>
    <t>Baseline</t>
  </si>
  <si>
    <t>Algal Biomass Production via Open Pond Algae Farm Cultivation: 2019 State of Technology and Future Research</t>
  </si>
  <si>
    <t>Ryan Davis and Lieve Laurens</t>
  </si>
  <si>
    <t>https://www.nrel.gov/docs/fy20osti/76569.pdf</t>
  </si>
  <si>
    <t>Algal Biomass Conversion to Fuels via Combined Algae Processing (CAP): 2019 State of Technology and Future Research</t>
  </si>
  <si>
    <t>Ryan Davis and Matthew Wiatrowski</t>
  </si>
  <si>
    <t>https://www.nrel.gov/docs/fy20osti/76568.pdf</t>
  </si>
  <si>
    <t>Biochemical Conversion of Lignocellulosic Biomass to Hydrocarbon Fuels and Products: 2019 State of Technology and Future Research</t>
  </si>
  <si>
    <t>Ryan Davis, Andrew Bartling, and Ling Tao</t>
  </si>
  <si>
    <t>NREL Technical Report NREL/TP-5100-76567</t>
  </si>
  <si>
    <t>https://www.nrel.gov/docs/fy20osti/76567.pdf</t>
  </si>
  <si>
    <r>
      <rPr>
        <b/>
        <sz val="11"/>
        <color theme="1"/>
        <rFont val="Calibri"/>
        <family val="2"/>
        <scheme val="minor"/>
      </rPr>
      <t>BDO</t>
    </r>
    <r>
      <rPr>
        <sz val="11"/>
        <color theme="1"/>
        <rFont val="Calibri"/>
        <family val="2"/>
        <scheme val="minor"/>
      </rPr>
      <t xml:space="preserve"> - Burn Lignin</t>
    </r>
  </si>
  <si>
    <r>
      <rPr>
        <b/>
        <sz val="11"/>
        <color theme="1"/>
        <rFont val="Calibri"/>
        <family val="2"/>
        <scheme val="minor"/>
      </rPr>
      <t>BDO</t>
    </r>
    <r>
      <rPr>
        <sz val="11"/>
        <color theme="1"/>
        <rFont val="Calibri"/>
        <family val="2"/>
        <scheme val="minor"/>
      </rPr>
      <t xml:space="preserve"> - Convert Lignin - "Base"</t>
    </r>
  </si>
  <si>
    <r>
      <rPr>
        <b/>
        <sz val="11"/>
        <color theme="1"/>
        <rFont val="Calibri"/>
        <family val="2"/>
        <scheme val="minor"/>
      </rPr>
      <t>Acids</t>
    </r>
    <r>
      <rPr>
        <sz val="11"/>
        <color theme="1"/>
        <rFont val="Calibri"/>
        <family val="2"/>
        <scheme val="minor"/>
      </rPr>
      <t xml:space="preserve"> - Burn Lignin</t>
    </r>
  </si>
  <si>
    <r>
      <rPr>
        <b/>
        <sz val="11"/>
        <color theme="1"/>
        <rFont val="Calibri"/>
        <family val="2"/>
        <scheme val="minor"/>
      </rPr>
      <t>Acids</t>
    </r>
    <r>
      <rPr>
        <sz val="11"/>
        <color theme="1"/>
        <rFont val="Calibri"/>
        <family val="2"/>
        <scheme val="minor"/>
      </rPr>
      <t xml:space="preserve"> - Convert Lignin - "Base"</t>
    </r>
  </si>
  <si>
    <t>Acids</t>
  </si>
  <si>
    <t>Product Purification and Upgrading</t>
  </si>
  <si>
    <t>Protein/Residual Processing</t>
  </si>
  <si>
    <t>Other Credits (recycled nutrients, etc.)</t>
  </si>
  <si>
    <t>2,3-BDO Fermentation and Upgrading</t>
  </si>
  <si>
    <t>Dewaterinng</t>
  </si>
  <si>
    <t>Ex Situ Catalytic Fast Pyrolysis of Lignocellulosic Biomass to Hydrocarbon Fuels: 2019 State of Technology and Future Research</t>
  </si>
  <si>
    <t>Abhijit Dutta, Kristiina Iisa, Michael Talmadge, Calvin Mukarakate, Michael Griffin, Eric Tan, Nolan Wilson, Matt Yung, Mark Nimlos, Joshua Schaidle, Huamin Wang, Michael Thorson, Damon Hartley, Jordan Klinger, and Hao Cai</t>
  </si>
  <si>
    <t>https://www.nrel.gov/docs/fy20osti/76269.pdf</t>
  </si>
  <si>
    <r>
      <rPr>
        <i/>
        <sz val="11"/>
        <rFont val="Calibri"/>
        <family val="2"/>
      </rPr>
      <t>Ex-Situ</t>
    </r>
    <r>
      <rPr>
        <sz val="11"/>
        <rFont val="Calibri"/>
        <family val="2"/>
      </rPr>
      <t xml:space="preserve"> CFP 2019 SOT</t>
    </r>
  </si>
  <si>
    <t>Other Raw Materials</t>
  </si>
  <si>
    <t>2019 SOT</t>
  </si>
  <si>
    <r>
      <rPr>
        <i/>
        <sz val="11"/>
        <rFont val="Calibri"/>
        <family val="2"/>
      </rPr>
      <t>Ex-Situ</t>
    </r>
    <r>
      <rPr>
        <sz val="11"/>
        <rFont val="Calibri"/>
        <family val="2"/>
      </rPr>
      <t xml:space="preserve"> CFP 2020 Projection with Co-Hydroprocessing Option</t>
    </r>
  </si>
  <si>
    <t>2020 Projection</t>
  </si>
  <si>
    <t>High-Octane Gasoline from Lignocellulosic Biomass via Syngas and Methanol/Dimethyl Ether Intermediates: 2019 State of Technology</t>
  </si>
  <si>
    <t>Eric C.D. Tan, Dan Ruddy, Connor Nash, Dan Dupuis,Kylee Harris, Abhijit Dutta, Damon Hartley, and Hao Cai</t>
  </si>
  <si>
    <t>https://www.nrel.gov/docs/fy20osti/76619.pdf</t>
  </si>
  <si>
    <t>Gasoline, LPG</t>
  </si>
  <si>
    <t>Blended Woody Biomass</t>
  </si>
  <si>
    <t>Utilities &amp; Storage</t>
  </si>
  <si>
    <t>Combined Algae Processing (CAP) 2019 SOT: Acids Pathway</t>
  </si>
  <si>
    <t>Combined Algae Processing (CAP) 2019 SOT: BDO Pathway</t>
  </si>
  <si>
    <t>T</t>
  </si>
  <si>
    <t>High-Octane Gasoline from Lignocellulosic Biomass via Syngas and Methanol/Dimethyl Ether Intermediates: 2019 State of Technology (2019 SOT)</t>
  </si>
  <si>
    <t>High-Octane Gasoline from Lignocellulosic Biomass via Syngas and Methanol/Dimethyl Ether Intermediates: 2019 State of Technology (2022 Projection)</t>
  </si>
  <si>
    <t>U</t>
  </si>
  <si>
    <r>
      <t xml:space="preserve">Ex Situ Catalytic Fast Pyrolysis of Lignocellulosic Biomass to Hydrocarbon Fuels: 2019 State of Technology and Future Research - </t>
    </r>
    <r>
      <rPr>
        <i/>
        <sz val="11"/>
        <color theme="1"/>
        <rFont val="Calibri"/>
        <family val="2"/>
        <scheme val="minor"/>
      </rPr>
      <t>Ex-Situ</t>
    </r>
    <r>
      <rPr>
        <sz val="11"/>
        <color theme="1"/>
        <rFont val="Calibri"/>
        <family val="2"/>
        <scheme val="minor"/>
      </rPr>
      <t xml:space="preserve"> CFP 2019 SOT</t>
    </r>
  </si>
  <si>
    <r>
      <t xml:space="preserve">Ex Situ Catalytic Fast Pyrolysis of Lignocellulosic Biomass to Hydrocarbon Fuels: 2019 State of Technology and Future Research - </t>
    </r>
    <r>
      <rPr>
        <i/>
        <sz val="11"/>
        <color theme="1"/>
        <rFont val="Calibri"/>
        <family val="2"/>
        <scheme val="minor"/>
      </rPr>
      <t>Ex-Situ</t>
    </r>
    <r>
      <rPr>
        <sz val="11"/>
        <color theme="1"/>
        <rFont val="Calibri"/>
        <family val="2"/>
        <scheme val="minor"/>
      </rPr>
      <t xml:space="preserve"> CFP 2020 Projection with Co-Hydroprocessing Option</t>
    </r>
  </si>
  <si>
    <t>Open Pond Algae Farm Cultivation 2019 SOT: Florida Algae (FA) Evaporation MBSP Scenario</t>
  </si>
  <si>
    <t>Dewatered Algal Biomass</t>
  </si>
  <si>
    <r>
      <t>Open Pond Algae Farm Design Case: Average of 10 Acre Pond Designs (</t>
    </r>
    <r>
      <rPr>
        <sz val="11"/>
        <color theme="1"/>
        <rFont val="Calibri"/>
        <family val="2"/>
        <scheme val="minor"/>
      </rPr>
      <t>Updated to 2014$)</t>
    </r>
  </si>
  <si>
    <t>Algal Biomass Conversion to Fuels via Combined Algae Processing (CAP): 2019 State of Technology and Future Research - Acids Pathway</t>
  </si>
  <si>
    <t>Algal Biomass Conversion to Fuels via Combined Algae Processing (CAP): 2019 State of Technology and Future Research - BDO Pathway</t>
  </si>
  <si>
    <t>Biochemical Conversion of Lignocellulosic Biomass to Hydrocarbon Fuels and Products: 2019 State of Technology and Future Research - BDO Pathway (Burn Lignin Case)</t>
  </si>
  <si>
    <t>Biochemical 2019 SOT: BDO Pathway (Burn Lignin Case)</t>
  </si>
  <si>
    <t>Biochemical 2019 SOT: BDO Pathway (Convert Lignin - "Base" Case)</t>
  </si>
  <si>
    <t>Biochemical Conversion of Lignocellulosic Biomass to Hydrocarbon Fuels and Products: 2019 State of Technology and Future Research - BDO Pathway (Convert Lignin - "Base" Case)</t>
  </si>
  <si>
    <t>Biochemical 2019 SOT: Acids Pathway (Burn Lignin Case)</t>
  </si>
  <si>
    <t xml:space="preserve">Biochemical Conversion of Lignocellulosic Biomass to Hydrocarbon Fuels and Products: 2019 State of Technology and Future Research - Acids Pathway (Burn Lignin Case) </t>
  </si>
  <si>
    <t>Biochemical 2019 SOT: Acids Pathway (Convert Lignin - "Base" Case)</t>
  </si>
  <si>
    <t>Biochemical Conversion of Lignocellulosic Biomass to Hydrocarbon Fuels and Products: 2019 State of Technology and Future Research - Acids Pathway (Convert Lignin - "Base" Case)</t>
  </si>
  <si>
    <t>Ex Situ Catalytic Fast Pyrolysis of Lignocellulosic Biomass to Hydrocarbon Fuels: 2019 State of Technology and Future Research - Ex-Situ CFP 2019 SOT</t>
  </si>
  <si>
    <t>Ex Situ Catalytic Fast Pyrolysis of Lignocellulosic Biomass to Hydrocarbon Fuels: 2019 State of Technology and Future Research - Ex-Situ CFP 2020 Projection with Co-Hydroprocessing Option</t>
  </si>
  <si>
    <t>Co-product Credit - Electricity</t>
  </si>
  <si>
    <t>Co-product Credit - Naphtha</t>
  </si>
  <si>
    <t>Co-product Credit from Raw Oil</t>
  </si>
  <si>
    <t>Chemicals</t>
  </si>
  <si>
    <t>Co-product Credits</t>
  </si>
  <si>
    <t>Succinic/Carboxylic Acid Fermentation and Seperation</t>
  </si>
  <si>
    <t>Renewable Diesel Blendstock, Naphtha</t>
  </si>
  <si>
    <t>Percent Time on Stream</t>
  </si>
  <si>
    <t>Prorateable Expenses</t>
  </si>
  <si>
    <t>Host Nutrients for Enzyme Production</t>
  </si>
  <si>
    <t>Sorbitol for Pretreatment</t>
  </si>
  <si>
    <t xml:space="preserve">      Electricity Co-product (sold internally and/or to the grid)</t>
  </si>
  <si>
    <t>General Plant Depreciation Percent of Straight-line</t>
  </si>
  <si>
    <t>Construction Time, years</t>
  </si>
  <si>
    <t>NREL Technical Report NREL/TP-5100-60223</t>
  </si>
  <si>
    <t>Blend of Multi-pass Corn Stover, Single-pass Corn Stover, and Switchgrass</t>
  </si>
  <si>
    <t>NREL Technical Report NREL/TP-5100-62498</t>
  </si>
  <si>
    <t>Mostly Jet Blendstock, Some Gasoline and Diesel Blendstock</t>
  </si>
  <si>
    <t>Days on Stream Per Year</t>
  </si>
  <si>
    <t>CO2 Delivery and Distribution</t>
  </si>
  <si>
    <t>Water Delivery</t>
  </si>
  <si>
    <t>Primary Harvesting</t>
  </si>
  <si>
    <t>Secondary Harvesting</t>
  </si>
  <si>
    <t>Tertiary Harvesting</t>
  </si>
  <si>
    <t>Water Pumps</t>
  </si>
  <si>
    <t>Diesel Hydrotreating Plant</t>
  </si>
  <si>
    <t>Acid for Pretreatment</t>
  </si>
  <si>
    <t>Ammonia for Pretreatment</t>
  </si>
  <si>
    <t>Solvent (Extraction)</t>
  </si>
  <si>
    <t>Adipic Acid (Polymer Grade)</t>
  </si>
  <si>
    <t>Periodic Costs (Baghouses, Catalysts, etc.)</t>
  </si>
  <si>
    <t>Other Costs (Start-up, Permits, etc.)</t>
  </si>
  <si>
    <t>Glucose for Enzyme Production</t>
  </si>
  <si>
    <t>Upgrading Catalysts and Chemicals</t>
  </si>
  <si>
    <t>Operating Hours Per Year</t>
  </si>
  <si>
    <t>AD Sludge</t>
  </si>
  <si>
    <t>ANL Technical Report ANL/ESD/12-4
NREL Technical Report NREL/TP-5100-55431
PNNL Technical Report PNNL-21437</t>
  </si>
  <si>
    <t>PNNL Technical Report PNNL-23227</t>
  </si>
  <si>
    <t xml:space="preserve">
NREL Technical Report NREL/TP-5100-64772
</t>
  </si>
  <si>
    <t>Electricity Co-product (sold internally and/or to the grid)</t>
  </si>
  <si>
    <t>Plant life, years</t>
  </si>
  <si>
    <t>Start-up Time, years</t>
  </si>
  <si>
    <t>Plant Life, years</t>
  </si>
  <si>
    <t>Internal Rate of Return (Discount Rate)</t>
  </si>
  <si>
    <t>Techno-Economic Analysis of Liquid Fuel Production from Woody Biomass via Hydrothermal Liquefaction (HTL) and Upgrading - State of Technology (SOT) Case</t>
  </si>
  <si>
    <t>Techno-Economic Analysis of Liquid Fuel Production from Woody Biomass via Hydrothermal Liquefaction (HTL) and Ipgrading - Goal Case</t>
  </si>
  <si>
    <t xml:space="preserve"> PNNL Report PNNL-18481</t>
  </si>
  <si>
    <t>Techno-Economic Analysis for the Conversion of Lignocellulosic Biomass to Gasoline via the Methanol-to-Gasoline (MTG) Process - Indirectly Heated Gasifier Case</t>
  </si>
  <si>
    <t>Techno-Economic Analysis of Biomass-to-Liquids Production Based on Gasification - Low Temperature Fluidized-Bed Gasifier Case</t>
  </si>
  <si>
    <t xml:space="preserve"> NREL Technical Report NREL/TP-5100-62402 
PNNL Report PNNL-23822</t>
  </si>
  <si>
    <t>2022 Target Case in 2014 Dollars</t>
  </si>
  <si>
    <t>Wood Chips (Blended Woody Biomass)</t>
  </si>
  <si>
    <t xml:space="preserve"> NREL Technical Report NREL/TP-5100-71957</t>
  </si>
  <si>
    <t>Woody Biomass (Logging Residue)</t>
  </si>
  <si>
    <t xml:space="preserve"> NREL Technical Report NREL/TP-5100-76619</t>
  </si>
  <si>
    <t>Remainder Off-site Battery Limits</t>
  </si>
  <si>
    <t>Eric C.D. Tan, Dan Ruddy, Connor Nash, Dan Dupuis, Kylee Harris, Abhijit Dutta, Damon Hartley, and Hao Cai</t>
  </si>
  <si>
    <t>Techno-Economic Analysis for the Conversion of Lignocellulosic Biomass to Gasoline via the Methanol-to-Gasoline (MTG) Process - Directly Heated Gasifier Case</t>
  </si>
  <si>
    <t>Low Temperature Fluidized-Bed Gasifier</t>
  </si>
  <si>
    <t>High Temperature Entrained-Flow Gasifier</t>
  </si>
  <si>
    <t>2013 Biochemical Design Case: Corn Stover-Derived Sugars to Diesel</t>
  </si>
  <si>
    <t>Techno-Economic and Resource Analysis of Hydroprocessed Jet Fuel - Jatropha Feedstock Case</t>
  </si>
  <si>
    <t>Techno-Economic and Resource Analysis of Hydroprocessed Jet Fuel - Yellow Grease Feedstock Case</t>
  </si>
  <si>
    <t>Yellow Grease Feedstock</t>
  </si>
  <si>
    <t>Jatropha Feedstock</t>
  </si>
  <si>
    <t xml:space="preserve">
NREL Technical Report NREL/TP-5100-76568
</t>
  </si>
  <si>
    <t xml:space="preserve">
NREL Technical Report NREL/TP-5100-76569
</t>
  </si>
  <si>
    <t>k</t>
  </si>
  <si>
    <t>Steam Plant Depreciation Percent of Straight-line</t>
  </si>
  <si>
    <t>Techno-Economic Analysis of Biomass Fast Pyrolysis to Transportation Fuels - Stand-alone (H2 Production) Case</t>
  </si>
  <si>
    <t>Stand-alone (H2 Production)</t>
  </si>
  <si>
    <t>Techno-Economic Analysis of Biomass Fast Pyrolysis to Transportation Fuels - Co-located (H2 Purchase) Case</t>
  </si>
  <si>
    <t>Gas Technology Institute Technical Report</t>
  </si>
  <si>
    <t>Woody Mix: 32% Softwood, 68% Hardwood</t>
  </si>
  <si>
    <t>PNNL Report PNNL-23053
NREL Report NREL/TP-5100-61178</t>
  </si>
  <si>
    <t>Blended Herbaceous Feedstock (primarily Corn Stover)</t>
  </si>
  <si>
    <t>Blend of 2-pass and 3-pass Corn Stover</t>
  </si>
  <si>
    <t>Blended, mostly Woody Feedstock:  30% Pulp, 35% Logging Residues, 10% Switchgrass, 25% Construction and Demolition Waste</t>
  </si>
  <si>
    <t>PNNL Report PNNL-23823
NREL Report NREL/TP-5100-62455</t>
  </si>
  <si>
    <r>
      <rPr>
        <i/>
        <sz val="11"/>
        <rFont val="Calibri"/>
        <family val="2"/>
      </rPr>
      <t>Ex-Situ</t>
    </r>
    <r>
      <rPr>
        <sz val="11"/>
        <rFont val="Calibri"/>
        <family val="2"/>
      </rPr>
      <t xml:space="preserve"> CFP 2022 Target Case in 2014 Dollars</t>
    </r>
  </si>
  <si>
    <t>Blended, mostly Woody Feedstock:  45% Pulpwood, 32% Wood Residues, 3% Switchgrass, 20% Construction and Demolition Waste</t>
  </si>
  <si>
    <r>
      <rPr>
        <i/>
        <sz val="11"/>
        <rFont val="Calibri"/>
        <family val="2"/>
      </rPr>
      <t>In-Situ</t>
    </r>
    <r>
      <rPr>
        <sz val="11"/>
        <rFont val="Calibri"/>
        <family val="2"/>
      </rPr>
      <t xml:space="preserve"> CFP 2022 Target Case in 2014 Dollars</t>
    </r>
  </si>
  <si>
    <t>NREL Report NREL/TP-5100-71954</t>
  </si>
  <si>
    <r>
      <rPr>
        <i/>
        <sz val="11"/>
        <rFont val="Calibri"/>
        <family val="2"/>
      </rPr>
      <t>Ex-Situ</t>
    </r>
    <r>
      <rPr>
        <sz val="11"/>
        <rFont val="Calibri"/>
        <family val="2"/>
      </rPr>
      <t xml:space="preserve"> Fixed Bed 2018 SOT (0.5 wt% Pt/TiO</t>
    </r>
    <r>
      <rPr>
        <vertAlign val="subscript"/>
        <sz val="11"/>
        <rFont val="Calibri"/>
        <family val="2"/>
      </rPr>
      <t>2</t>
    </r>
    <r>
      <rPr>
        <sz val="11"/>
        <rFont val="Calibri"/>
        <family val="2"/>
      </rPr>
      <t xml:space="preserve"> Catalyst)</t>
    </r>
  </si>
  <si>
    <t>NREL Report NREL/TP-5100-76269</t>
  </si>
  <si>
    <t>Blended, mostly Woody Feedstock: 50% Forest Residues, 50% Clean Pine</t>
  </si>
  <si>
    <t>Pyrolysis Vapor Quench, Condensation, Coproduct Recovery, &amp; Contingency</t>
  </si>
  <si>
    <t>Techno-Economic Analysis of Current Technology for Fischer-Tropsch Fuels Production</t>
  </si>
  <si>
    <t>LHV of Diesel, Btu/gal</t>
  </si>
  <si>
    <t xml:space="preserve">Techno-Economic Analysis for the Conversion of Lignocellulosic Biomass to Gasoline via the Methanol-to-Gasoline (MTG) Process </t>
  </si>
  <si>
    <t>Feedstock Cost, $/ dry US ton</t>
  </si>
  <si>
    <t>Feedstock Cost, $/day</t>
  </si>
  <si>
    <t>Feedstock Cost, $/yr at 100% on-stream capacity</t>
  </si>
  <si>
    <t>On-stream Factor</t>
  </si>
  <si>
    <t>Feedstock Cost, $/yr at 90% on-stream capacity</t>
  </si>
  <si>
    <t>Gasoline Production Rate, mmgal/yr</t>
  </si>
  <si>
    <t>LHV of Gasoline, MMBtu/gal</t>
  </si>
  <si>
    <t>Energy Production Rate, Btu/yr</t>
  </si>
  <si>
    <t>Energy Production Rate, MMBtu/yr</t>
  </si>
  <si>
    <t>Gasoline Production Rate (GGE/yr)</t>
  </si>
  <si>
    <t>Techno-Economic Analysis of Biomass-to-Liquids Production Based on Gasification</t>
  </si>
  <si>
    <t>Feedstock Price, $/dry metric tonne (2007$)</t>
  </si>
  <si>
    <t>Feedstock Price, $/dry short ton (2007$)</t>
  </si>
  <si>
    <t>Distillate Yield (MM GGE/yr)</t>
  </si>
  <si>
    <t>Distillate Yield (GGE/yr)</t>
  </si>
  <si>
    <t>Comparative Techno-Economic Analysis and Process Design for Indirect Liquefaction Pathways to Distillate-range Fuels via Biomass-derived Oxygenated Intermediates Upgrading</t>
  </si>
  <si>
    <t>Single-Step Syngas-to-Distillates (S2D) Process Based on Biomass-derived Syngas – A Techno-Economic Analysis - State of Technology (SOT) Case</t>
  </si>
  <si>
    <t>Single-Step Syngas-to-Distillates (S2D) Process Based on Biomass-derived Syngas – A Techno-Economic Analysis - Goal Case</t>
  </si>
  <si>
    <t>Single-Step Syngas-to-Distillates (S2D) Process Based on Biomass-derived Syngas – A Techno-Economic Analysis - Conventional Case</t>
  </si>
  <si>
    <t>Comparative Techno-Economic Analysis and Process Design for Indirect Liquefaction Pathways to Distillate-range Fuels via Biomass-derived Oxygenated Intermediates Upgrading - Pathway 1A</t>
  </si>
  <si>
    <t>Comparative Techno-Economic Analysis and Process Design for Indirect Liquefaction Pathways to Distillate-range Fuels via Biomass-derived Oxygenated Intermediates Upgrading - Pathway 1B</t>
  </si>
  <si>
    <t>Comparative Techno-Economic Analysis and Process Design for Indirect Liquefaction Pathways to Distillate-range Fuels via Biomass-derived Oxygenated Intermediates Upgrading - Pathway 2A</t>
  </si>
  <si>
    <t>Comparative Techno-Economic Analysis and Process Design for Indirect Liquefaction Pathways to Distillate-range Fuels via Biomass-derived Oxygenated Intermediates Upgrading - Pathway 2B</t>
  </si>
  <si>
    <t>Comparative Techno-Economic Analysis and Process Design for Indirect Liquefaction Pathways to Distillate-range Fuels via Biomass-derived Oxygenated Intermediates Upgrading - Pathway HT</t>
  </si>
  <si>
    <t>Volume Ratio</t>
  </si>
  <si>
    <t>Techno-Economic Analysis of Biomass Fast Pyrolysis to Transportation Fuels</t>
  </si>
  <si>
    <t>Co-located (H2 Purchase)</t>
  </si>
  <si>
    <t>LHV of Diesel, MMBtu/gal</t>
  </si>
  <si>
    <t>Naphtha wt% of Product</t>
  </si>
  <si>
    <t>Average Heating Value, Btu/gal</t>
  </si>
  <si>
    <t>Average Heating Value, MMBtu/gal</t>
  </si>
  <si>
    <t>Fuel Production Rate (GGE/yr)</t>
  </si>
  <si>
    <t>LHV of Gasoline, MM Btu/gal</t>
  </si>
  <si>
    <t>Hydrocarbon Production Rate (GGE/yr)</t>
  </si>
  <si>
    <t>Techno-Economic Analysis for Upgrading the Biomass-derived Ethanol-to-Jet Blendstocks</t>
  </si>
  <si>
    <t>Corn Stover to Jet</t>
  </si>
  <si>
    <t>Corn Grain to Jet</t>
  </si>
  <si>
    <t>Feedstock Price, $/lb</t>
  </si>
  <si>
    <t>Feedstock Moisture Content</t>
  </si>
  <si>
    <t>Feedstock Price, $/dry U.S. lb</t>
  </si>
  <si>
    <t>Feedstock Price, $/dry U.S. ton</t>
  </si>
  <si>
    <t>LHV of Jet, Btu/gal</t>
  </si>
  <si>
    <t>Jet Fuel Production Rate (GGE/yr)</t>
  </si>
  <si>
    <t>Techno-Economic Analysis for Upgrading the Biomass-derived Ethanol-to-Jet Blendstocks - Corn Grain Case in 2014$</t>
  </si>
  <si>
    <t>Techno-Economic Analysis for Upgrading the Biomass-derived Ethanol-to-Jet Blendstocks - Corn Stover Case in 2014$</t>
  </si>
  <si>
    <t>Techno-Economic Analysis of Liquid Fuel Production from Woody Biomass via Hydrothermal Liquefaction (HTL) and Upgrading</t>
  </si>
  <si>
    <t>Hydrocarbon Production rate (GGE/yr)</t>
  </si>
  <si>
    <t>Avg Feed Rate, Dry Ash Free Algae, TPD to HTL Reactor</t>
  </si>
  <si>
    <t>Avg Feed Rate, Dry Ash Free Algae, kg/hr</t>
  </si>
  <si>
    <t>NREL Technical Report NREL/TP-5100-76568</t>
  </si>
  <si>
    <t>Enzymatic Hydrolysis/Conditioning</t>
  </si>
  <si>
    <t>Process Design and Economics for the Conversion of Algal Biomass to Biofuels: Algal Biomass Fractionation to Lipid and Carbohydrate-derived Fuel Products</t>
  </si>
  <si>
    <t>Techno-Economic Analysis of Biomass-to-Liquids Production Based on Gasification - High Temperature Entrained-Flow Gasifier Case</t>
  </si>
  <si>
    <t>Woody Material, consistent with the composition of Hybrid Poplar</t>
  </si>
  <si>
    <t>$80.00 (Wood)</t>
  </si>
  <si>
    <t>Ex Situ Catalytic Fast Pyrolysis of Lignocellulosic Biomass to Hydrocarbon Fuels: 2018 State of Technology and Future Research - Ex-Situ Fixed Bed 2022 Projection</t>
  </si>
  <si>
    <t>Wood Chips and Natural Gas
(Wood Flowrate is the basis for yield calculations)</t>
  </si>
  <si>
    <t>43% Jet, 37% Gasoline, 20% Diesel (GGE Basis)</t>
  </si>
  <si>
    <t>40,000 acres</t>
  </si>
  <si>
    <t>Single-Step Syngas-to-Distillates (S2D) Process Based on Biomass-derived Syngas – A Techno-Economic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</si>
</sst>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General_)"/>
    <numFmt numFmtId="169" formatCode="#,##0.0"/>
    <numFmt numFmtId="170" formatCode="#,##0.0000"/>
    <numFmt numFmtId="171" formatCode="[$-F400]h:mm:ss\ AM/PM"/>
    <numFmt numFmtId="172" formatCode="[$-409]mmmm\ d\,\ yyyy;@"/>
    <numFmt numFmtId="173" formatCode="&quot;$&quot;#,##0.0000_);[Red]\(&quot;$&quot;#,##0.0000\)"/>
    <numFmt numFmtId="174" formatCode="&quot;$&quot;#,##0.0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font>
    <font>
      <sz val="10"/>
      <name val="Arial Narrow"/>
      <family val="2"/>
    </font>
    <font>
      <u/>
      <sz val="11.5"/>
      <color indexed="12"/>
      <name val="Courier"/>
      <family val="3"/>
    </font>
    <font>
      <sz val="10"/>
      <name val="Verdana"/>
      <family val="2"/>
    </font>
    <font>
      <sz val="11"/>
      <name val="Calibri"/>
      <family val="2"/>
      <scheme val="minor"/>
    </font>
    <font>
      <b/>
      <sz val="11"/>
      <color theme="1"/>
      <name val="Calibri"/>
      <family val="2"/>
      <scheme val="minor"/>
    </font>
    <font>
      <b/>
      <sz val="11"/>
      <name val="Calibri"/>
      <family val="2"/>
      <scheme val="minor"/>
    </font>
    <font>
      <sz val="8"/>
      <color indexed="81"/>
      <name val="Tahoma"/>
      <family val="2"/>
    </font>
    <font>
      <b/>
      <sz val="8"/>
      <color indexed="81"/>
      <name val="Tahoma"/>
      <family val="2"/>
    </font>
    <font>
      <sz val="10"/>
      <name val="Courier"/>
      <family val="3"/>
    </font>
    <font>
      <u/>
      <sz val="10"/>
      <color indexed="12"/>
      <name val="Arial"/>
      <family val="2"/>
    </font>
    <font>
      <sz val="9"/>
      <color indexed="81"/>
      <name val="Tahoma"/>
      <family val="2"/>
    </font>
    <font>
      <b/>
      <sz val="9"/>
      <color indexed="81"/>
      <name val="Tahoma"/>
      <family val="2"/>
    </font>
    <font>
      <sz val="12"/>
      <color theme="1"/>
      <name val="Calibri"/>
      <family val="2"/>
      <scheme val="minor"/>
    </font>
    <font>
      <sz val="11"/>
      <color indexed="8"/>
      <name val="Calibri"/>
      <family val="2"/>
    </font>
    <font>
      <b/>
      <sz val="14"/>
      <color theme="1"/>
      <name val="Calibri"/>
      <family val="2"/>
      <scheme val="minor"/>
    </font>
    <font>
      <b/>
      <sz val="10"/>
      <color theme="1"/>
      <name val="Arial"/>
      <family val="2"/>
    </font>
    <font>
      <sz val="10"/>
      <color theme="1"/>
      <name val="Arial"/>
      <family val="2"/>
    </font>
    <font>
      <b/>
      <sz val="16"/>
      <color theme="1"/>
      <name val="Calibri"/>
      <family val="2"/>
      <scheme val="minor"/>
    </font>
    <font>
      <sz val="11"/>
      <name val="Calibri"/>
      <family val="2"/>
    </font>
    <font>
      <i/>
      <sz val="11"/>
      <name val="Calibri"/>
      <family val="2"/>
    </font>
    <font>
      <vertAlign val="subscript"/>
      <sz val="11"/>
      <name val="Calibri"/>
      <family val="2"/>
    </font>
    <font>
      <i/>
      <sz val="11"/>
      <color theme="1"/>
      <name val="Calibri"/>
      <family val="2"/>
      <scheme val="minor"/>
    </font>
    <font>
      <sz val="11"/>
      <color rgb="FFFF0000"/>
      <name val="Calibri"/>
      <family val="2"/>
      <scheme val="minor"/>
    </font>
    <font>
      <sz val="12"/>
      <name val="Calibri"/>
      <family val="2"/>
      <scheme val="minor"/>
    </font>
    <font>
      <b/>
      <sz val="14"/>
      <color rgb="FFFF0000"/>
      <name val="Calibri"/>
      <family val="2"/>
      <scheme val="minor"/>
    </font>
    <font>
      <sz val="9"/>
      <color indexed="81"/>
      <name val="Tahoma"/>
    </font>
    <font>
      <b/>
      <sz val="9"/>
      <color indexed="81"/>
      <name val="Tahoma"/>
    </font>
    <font>
      <b/>
      <u/>
      <sz val="12"/>
      <color theme="1"/>
      <name val="Calibri"/>
      <family val="2"/>
      <scheme val="minor"/>
    </font>
  </fonts>
  <fills count="3">
    <fill>
      <patternFill patternType="none"/>
    </fill>
    <fill>
      <patternFill patternType="gray125"/>
    </fill>
    <fill>
      <patternFill patternType="solid">
        <fgColor rgb="FFCCFFCC"/>
        <bgColor indexed="64"/>
      </patternFill>
    </fill>
  </fills>
  <borders count="3">
    <border>
      <left/>
      <right/>
      <top/>
      <bottom/>
      <diagonal/>
    </border>
    <border>
      <left style="medium">
        <color indexed="64"/>
      </left>
      <right/>
      <top/>
      <bottom/>
      <diagonal/>
    </border>
    <border>
      <left style="thin">
        <color indexed="64"/>
      </left>
      <right style="medium">
        <color indexed="64"/>
      </right>
      <top/>
      <bottom style="medium">
        <color indexed="64"/>
      </bottom>
      <diagonal/>
    </border>
  </borders>
  <cellStyleXfs count="57457">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168" fontId="4" fillId="0" borderId="0"/>
    <xf numFmtId="43"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9" fontId="2" fillId="0" borderId="0" applyFont="0" applyFill="0" applyBorder="0" applyAlignment="0" applyProtection="0"/>
    <xf numFmtId="168" fontId="12" fillId="0" borderId="0"/>
    <xf numFmtId="168"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168" fontId="12" fillId="0" borderId="0"/>
    <xf numFmtId="0" fontId="1" fillId="0" borderId="0"/>
    <xf numFmtId="0" fontId="1" fillId="0" borderId="0"/>
    <xf numFmtId="0" fontId="2" fillId="0" borderId="0"/>
    <xf numFmtId="0" fontId="13"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4" fontId="1" fillId="0" borderId="0" applyFont="0" applyFill="0" applyBorder="0" applyAlignment="0" applyProtection="0"/>
    <xf numFmtId="171" fontId="5" fillId="0" borderId="0" applyNumberFormat="0" applyFill="0" applyBorder="0" applyAlignment="0" applyProtection="0">
      <alignment vertical="top"/>
      <protection locked="0"/>
    </xf>
    <xf numFmtId="171" fontId="2" fillId="0" borderId="0"/>
    <xf numFmtId="171" fontId="2" fillId="0" borderId="0"/>
    <xf numFmtId="171"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43" fontId="2" fillId="0" borderId="0" applyFont="0" applyFill="0" applyBorder="0" applyAlignment="0" applyProtection="0"/>
    <xf numFmtId="43" fontId="2"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6" fillId="0" borderId="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8" fontId="4" fillId="0" borderId="0"/>
    <xf numFmtId="0" fontId="5" fillId="0" borderId="0" applyNumberFormat="0" applyFill="0" applyBorder="0" applyAlignment="0" applyProtection="0">
      <alignment vertical="top"/>
      <protection locked="0"/>
    </xf>
    <xf numFmtId="171" fontId="5" fillId="0" borderId="0" applyNumberFormat="0" applyFill="0" applyBorder="0" applyAlignment="0" applyProtection="0">
      <alignment vertical="top"/>
      <protection locked="0"/>
    </xf>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7" fillId="0" borderId="0"/>
    <xf numFmtId="171" fontId="1" fillId="0" borderId="0"/>
    <xf numFmtId="171" fontId="1" fillId="0" borderId="0"/>
    <xf numFmtId="171" fontId="1" fillId="0" borderId="0"/>
    <xf numFmtId="171" fontId="1" fillId="0" borderId="0"/>
    <xf numFmtId="171" fontId="1" fillId="0" borderId="0"/>
    <xf numFmtId="171" fontId="17" fillId="0" borderId="0"/>
    <xf numFmtId="171" fontId="1" fillId="0" borderId="0"/>
    <xf numFmtId="168" fontId="4"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5" fillId="0" borderId="0" applyNumberFormat="0" applyFill="0" applyBorder="0" applyAlignment="0" applyProtection="0">
      <alignment vertical="top"/>
      <protection locked="0"/>
    </xf>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6"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8" fontId="4" fillId="0" borderId="0"/>
    <xf numFmtId="171" fontId="5" fillId="0" borderId="0" applyNumberFormat="0" applyFill="0" applyBorder="0" applyAlignment="0" applyProtection="0">
      <alignment vertical="top"/>
      <protection locked="0"/>
    </xf>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41" fontId="12"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9" fontId="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cellStyleXfs>
  <cellXfs count="279">
    <xf numFmtId="0" fontId="0" fillId="0" borderId="0" xfId="0"/>
    <xf numFmtId="0" fontId="0" fillId="0" borderId="0" xfId="0" applyAlignment="1">
      <alignment wrapText="1"/>
    </xf>
    <xf numFmtId="0" fontId="0" fillId="0" borderId="0" xfId="0" applyAlignment="1">
      <alignment horizontal="right"/>
    </xf>
    <xf numFmtId="0"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NumberFormat="1" applyAlignment="1">
      <alignment horizontal="center" vertical="center"/>
    </xf>
    <xf numFmtId="0" fontId="3" fillId="0" borderId="0" xfId="2" applyAlignment="1" applyProtection="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165" fontId="0" fillId="0" borderId="0" xfId="1" applyNumberFormat="1" applyFont="1" applyAlignment="1">
      <alignment horizontal="center" vertical="center"/>
    </xf>
    <xf numFmtId="0" fontId="0" fillId="0" borderId="0" xfId="0" applyAlignment="1">
      <alignment horizontal="center" vertical="center" wrapText="1"/>
    </xf>
    <xf numFmtId="164" fontId="0" fillId="0" borderId="0" xfId="1" applyNumberFormat="1" applyFont="1" applyAlignment="1">
      <alignment horizontal="center" vertical="center"/>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left" vertical="center" wrapText="1" indent="2"/>
    </xf>
    <xf numFmtId="0" fontId="0" fillId="0" borderId="0" xfId="0" applyFont="1" applyAlignment="1">
      <alignment horizontal="left" vertical="center" wrapText="1" indent="2"/>
    </xf>
    <xf numFmtId="166" fontId="0" fillId="0" borderId="0" xfId="0" applyNumberFormat="1" applyAlignment="1">
      <alignment horizontal="right" vertical="center" wrapText="1"/>
    </xf>
    <xf numFmtId="168" fontId="7" fillId="0" borderId="0" xfId="3" applyFont="1" applyAlignment="1">
      <alignment horizontal="left" vertical="center" indent="2"/>
    </xf>
    <xf numFmtId="0" fontId="0" fillId="0" borderId="0" xfId="0" applyAlignment="1">
      <alignment horizontal="left" vertical="center" indent="2"/>
    </xf>
    <xf numFmtId="9" fontId="7" fillId="0" borderId="0" xfId="3" applyNumberFormat="1" applyFont="1" applyAlignment="1">
      <alignment horizontal="right"/>
    </xf>
    <xf numFmtId="164" fontId="7" fillId="0" borderId="0" xfId="3" applyNumberFormat="1" applyFont="1" applyAlignment="1">
      <alignment horizontal="right"/>
    </xf>
    <xf numFmtId="167" fontId="7" fillId="0" borderId="0" xfId="3" applyNumberFormat="1" applyFont="1" applyAlignment="1">
      <alignment horizontal="right"/>
    </xf>
    <xf numFmtId="167" fontId="0" fillId="0" borderId="0" xfId="0" applyNumberFormat="1" applyAlignment="1">
      <alignment horizontal="right" vertical="center" wrapText="1"/>
    </xf>
    <xf numFmtId="0" fontId="7" fillId="0" borderId="0" xfId="7" applyFont="1" applyAlignment="1">
      <alignment horizontal="left" indent="2"/>
    </xf>
    <xf numFmtId="0" fontId="7" fillId="0" borderId="0" xfId="7" applyFont="1" applyAlignment="1">
      <alignment horizontal="left"/>
    </xf>
    <xf numFmtId="0" fontId="0" fillId="0" borderId="0" xfId="0" applyNumberFormat="1" applyAlignment="1">
      <alignment horizontal="right" vertical="center" wrapText="1"/>
    </xf>
    <xf numFmtId="9" fontId="0" fillId="0" borderId="0" xfId="0" applyNumberFormat="1" applyAlignment="1">
      <alignment horizontal="right" vertical="center" wrapText="1"/>
    </xf>
    <xf numFmtId="166" fontId="0" fillId="0" borderId="0" xfId="0" applyNumberFormat="1" applyAlignment="1">
      <alignment horizontal="right" vertical="center" wrapText="1" indent="2"/>
    </xf>
    <xf numFmtId="10" fontId="0" fillId="0" borderId="0" xfId="1" applyNumberFormat="1" applyFont="1" applyAlignment="1">
      <alignment horizontal="right" vertical="center" wrapText="1"/>
    </xf>
    <xf numFmtId="9" fontId="0" fillId="0" borderId="0" xfId="1" applyNumberFormat="1" applyFont="1" applyAlignment="1">
      <alignment horizontal="right" vertical="center" wrapText="1"/>
    </xf>
    <xf numFmtId="0" fontId="0" fillId="0" borderId="0" xfId="1" applyNumberFormat="1" applyFont="1" applyAlignment="1">
      <alignment horizontal="right" vertical="center" wrapText="1"/>
    </xf>
    <xf numFmtId="0" fontId="0" fillId="0" borderId="0" xfId="0" applyAlignment="1">
      <alignment horizontal="right" vertical="center" wrapText="1"/>
    </xf>
    <xf numFmtId="168" fontId="7" fillId="0" borderId="0" xfId="3" applyFont="1" applyAlignment="1">
      <alignment horizontal="left" vertical="center"/>
    </xf>
    <xf numFmtId="0" fontId="8" fillId="0" borderId="0" xfId="0" applyFont="1" applyAlignment="1">
      <alignment vertical="center"/>
    </xf>
    <xf numFmtId="168" fontId="9" fillId="0" borderId="0" xfId="3" applyFont="1" applyAlignment="1">
      <alignment horizontal="left" vertical="center"/>
    </xf>
    <xf numFmtId="168" fontId="7" fillId="0" borderId="0" xfId="3" applyFont="1" applyAlignment="1">
      <alignment horizontal="left" vertical="center" indent="4"/>
    </xf>
    <xf numFmtId="8" fontId="0" fillId="0" borderId="0" xfId="0" applyNumberFormat="1" applyAlignment="1">
      <alignment horizontal="center" vertical="center"/>
    </xf>
    <xf numFmtId="8" fontId="0" fillId="0" borderId="0" xfId="0" applyNumberFormat="1" applyAlignment="1">
      <alignment horizontal="center" vertical="center" wrapText="1"/>
    </xf>
    <xf numFmtId="8" fontId="0" fillId="0" borderId="0" xfId="0" applyNumberFormat="1" applyAlignment="1">
      <alignment horizontal="right" vertical="center" wrapText="1"/>
    </xf>
    <xf numFmtId="3" fontId="0" fillId="0" borderId="0" xfId="0" applyNumberFormat="1" applyAlignment="1">
      <alignment horizontal="right" vertical="center" wrapText="1"/>
    </xf>
    <xf numFmtId="166" fontId="7" fillId="0" borderId="0" xfId="3" applyNumberFormat="1" applyFont="1" applyAlignment="1">
      <alignment horizontal="right"/>
    </xf>
    <xf numFmtId="0" fontId="0" fillId="0" borderId="0" xfId="0" applyBorder="1"/>
    <xf numFmtId="167" fontId="0" fillId="0" borderId="0" xfId="0" applyNumberFormat="1" applyFill="1" applyAlignment="1">
      <alignment horizontal="right" vertical="center" wrapText="1"/>
    </xf>
    <xf numFmtId="167" fontId="7" fillId="0" borderId="0" xfId="3" applyNumberFormat="1" applyFont="1" applyFill="1" applyAlignment="1">
      <alignment horizontal="right"/>
    </xf>
    <xf numFmtId="0" fontId="8" fillId="0" borderId="0" xfId="0" applyFont="1" applyAlignment="1">
      <alignment vertical="center" wrapText="1"/>
    </xf>
    <xf numFmtId="167" fontId="8" fillId="0" borderId="0" xfId="0" applyNumberFormat="1" applyFont="1" applyAlignment="1">
      <alignment horizontal="right" vertical="center" wrapText="1"/>
    </xf>
    <xf numFmtId="167" fontId="9" fillId="0" borderId="0" xfId="3" applyNumberFormat="1" applyFont="1" applyAlignment="1">
      <alignment horizontal="right"/>
    </xf>
    <xf numFmtId="0" fontId="2" fillId="0" borderId="0" xfId="30" applyFill="1" applyBorder="1" applyAlignment="1">
      <alignment horizontal="left" indent="2"/>
    </xf>
    <xf numFmtId="0" fontId="2" fillId="0" borderId="1" xfId="30" applyFill="1" applyBorder="1" applyAlignment="1">
      <alignment horizontal="left" wrapText="1" indent="2" shrinkToFit="1"/>
    </xf>
    <xf numFmtId="0" fontId="2" fillId="0" borderId="1" xfId="30" applyFont="1" applyFill="1" applyBorder="1" applyAlignment="1">
      <alignment horizontal="left" wrapText="1" indent="2" shrinkToFit="1"/>
    </xf>
    <xf numFmtId="0" fontId="2" fillId="0" borderId="0" xfId="30" applyFont="1" applyAlignment="1">
      <alignment horizontal="left" indent="2"/>
    </xf>
    <xf numFmtId="0" fontId="3" fillId="0" borderId="0" xfId="2" applyAlignment="1" applyProtection="1">
      <alignment wrapText="1"/>
    </xf>
    <xf numFmtId="3" fontId="0" fillId="0" borderId="0" xfId="0" applyNumberFormat="1"/>
    <xf numFmtId="0" fontId="0" fillId="0" borderId="0" xfId="0" applyAlignment="1">
      <alignment horizontal="center"/>
    </xf>
    <xf numFmtId="0" fontId="0" fillId="0" borderId="0" xfId="0" applyNumberFormat="1" applyAlignment="1">
      <alignment horizontal="center"/>
    </xf>
    <xf numFmtId="8" fontId="0" fillId="0" borderId="0" xfId="0" applyNumberFormat="1"/>
    <xf numFmtId="0" fontId="3" fillId="0" borderId="0" xfId="2" applyAlignment="1" applyProtection="1">
      <alignment horizontal="center" wrapText="1"/>
    </xf>
    <xf numFmtId="164" fontId="0" fillId="0" borderId="0" xfId="0" applyNumberFormat="1" applyAlignment="1">
      <alignment horizontal="center"/>
    </xf>
    <xf numFmtId="1" fontId="0" fillId="0" borderId="0" xfId="0" applyNumberFormat="1" applyAlignment="1">
      <alignment horizontal="center"/>
    </xf>
    <xf numFmtId="1" fontId="0" fillId="0" borderId="0" xfId="1" applyNumberFormat="1" applyFont="1" applyAlignment="1">
      <alignment horizontal="center" vertical="center"/>
    </xf>
    <xf numFmtId="169" fontId="0" fillId="0" borderId="0" xfId="0" applyNumberFormat="1" applyAlignment="1">
      <alignment horizontal="center" vertical="center" wrapText="1"/>
    </xf>
    <xf numFmtId="4" fontId="0" fillId="0" borderId="0" xfId="0" applyNumberFormat="1" applyAlignment="1">
      <alignment horizontal="center" vertical="center" wrapText="1"/>
    </xf>
    <xf numFmtId="9" fontId="0" fillId="0" borderId="0" xfId="1"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9" fontId="0" fillId="0" borderId="0" xfId="1" applyFont="1" applyAlignment="1">
      <alignment horizontal="center"/>
    </xf>
    <xf numFmtId="165" fontId="0" fillId="0" borderId="0" xfId="1" applyNumberFormat="1" applyFont="1" applyAlignment="1">
      <alignment horizontal="center"/>
    </xf>
    <xf numFmtId="167" fontId="0" fillId="0" borderId="0" xfId="0" applyNumberFormat="1"/>
    <xf numFmtId="0" fontId="0" fillId="0" borderId="0" xfId="1" applyNumberFormat="1" applyFont="1"/>
    <xf numFmtId="169" fontId="0" fillId="0" borderId="0" xfId="0" applyNumberFormat="1" applyAlignment="1">
      <alignment horizontal="center"/>
    </xf>
    <xf numFmtId="3" fontId="0" fillId="0" borderId="0" xfId="0" applyNumberFormat="1" applyAlignment="1">
      <alignment horizontal="center" wrapText="1"/>
    </xf>
    <xf numFmtId="3" fontId="0" fillId="0" borderId="0" xfId="0" applyNumberFormat="1" applyAlignment="1">
      <alignment horizontal="center"/>
    </xf>
    <xf numFmtId="166" fontId="0" fillId="0" borderId="0" xfId="0" applyNumberFormat="1" applyAlignment="1">
      <alignment horizontal="center"/>
    </xf>
    <xf numFmtId="170" fontId="0" fillId="0" borderId="0" xfId="0" applyNumberFormat="1" applyAlignment="1">
      <alignment horizontal="center" vertical="center" wrapText="1"/>
    </xf>
    <xf numFmtId="9" fontId="0" fillId="0" borderId="0" xfId="1" applyFont="1" applyFill="1"/>
    <xf numFmtId="0" fontId="3" fillId="0" borderId="0" xfId="2" applyAlignment="1" applyProtection="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3" fontId="0" fillId="0" borderId="0" xfId="0" applyNumberFormat="1" applyFill="1"/>
    <xf numFmtId="164" fontId="0" fillId="0" borderId="0" xfId="0" applyNumberFormat="1" applyFill="1"/>
    <xf numFmtId="167" fontId="0" fillId="0" borderId="0" xfId="0" applyNumberFormat="1" applyFill="1"/>
    <xf numFmtId="167" fontId="8" fillId="0" borderId="0" xfId="0" applyNumberFormat="1" applyFont="1" applyFill="1"/>
    <xf numFmtId="166" fontId="0" fillId="0" borderId="0" xfId="0" applyNumberFormat="1" applyFill="1"/>
    <xf numFmtId="165" fontId="0" fillId="0" borderId="0" xfId="1" applyNumberFormat="1" applyFont="1" applyFill="1"/>
    <xf numFmtId="9" fontId="0" fillId="0" borderId="0" xfId="1" applyNumberFormat="1" applyFont="1" applyFill="1"/>
    <xf numFmtId="0" fontId="0" fillId="0" borderId="0" xfId="1" applyNumberFormat="1" applyFont="1" applyFill="1"/>
    <xf numFmtId="3" fontId="0" fillId="0" borderId="0" xfId="1" applyNumberFormat="1" applyFont="1" applyFill="1"/>
    <xf numFmtId="8" fontId="0" fillId="0" borderId="0" xfId="0" applyNumberFormat="1" applyFill="1"/>
    <xf numFmtId="8" fontId="0" fillId="0" borderId="0" xfId="0" applyNumberFormat="1" applyFill="1" applyAlignment="1">
      <alignment horizontal="center" vertical="center" wrapText="1"/>
    </xf>
    <xf numFmtId="0" fontId="0" fillId="0" borderId="0" xfId="0" applyFill="1" applyAlignment="1">
      <alignment vertical="center"/>
    </xf>
    <xf numFmtId="167" fontId="8" fillId="0" borderId="0" xfId="0" applyNumberFormat="1" applyFont="1" applyFill="1" applyAlignment="1">
      <alignment horizontal="right" vertical="center" wrapText="1"/>
    </xf>
    <xf numFmtId="167" fontId="9" fillId="0" borderId="0" xfId="3" applyNumberFormat="1" applyFont="1" applyFill="1" applyAlignment="1">
      <alignment horizontal="right"/>
    </xf>
    <xf numFmtId="6" fontId="0" fillId="0" borderId="0" xfId="0" applyNumberFormat="1" applyAlignment="1">
      <alignment horizontal="center" wrapText="1"/>
    </xf>
    <xf numFmtId="0" fontId="8" fillId="0" borderId="0" xfId="0" applyFont="1" applyAlignment="1">
      <alignment wrapText="1"/>
    </xf>
    <xf numFmtId="9" fontId="0" fillId="0" borderId="0" xfId="0" applyNumberFormat="1" applyAlignment="1">
      <alignment horizontal="center"/>
    </xf>
    <xf numFmtId="9" fontId="0" fillId="0" borderId="0" xfId="1" applyFont="1" applyAlignment="1">
      <alignment horizontal="center" wrapText="1"/>
    </xf>
    <xf numFmtId="164" fontId="0" fillId="0" borderId="0" xfId="0" applyNumberFormat="1" applyAlignment="1">
      <alignment horizontal="center" wrapText="1"/>
    </xf>
    <xf numFmtId="6" fontId="0" fillId="0" borderId="0" xfId="0" applyNumberFormat="1"/>
    <xf numFmtId="6" fontId="0" fillId="0" borderId="0" xfId="0" applyNumberFormat="1" applyAlignment="1">
      <alignment horizontal="center"/>
    </xf>
    <xf numFmtId="166" fontId="0" fillId="0" borderId="0" xfId="0" applyNumberFormat="1" applyAlignment="1">
      <alignment horizontal="center" wrapText="1"/>
    </xf>
    <xf numFmtId="167" fontId="0" fillId="0" borderId="0" xfId="0" applyNumberFormat="1" applyAlignment="1">
      <alignment horizontal="center" wrapText="1"/>
    </xf>
    <xf numFmtId="167" fontId="0" fillId="0" borderId="0" xfId="0" applyNumberFormat="1" applyAlignment="1">
      <alignment horizontal="center"/>
    </xf>
    <xf numFmtId="167" fontId="8" fillId="0" borderId="0" xfId="0" applyNumberFormat="1" applyFont="1" applyAlignment="1">
      <alignment horizontal="center"/>
    </xf>
    <xf numFmtId="0" fontId="0" fillId="0" borderId="0" xfId="1" applyNumberFormat="1" applyFont="1" applyFill="1" applyAlignment="1">
      <alignment horizontal="right" vertical="center" wrapText="1"/>
    </xf>
    <xf numFmtId="164" fontId="7" fillId="0" borderId="0" xfId="3" applyNumberFormat="1" applyFont="1" applyFill="1" applyAlignment="1">
      <alignment horizontal="right"/>
    </xf>
    <xf numFmtId="9" fontId="7" fillId="0" borderId="0" xfId="3" applyNumberFormat="1" applyFont="1" applyFill="1" applyAlignment="1">
      <alignment horizontal="right"/>
    </xf>
    <xf numFmtId="166" fontId="0" fillId="0" borderId="0" xfId="0" applyNumberFormat="1" applyFill="1" applyAlignment="1">
      <alignment horizontal="right" vertical="center" wrapText="1"/>
    </xf>
    <xf numFmtId="10" fontId="0" fillId="0" borderId="0" xfId="1" applyNumberFormat="1" applyFont="1" applyFill="1" applyAlignment="1">
      <alignment horizontal="right" vertical="center" wrapText="1"/>
    </xf>
    <xf numFmtId="8" fontId="0" fillId="0" borderId="0" xfId="0" applyNumberFormat="1" applyFill="1" applyAlignment="1">
      <alignment horizontal="right" vertical="center" wrapText="1"/>
    </xf>
    <xf numFmtId="1" fontId="0" fillId="0" borderId="0" xfId="0" applyNumberFormat="1" applyFill="1" applyAlignment="1">
      <alignment horizontal="right" vertical="center" wrapText="1"/>
    </xf>
    <xf numFmtId="3" fontId="0" fillId="0" borderId="0" xfId="0" applyNumberFormat="1" applyFill="1" applyAlignment="1">
      <alignment horizontal="right" vertical="center" wrapText="1"/>
    </xf>
    <xf numFmtId="0" fontId="0" fillId="0" borderId="0" xfId="0" applyFill="1" applyAlignment="1">
      <alignment horizontal="right" vertical="center"/>
    </xf>
    <xf numFmtId="166" fontId="0" fillId="0" borderId="0" xfId="34" applyNumberFormat="1" applyFont="1" applyAlignment="1">
      <alignment horizontal="center" wrapText="1"/>
    </xf>
    <xf numFmtId="9" fontId="0" fillId="0" borderId="0" xfId="1" applyNumberFormat="1" applyFont="1" applyFill="1" applyAlignment="1">
      <alignment horizontal="center" vertical="center"/>
    </xf>
    <xf numFmtId="9" fontId="0" fillId="0" borderId="0" xfId="0" applyNumberFormat="1" applyFill="1" applyAlignment="1">
      <alignment horizontal="right" vertical="center" wrapText="1"/>
    </xf>
    <xf numFmtId="9" fontId="0" fillId="0" borderId="0" xfId="1" applyNumberFormat="1" applyFont="1" applyFill="1" applyAlignment="1">
      <alignment horizontal="right" vertical="center" wrapText="1"/>
    </xf>
    <xf numFmtId="166" fontId="7" fillId="0" borderId="0" xfId="3" applyNumberFormat="1" applyFont="1" applyFill="1" applyAlignment="1">
      <alignment horizontal="right"/>
    </xf>
    <xf numFmtId="0" fontId="0" fillId="0" borderId="0" xfId="0" applyFill="1" applyAlignment="1">
      <alignment horizontal="right" vertical="center" wrapText="1"/>
    </xf>
    <xf numFmtId="3" fontId="0" fillId="0" borderId="0" xfId="0" applyNumberFormat="1" applyFill="1" applyAlignment="1">
      <alignment horizontal="center" vertical="center"/>
    </xf>
    <xf numFmtId="164" fontId="0" fillId="0" borderId="0" xfId="0" applyNumberFormat="1" applyFill="1" applyAlignment="1">
      <alignment horizontal="center" vertical="center" wrapText="1"/>
    </xf>
    <xf numFmtId="9" fontId="0" fillId="0" borderId="0" xfId="1" applyNumberFormat="1" applyFont="1" applyAlignment="1">
      <alignment horizontal="center" vertical="center"/>
    </xf>
    <xf numFmtId="167" fontId="0" fillId="0" borderId="0" xfId="0" applyNumberFormat="1" applyFont="1" applyFill="1" applyAlignment="1">
      <alignment horizontal="right" vertical="center" wrapText="1"/>
    </xf>
    <xf numFmtId="167" fontId="9" fillId="0" borderId="0" xfId="0" applyNumberFormat="1" applyFont="1" applyFill="1" applyAlignment="1">
      <alignment horizontal="right" vertical="center" wrapText="1"/>
    </xf>
    <xf numFmtId="167" fontId="7" fillId="0" borderId="0" xfId="3" applyNumberFormat="1" applyFont="1" applyFill="1" applyAlignment="1">
      <alignment horizontal="left"/>
    </xf>
    <xf numFmtId="166" fontId="0" fillId="0" borderId="0" xfId="0" applyNumberFormat="1" applyFill="1" applyAlignment="1">
      <alignment horizontal="right" vertical="center" wrapText="1" indent="2"/>
    </xf>
    <xf numFmtId="170" fontId="0" fillId="0" borderId="0" xfId="0" applyNumberFormat="1" applyFill="1" applyAlignment="1">
      <alignment horizontal="center" vertical="center" wrapText="1"/>
    </xf>
    <xf numFmtId="8" fontId="0" fillId="0" borderId="0" xfId="0" applyNumberFormat="1" applyFill="1" applyAlignment="1">
      <alignment horizontal="center"/>
    </xf>
    <xf numFmtId="3" fontId="0" fillId="0" borderId="0" xfId="0" applyNumberFormat="1"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xf numFmtId="1" fontId="6" fillId="0" borderId="0" xfId="37" applyNumberFormat="1" applyFont="1" applyFill="1" applyAlignment="1">
      <alignment horizontal="right" vertical="center"/>
    </xf>
    <xf numFmtId="169" fontId="0" fillId="0" borderId="0" xfId="0" applyNumberFormat="1" applyFill="1" applyAlignment="1">
      <alignment horizontal="center"/>
    </xf>
    <xf numFmtId="0" fontId="0" fillId="0" borderId="0" xfId="0" applyNumberFormat="1" applyFill="1" applyAlignment="1">
      <alignment horizontal="right" vertical="center" wrapText="1"/>
    </xf>
    <xf numFmtId="0" fontId="0" fillId="0" borderId="0" xfId="0" applyFill="1" applyAlignment="1">
      <alignment horizontal="center"/>
    </xf>
    <xf numFmtId="167" fontId="7" fillId="0" borderId="0" xfId="36" applyNumberFormat="1" applyFont="1" applyFill="1" applyBorder="1" applyAlignment="1">
      <alignment wrapText="1"/>
    </xf>
    <xf numFmtId="3" fontId="0" fillId="0" borderId="0" xfId="0" applyNumberFormat="1" applyFill="1" applyAlignment="1">
      <alignment horizontal="center"/>
    </xf>
    <xf numFmtId="0" fontId="3" fillId="0" borderId="0" xfId="2" applyFill="1" applyAlignment="1" applyProtection="1">
      <alignment horizontal="center" vertical="center" wrapText="1"/>
    </xf>
    <xf numFmtId="8" fontId="0" fillId="0" borderId="0" xfId="0" applyNumberFormat="1" applyFill="1" applyAlignment="1">
      <alignment horizontal="center" vertical="center"/>
    </xf>
    <xf numFmtId="167" fontId="0" fillId="0" borderId="0" xfId="0" applyNumberFormat="1" applyFill="1" applyBorder="1" applyAlignment="1">
      <alignment horizontal="right" vertical="center" wrapText="1"/>
    </xf>
    <xf numFmtId="0" fontId="0" fillId="0" borderId="0" xfId="0" applyNumberFormat="1" applyFill="1" applyAlignment="1">
      <alignment horizontal="center" vertical="center"/>
    </xf>
    <xf numFmtId="0" fontId="0" fillId="0" borderId="0" xfId="0" applyNumberFormat="1" applyAlignment="1">
      <alignment horizontal="center" vertical="center" wrapText="1"/>
    </xf>
    <xf numFmtId="164" fontId="0" fillId="0" borderId="0" xfId="0" applyNumberFormat="1" applyFill="1" applyAlignment="1">
      <alignment horizontal="center"/>
    </xf>
    <xf numFmtId="0" fontId="3" fillId="0" borderId="0" xfId="2" applyAlignment="1" applyProtection="1">
      <alignment horizontal="center"/>
    </xf>
    <xf numFmtId="0" fontId="0" fillId="0" borderId="0" xfId="0" applyNumberFormat="1"/>
    <xf numFmtId="0" fontId="0" fillId="0" borderId="0" xfId="0" applyFill="1" applyAlignment="1">
      <alignment horizontal="right"/>
    </xf>
    <xf numFmtId="0" fontId="0" fillId="0" borderId="0" xfId="0" applyFill="1" applyAlignment="1">
      <alignment horizontal="center" wrapText="1"/>
    </xf>
    <xf numFmtId="0" fontId="0" fillId="0" borderId="0" xfId="0" applyFill="1" applyAlignment="1">
      <alignment wrapText="1"/>
    </xf>
    <xf numFmtId="164" fontId="0" fillId="0" borderId="0" xfId="0" applyNumberFormat="1" applyFill="1" applyAlignment="1">
      <alignment horizontal="center" wrapText="1"/>
    </xf>
    <xf numFmtId="3" fontId="0" fillId="0" borderId="0" xfId="0" applyNumberFormat="1" applyFill="1" applyAlignment="1">
      <alignment horizontal="center" wrapText="1"/>
    </xf>
    <xf numFmtId="165" fontId="0" fillId="0" borderId="0" xfId="0" applyNumberFormat="1" applyFill="1" applyAlignment="1">
      <alignment horizontal="right" vertical="center" wrapText="1"/>
    </xf>
    <xf numFmtId="167" fontId="0" fillId="0" borderId="0" xfId="0" applyNumberFormat="1" applyFont="1" applyFill="1"/>
    <xf numFmtId="0" fontId="0" fillId="0" borderId="0" xfId="0" applyFont="1" applyAlignment="1">
      <alignment horizontal="center" vertical="center" wrapText="1"/>
    </xf>
    <xf numFmtId="8" fontId="0" fillId="0" borderId="0" xfId="0" applyNumberFormat="1" applyAlignment="1">
      <alignment horizontal="center" wrapText="1"/>
    </xf>
    <xf numFmtId="0" fontId="0" fillId="0" borderId="0" xfId="0" applyNumberFormat="1" applyFill="1" applyAlignment="1">
      <alignment horizontal="center" vertical="center" wrapText="1"/>
    </xf>
    <xf numFmtId="168" fontId="9" fillId="0" borderId="0" xfId="3" applyFont="1" applyAlignment="1">
      <alignment horizontal="left" vertical="center" indent="2"/>
    </xf>
    <xf numFmtId="0" fontId="2" fillId="0" borderId="0" xfId="30" applyFont="1" applyFill="1" applyBorder="1" applyAlignment="1">
      <alignment horizontal="left" wrapText="1" indent="2" shrinkToFit="1"/>
    </xf>
    <xf numFmtId="0" fontId="8" fillId="0" borderId="0" xfId="0" applyFont="1" applyAlignment="1">
      <alignment horizontal="left" vertical="center" wrapText="1"/>
    </xf>
    <xf numFmtId="6" fontId="0" fillId="0" borderId="0" xfId="0" applyNumberFormat="1" applyFill="1" applyAlignment="1">
      <alignment horizontal="center" vertical="center"/>
    </xf>
    <xf numFmtId="1" fontId="0" fillId="0" borderId="0" xfId="0" applyNumberFormat="1" applyAlignment="1">
      <alignment horizontal="center" wrapText="1"/>
    </xf>
    <xf numFmtId="1" fontId="0" fillId="0" borderId="0" xfId="0" applyNumberFormat="1" applyFill="1" applyAlignment="1">
      <alignment horizontal="center" vertical="center"/>
    </xf>
    <xf numFmtId="1" fontId="0" fillId="0" borderId="0" xfId="0" applyNumberFormat="1" applyFill="1" applyAlignment="1">
      <alignment horizontal="center" wrapText="1"/>
    </xf>
    <xf numFmtId="0" fontId="0" fillId="0" borderId="0" xfId="0" applyFill="1" applyAlignment="1">
      <alignment horizontal="left" vertical="center" indent="2"/>
    </xf>
    <xf numFmtId="0" fontId="18" fillId="0" borderId="0" xfId="0" applyFont="1" applyAlignment="1">
      <alignment wrapText="1"/>
    </xf>
    <xf numFmtId="166" fontId="0" fillId="0" borderId="0" xfId="0" applyNumberFormat="1" applyFont="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18" fillId="0" borderId="0" xfId="0" applyFont="1"/>
    <xf numFmtId="0" fontId="19" fillId="0" borderId="0" xfId="0" applyFont="1" applyBorder="1" applyAlignment="1">
      <alignment horizontal="right" vertical="center"/>
    </xf>
    <xf numFmtId="0" fontId="20" fillId="2" borderId="0" xfId="0" applyFont="1" applyFill="1" applyBorder="1" applyAlignment="1">
      <alignment vertical="center" wrapText="1"/>
    </xf>
    <xf numFmtId="0" fontId="3" fillId="2" borderId="0" xfId="2" applyFill="1" applyBorder="1" applyAlignment="1" applyProtection="1">
      <alignment vertical="center" wrapText="1"/>
    </xf>
    <xf numFmtId="172" fontId="20" fillId="2" borderId="0" xfId="0" applyNumberFormat="1" applyFont="1" applyFill="1" applyBorder="1" applyAlignment="1">
      <alignment horizontal="left" vertical="center" wrapText="1"/>
    </xf>
    <xf numFmtId="0" fontId="21" fillId="0" borderId="0" xfId="0" applyFont="1"/>
    <xf numFmtId="0" fontId="22" fillId="0" borderId="0" xfId="2" applyFont="1" applyAlignment="1" applyProtection="1">
      <alignment horizontal="center" vertical="center" wrapText="1"/>
    </xf>
    <xf numFmtId="0" fontId="0" fillId="0" borderId="0" xfId="0" applyFont="1" applyAlignment="1">
      <alignment horizontal="center" vertical="center"/>
    </xf>
    <xf numFmtId="0" fontId="0" fillId="0" borderId="0" xfId="0" applyFont="1"/>
    <xf numFmtId="173" fontId="0" fillId="0" borderId="0" xfId="0" applyNumberFormat="1" applyFont="1" applyAlignment="1">
      <alignment horizontal="center" vertical="center"/>
    </xf>
    <xf numFmtId="174" fontId="0" fillId="0" borderId="0" xfId="0" applyNumberFormat="1" applyFont="1" applyAlignment="1">
      <alignment horizontal="center" vertical="center"/>
    </xf>
    <xf numFmtId="4" fontId="0" fillId="0" borderId="0" xfId="0" applyNumberFormat="1" applyFill="1" applyAlignment="1">
      <alignment horizontal="center" vertical="center" wrapText="1"/>
    </xf>
    <xf numFmtId="3" fontId="0" fillId="0" borderId="0" xfId="0" applyNumberFormat="1" applyFont="1" applyAlignment="1">
      <alignment horizontal="center"/>
    </xf>
    <xf numFmtId="166" fontId="0" fillId="0" borderId="0" xfId="0" applyNumberFormat="1" applyFill="1" applyAlignment="1">
      <alignment horizontal="center" vertical="center" wrapText="1"/>
    </xf>
    <xf numFmtId="0" fontId="0" fillId="0" borderId="0" xfId="0" applyBorder="1" applyAlignment="1">
      <alignment horizontal="left" indent="2"/>
    </xf>
    <xf numFmtId="0" fontId="0" fillId="0" borderId="0" xfId="0" applyFill="1" applyBorder="1" applyAlignment="1">
      <alignment horizontal="left" indent="2"/>
    </xf>
    <xf numFmtId="167" fontId="0" fillId="0" borderId="0" xfId="0" applyNumberFormat="1" applyFont="1" applyAlignment="1">
      <alignment horizontal="right" vertical="center" wrapText="1"/>
    </xf>
    <xf numFmtId="8" fontId="0" fillId="0" borderId="0" xfId="0" applyNumberFormat="1" applyFont="1" applyAlignment="1">
      <alignment horizontal="center" vertical="center"/>
    </xf>
    <xf numFmtId="168" fontId="7" fillId="0" borderId="0" xfId="3" applyFont="1" applyFill="1" applyAlignment="1">
      <alignment horizontal="left" vertical="center" indent="2"/>
    </xf>
    <xf numFmtId="0" fontId="0" fillId="0" borderId="0" xfId="0" applyFont="1" applyFill="1" applyAlignment="1">
      <alignment horizontal="left" vertical="center" wrapText="1" indent="2"/>
    </xf>
    <xf numFmtId="166" fontId="0" fillId="0" borderId="0" xfId="0" applyNumberFormat="1" applyAlignment="1">
      <alignment horizontal="center" vertical="center" wrapText="1"/>
    </xf>
    <xf numFmtId="166" fontId="0" fillId="0" borderId="0" xfId="0" applyNumberFormat="1" applyAlignment="1">
      <alignment horizontal="center" vertical="center"/>
    </xf>
    <xf numFmtId="3" fontId="0" fillId="0" borderId="0" xfId="0" applyNumberFormat="1" applyAlignment="1">
      <alignment horizontal="center" vertical="center"/>
    </xf>
    <xf numFmtId="169" fontId="0" fillId="0" borderId="0" xfId="0" applyNumberFormat="1" applyAlignment="1">
      <alignment horizontal="center" vertical="center"/>
    </xf>
    <xf numFmtId="0" fontId="3" fillId="0" borderId="0" xfId="2" applyFill="1" applyAlignment="1" applyProtection="1">
      <alignment vertical="center" wrapText="1"/>
    </xf>
    <xf numFmtId="0" fontId="3" fillId="0" borderId="0" xfId="2" applyAlignment="1" applyProtection="1">
      <alignment horizontal="center" vertical="center"/>
    </xf>
    <xf numFmtId="2" fontId="0" fillId="0" borderId="0" xfId="0" applyNumberFormat="1" applyFill="1" applyAlignment="1">
      <alignment horizontal="center" vertical="center" wrapText="1"/>
    </xf>
    <xf numFmtId="164" fontId="0" fillId="0" borderId="0" xfId="0" applyNumberFormat="1" applyFont="1" applyAlignment="1">
      <alignment horizontal="center" vertical="center"/>
    </xf>
    <xf numFmtId="164" fontId="0" fillId="0" borderId="0" xfId="1" applyNumberFormat="1" applyFont="1" applyFill="1" applyAlignment="1">
      <alignment horizontal="right" vertical="center" wrapText="1"/>
    </xf>
    <xf numFmtId="164" fontId="0" fillId="0" borderId="0" xfId="1" applyNumberFormat="1" applyFont="1" applyAlignment="1">
      <alignment horizontal="right" vertical="center" wrapText="1"/>
    </xf>
    <xf numFmtId="164" fontId="0" fillId="0" borderId="0" xfId="1" applyNumberFormat="1" applyFont="1"/>
    <xf numFmtId="0" fontId="0" fillId="0" borderId="0" xfId="0" applyFont="1" applyAlignment="1">
      <alignment vertical="center"/>
    </xf>
    <xf numFmtId="167" fontId="0" fillId="0" borderId="0" xfId="1" applyNumberFormat="1" applyFont="1"/>
    <xf numFmtId="8" fontId="0" fillId="0" borderId="0" xfId="0" applyNumberFormat="1" applyFill="1" applyAlignment="1">
      <alignment horizontal="center" wrapText="1"/>
    </xf>
    <xf numFmtId="0" fontId="3" fillId="0" borderId="0" xfId="2" applyFill="1" applyAlignment="1" applyProtection="1">
      <alignment horizontal="center" vertical="center" wrapText="1"/>
    </xf>
    <xf numFmtId="167" fontId="26" fillId="0" borderId="0" xfId="3" applyNumberFormat="1" applyFont="1" applyFill="1" applyAlignment="1">
      <alignment horizontal="right"/>
    </xf>
    <xf numFmtId="1" fontId="0" fillId="0" borderId="0" xfId="0" applyNumberFormat="1"/>
    <xf numFmtId="0" fontId="0" fillId="0" borderId="0" xfId="0" applyFill="1" applyAlignment="1">
      <alignment horizontal="center" vertical="center" wrapText="1"/>
    </xf>
    <xf numFmtId="0" fontId="26" fillId="0" borderId="0" xfId="0" applyFont="1"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horizontal="center" vertical="center"/>
    </xf>
    <xf numFmtId="8" fontId="0" fillId="0" borderId="0" xfId="0" applyNumberFormat="1" applyFill="1" applyAlignment="1">
      <alignment horizontal="center" vertical="center"/>
    </xf>
    <xf numFmtId="164" fontId="6" fillId="0" borderId="0" xfId="37" applyNumberFormat="1" applyFont="1" applyAlignment="1">
      <alignment vertical="center"/>
    </xf>
    <xf numFmtId="167" fontId="7" fillId="0" borderId="0" xfId="0" applyNumberFormat="1" applyFont="1" applyFill="1"/>
    <xf numFmtId="0" fontId="26" fillId="0" borderId="0" xfId="0" applyFont="1"/>
    <xf numFmtId="165" fontId="26" fillId="0" borderId="0" xfId="1" applyNumberFormat="1" applyFont="1" applyFill="1" applyAlignment="1">
      <alignment horizontal="center" vertical="center"/>
    </xf>
    <xf numFmtId="0" fontId="3" fillId="0" borderId="0" xfId="2" applyAlignment="1" applyProtection="1">
      <alignment horizontal="left" vertical="center" wrapText="1"/>
    </xf>
    <xf numFmtId="0" fontId="0" fillId="0" borderId="0" xfId="0" applyNumberFormat="1" applyFont="1" applyFill="1" applyAlignment="1">
      <alignment horizontal="center" vertical="center" wrapText="1"/>
    </xf>
    <xf numFmtId="3" fontId="7" fillId="0" borderId="0" xfId="0" applyNumberFormat="1" applyFont="1" applyFill="1" applyAlignment="1">
      <alignment horizontal="right" vertical="center" wrapText="1"/>
    </xf>
    <xf numFmtId="0" fontId="3" fillId="0" borderId="0" xfId="2" applyFill="1" applyAlignment="1" applyProtection="1">
      <alignment horizontal="left" vertical="center" wrapText="1"/>
    </xf>
    <xf numFmtId="0" fontId="9" fillId="0" borderId="0" xfId="0" applyFont="1" applyAlignment="1">
      <alignment vertical="center"/>
    </xf>
    <xf numFmtId="0" fontId="7" fillId="0" borderId="0" xfId="0" applyFont="1" applyFill="1" applyAlignment="1">
      <alignment horizontal="center" vertical="center" wrapText="1"/>
    </xf>
    <xf numFmtId="167" fontId="7" fillId="0" borderId="0" xfId="0" applyNumberFormat="1" applyFont="1" applyFill="1" applyAlignment="1">
      <alignment horizontal="right" vertical="center" wrapText="1"/>
    </xf>
    <xf numFmtId="0" fontId="0" fillId="0" borderId="0" xfId="0" applyFill="1" applyAlignment="1"/>
    <xf numFmtId="0" fontId="7" fillId="0" borderId="0" xfId="0" applyFont="1" applyFill="1" applyAlignment="1">
      <alignment horizontal="center" vertical="center"/>
    </xf>
    <xf numFmtId="9" fontId="0" fillId="0" borderId="0" xfId="0" applyNumberFormat="1" applyFill="1"/>
    <xf numFmtId="167" fontId="27" fillId="0" borderId="2" xfId="38" applyNumberFormat="1" applyFont="1" applyFill="1" applyBorder="1" applyAlignment="1" applyProtection="1">
      <alignment vertical="center" wrapText="1"/>
      <protection locked="0"/>
    </xf>
    <xf numFmtId="0" fontId="7" fillId="0" borderId="0" xfId="0" applyFont="1" applyFill="1"/>
    <xf numFmtId="167" fontId="7" fillId="0" borderId="0" xfId="0" applyNumberFormat="1" applyFont="1" applyFill="1" applyBorder="1" applyAlignment="1">
      <alignment horizontal="right" vertical="center" wrapText="1"/>
    </xf>
    <xf numFmtId="1" fontId="7" fillId="0" borderId="0" xfId="0" applyNumberFormat="1" applyFont="1" applyFill="1" applyAlignment="1">
      <alignment horizontal="right" vertical="center" wrapText="1"/>
    </xf>
    <xf numFmtId="8" fontId="0" fillId="0" borderId="0" xfId="0" applyNumberFormat="1" applyFont="1" applyFill="1" applyAlignment="1">
      <alignment horizontal="center" vertical="center"/>
    </xf>
    <xf numFmtId="167" fontId="1" fillId="0" borderId="0" xfId="3" applyNumberFormat="1" applyFont="1" applyFill="1" applyAlignment="1">
      <alignment horizontal="right"/>
    </xf>
    <xf numFmtId="0" fontId="0" fillId="0" borderId="0" xfId="0" applyFont="1" applyFill="1" applyAlignment="1">
      <alignment horizontal="center"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0" fillId="0" borderId="0" xfId="0" applyFont="1" applyFill="1" applyAlignment="1">
      <alignment horizontal="center"/>
    </xf>
    <xf numFmtId="166" fontId="0" fillId="0" borderId="0" xfId="0" applyNumberFormat="1" applyFont="1" applyFill="1" applyAlignment="1">
      <alignment horizontal="center"/>
    </xf>
    <xf numFmtId="0" fontId="0" fillId="0" borderId="0" xfId="0" applyFill="1" applyAlignment="1">
      <alignment vertical="center" wrapText="1"/>
    </xf>
    <xf numFmtId="0" fontId="8" fillId="0" borderId="0" xfId="0" applyFont="1" applyFill="1" applyAlignment="1">
      <alignment horizontal="center" vertical="center"/>
    </xf>
    <xf numFmtId="2" fontId="0" fillId="0" borderId="0" xfId="0" applyNumberFormat="1" applyFont="1" applyFill="1" applyAlignment="1">
      <alignment horizontal="center" wrapText="1"/>
    </xf>
    <xf numFmtId="168" fontId="1" fillId="0" borderId="0" xfId="3" applyFont="1" applyAlignment="1">
      <alignment horizontal="left" vertical="center" indent="2"/>
    </xf>
    <xf numFmtId="1" fontId="0" fillId="0" borderId="0" xfId="0" applyNumberFormat="1" applyFont="1" applyFill="1" applyAlignment="1">
      <alignment horizontal="right" vertical="center" wrapText="1"/>
    </xf>
    <xf numFmtId="168" fontId="1" fillId="0" borderId="0" xfId="3" applyFont="1" applyFill="1" applyAlignment="1">
      <alignment horizontal="left" vertical="center"/>
    </xf>
    <xf numFmtId="3" fontId="0" fillId="0" borderId="0" xfId="0" applyNumberFormat="1" applyFont="1" applyFill="1" applyAlignment="1">
      <alignment horizontal="right" vertical="center" wrapText="1"/>
    </xf>
    <xf numFmtId="8" fontId="0" fillId="0" borderId="0" xfId="0" applyNumberFormat="1" applyFill="1" applyAlignment="1">
      <alignment vertical="center" wrapText="1"/>
    </xf>
    <xf numFmtId="2" fontId="1" fillId="0" borderId="0" xfId="1" applyNumberFormat="1" applyFont="1" applyFill="1" applyAlignment="1">
      <alignment horizontal="right" vertical="center" wrapText="1"/>
    </xf>
    <xf numFmtId="3" fontId="1" fillId="0" borderId="0" xfId="0" applyNumberFormat="1" applyFont="1" applyFill="1" applyAlignment="1">
      <alignment horizontal="right" vertical="center" wrapText="1"/>
    </xf>
    <xf numFmtId="8" fontId="0" fillId="0" borderId="0" xfId="0" applyNumberFormat="1" applyFont="1" applyFill="1" applyAlignment="1">
      <alignment horizontal="right" vertical="center" wrapText="1"/>
    </xf>
    <xf numFmtId="0" fontId="0" fillId="0" borderId="0" xfId="0" applyFont="1" applyFill="1" applyAlignment="1">
      <alignment horizontal="center" vertical="center"/>
    </xf>
    <xf numFmtId="164" fontId="7" fillId="0" borderId="0" xfId="0" applyNumberFormat="1" applyFont="1" applyFill="1" applyAlignment="1">
      <alignment horizontal="center" vertical="center"/>
    </xf>
    <xf numFmtId="164" fontId="26" fillId="0" borderId="0" xfId="0" applyNumberFormat="1" applyFont="1" applyFill="1" applyAlignment="1">
      <alignment horizontal="center" vertical="center" wrapText="1"/>
    </xf>
    <xf numFmtId="164" fontId="26" fillId="0" borderId="0" xfId="1" applyNumberFormat="1" applyFont="1" applyFill="1" applyAlignment="1">
      <alignment horizontal="right" vertical="center" wrapText="1"/>
    </xf>
    <xf numFmtId="0" fontId="1" fillId="0" borderId="0" xfId="0" applyFont="1" applyAlignment="1">
      <alignment vertical="center" wrapText="1"/>
    </xf>
    <xf numFmtId="2" fontId="7" fillId="0" borderId="0" xfId="0" applyNumberFormat="1" applyFont="1" applyFill="1" applyAlignment="1">
      <alignment horizontal="center" vertical="center" wrapText="1"/>
    </xf>
    <xf numFmtId="2" fontId="0" fillId="0" borderId="0" xfId="1" applyNumberFormat="1" applyFont="1" applyFill="1" applyAlignment="1">
      <alignment horizontal="right" vertical="center" wrapText="1"/>
    </xf>
    <xf numFmtId="0" fontId="28" fillId="0" borderId="0" xfId="0" applyFont="1" applyFill="1" applyAlignment="1">
      <alignment horizontal="center"/>
    </xf>
    <xf numFmtId="0" fontId="22" fillId="0" borderId="0" xfId="2" applyFont="1" applyFill="1" applyAlignment="1" applyProtection="1">
      <alignment horizontal="center" vertical="center" wrapText="1"/>
    </xf>
    <xf numFmtId="167" fontId="9" fillId="0" borderId="0" xfId="0" applyNumberFormat="1" applyFont="1" applyFill="1"/>
    <xf numFmtId="9" fontId="7" fillId="0" borderId="0" xfId="1" applyFont="1" applyFill="1"/>
    <xf numFmtId="165" fontId="7" fillId="0" borderId="0" xfId="1" applyNumberFormat="1" applyFont="1" applyFill="1"/>
    <xf numFmtId="0" fontId="7" fillId="0" borderId="0" xfId="0" applyNumberFormat="1" applyFont="1" applyFill="1"/>
    <xf numFmtId="164" fontId="0" fillId="0" borderId="0" xfId="1" applyNumberFormat="1" applyFont="1" applyFill="1"/>
    <xf numFmtId="9" fontId="7" fillId="0" borderId="0" xfId="1" applyNumberFormat="1" applyFont="1" applyFill="1"/>
    <xf numFmtId="169" fontId="7" fillId="0" borderId="0" xfId="0" applyNumberFormat="1" applyFont="1" applyAlignment="1">
      <alignment horizontal="center"/>
    </xf>
    <xf numFmtId="169" fontId="7" fillId="0" borderId="0" xfId="0" applyNumberFormat="1" applyFont="1" applyAlignment="1">
      <alignment horizontal="center" vertical="center"/>
    </xf>
    <xf numFmtId="166" fontId="0" fillId="0" borderId="0" xfId="0" applyNumberFormat="1" applyFill="1" applyAlignment="1">
      <alignment horizontal="center"/>
    </xf>
    <xf numFmtId="1" fontId="0" fillId="0" borderId="0" xfId="0" applyNumberFormat="1" applyFill="1" applyAlignment="1">
      <alignment horizontal="center"/>
    </xf>
    <xf numFmtId="9" fontId="0" fillId="0" borderId="0" xfId="1" applyFont="1" applyFill="1" applyAlignment="1">
      <alignment horizontal="center"/>
    </xf>
    <xf numFmtId="9" fontId="0" fillId="0" borderId="0" xfId="1" applyNumberFormat="1" applyFont="1" applyFill="1" applyAlignment="1">
      <alignment horizontal="center"/>
    </xf>
    <xf numFmtId="1" fontId="7" fillId="0" borderId="0" xfId="0" applyNumberFormat="1" applyFont="1" applyFill="1" applyAlignment="1">
      <alignment horizontal="center"/>
    </xf>
    <xf numFmtId="1" fontId="7" fillId="0" borderId="0" xfId="0" applyNumberFormat="1" applyFont="1" applyFill="1" applyAlignment="1">
      <alignment horizontal="center" vertical="center"/>
    </xf>
    <xf numFmtId="9" fontId="7" fillId="0" borderId="0" xfId="1" applyNumberFormat="1" applyFont="1" applyFill="1" applyAlignment="1">
      <alignment horizontal="center" vertical="center"/>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NumberFormat="1" applyFont="1" applyAlignment="1">
      <alignment horizontal="center" vertical="center" wrapText="1"/>
    </xf>
    <xf numFmtId="1" fontId="0" fillId="0" borderId="0" xfId="0" applyNumberFormat="1" applyAlignment="1">
      <alignment horizontal="center" vertical="center"/>
    </xf>
    <xf numFmtId="0" fontId="8" fillId="0" borderId="0" xfId="0" applyFont="1" applyFill="1" applyAlignment="1">
      <alignment horizontal="center" vertical="center" wrapText="1"/>
    </xf>
    <xf numFmtId="0" fontId="31" fillId="0" borderId="0" xfId="0" applyFont="1" applyAlignment="1">
      <alignment vertical="center" wrapText="1"/>
    </xf>
    <xf numFmtId="0" fontId="31" fillId="0" borderId="0" xfId="0" applyFont="1" applyAlignment="1">
      <alignment wrapText="1"/>
    </xf>
  </cellXfs>
  <cellStyles count="57457">
    <cellStyle name="Comma [0] 2" xfId="3305" xr:uid="{00000000-0005-0000-0000-000000000000}"/>
    <cellStyle name="Comma 2" xfId="4" xr:uid="{00000000-0005-0000-0000-000001000000}"/>
    <cellStyle name="Comma 2 2" xfId="58" xr:uid="{00000000-0005-0000-0000-000002000000}"/>
    <cellStyle name="Comma 3" xfId="57" xr:uid="{00000000-0005-0000-0000-000003000000}"/>
    <cellStyle name="Comma 4" xfId="150" xr:uid="{00000000-0005-0000-0000-000004000000}"/>
    <cellStyle name="Currency" xfId="34" builtinId="4"/>
    <cellStyle name="Currency 2" xfId="5" xr:uid="{00000000-0005-0000-0000-000006000000}"/>
    <cellStyle name="Currency 3" xfId="32" xr:uid="{00000000-0005-0000-0000-000007000000}"/>
    <cellStyle name="Currency 3 2" xfId="149" xr:uid="{00000000-0005-0000-0000-000008000000}"/>
    <cellStyle name="Hyperlink" xfId="2" builtinId="8"/>
    <cellStyle name="Hyperlink 2" xfId="6" xr:uid="{00000000-0005-0000-0000-00000A000000}"/>
    <cellStyle name="Hyperlink 2 2" xfId="31" xr:uid="{00000000-0005-0000-0000-00000B000000}"/>
    <cellStyle name="Hyperlink 2 2 2" xfId="550" xr:uid="{00000000-0005-0000-0000-00000C000000}"/>
    <cellStyle name="Hyperlink 2 3" xfId="2419" xr:uid="{00000000-0005-0000-0000-00000D000000}"/>
    <cellStyle name="Hyperlink 2 4" xfId="401" xr:uid="{00000000-0005-0000-0000-00000E000000}"/>
    <cellStyle name="Hyperlink 3" xfId="35" xr:uid="{00000000-0005-0000-0000-00000F000000}"/>
    <cellStyle name="Hyperlink 3 2" xfId="400" xr:uid="{00000000-0005-0000-0000-000010000000}"/>
    <cellStyle name="Normal" xfId="0" builtinId="0"/>
    <cellStyle name="Normal 10" xfId="30" xr:uid="{00000000-0005-0000-0000-000012000000}"/>
    <cellStyle name="Normal 10 10" xfId="479" xr:uid="{00000000-0005-0000-0000-000013000000}"/>
    <cellStyle name="Normal 10 10 10" xfId="41562" xr:uid="{00000000-0005-0000-0000-000014000000}"/>
    <cellStyle name="Normal 10 10 11" xfId="25462" xr:uid="{00000000-0005-0000-0000-000015000000}"/>
    <cellStyle name="Normal 10 10 12" xfId="12857" xr:uid="{00000000-0005-0000-0000-000016000000}"/>
    <cellStyle name="Normal 10 10 2" xfId="932" xr:uid="{00000000-0005-0000-0000-000017000000}"/>
    <cellStyle name="Normal 10 10 2 10" xfId="13540" xr:uid="{00000000-0005-0000-0000-000018000000}"/>
    <cellStyle name="Normal 10 10 2 2" xfId="2960" xr:uid="{00000000-0005-0000-0000-000019000000}"/>
    <cellStyle name="Normal 10 10 2 2 2" xfId="9492" xr:uid="{00000000-0005-0000-0000-00001A000000}"/>
    <cellStyle name="Normal 10 10 2 2 2 2" xfId="41233" xr:uid="{00000000-0005-0000-0000-00001B000000}"/>
    <cellStyle name="Normal 10 10 2 2 2 2 2" xfId="57333" xr:uid="{00000000-0005-0000-0000-00001C000000}"/>
    <cellStyle name="Normal 10 10 2 2 2 3" xfId="47766" xr:uid="{00000000-0005-0000-0000-00001D000000}"/>
    <cellStyle name="Normal 10 10 2 2 2 4" xfId="31666" xr:uid="{00000000-0005-0000-0000-00001E000000}"/>
    <cellStyle name="Normal 10 10 2 2 2 5" xfId="22097" xr:uid="{00000000-0005-0000-0000-00001F000000}"/>
    <cellStyle name="Normal 10 10 2 2 3" xfId="12528" xr:uid="{00000000-0005-0000-0000-000020000000}"/>
    <cellStyle name="Normal 10 10 2 2 3 2" xfId="50802" xr:uid="{00000000-0005-0000-0000-000021000000}"/>
    <cellStyle name="Normal 10 10 2 2 3 3" xfId="34702" xr:uid="{00000000-0005-0000-0000-000022000000}"/>
    <cellStyle name="Normal 10 10 2 2 3 4" xfId="25133" xr:uid="{00000000-0005-0000-0000-000023000000}"/>
    <cellStyle name="Normal 10 10 2 2 4" xfId="6456" xr:uid="{00000000-0005-0000-0000-000024000000}"/>
    <cellStyle name="Normal 10 10 2 2 4 2" xfId="54297" xr:uid="{00000000-0005-0000-0000-000025000000}"/>
    <cellStyle name="Normal 10 10 2 2 4 3" xfId="38197" xr:uid="{00000000-0005-0000-0000-000026000000}"/>
    <cellStyle name="Normal 10 10 2 2 4 4" xfId="19061" xr:uid="{00000000-0005-0000-0000-000027000000}"/>
    <cellStyle name="Normal 10 10 2 2 5" xfId="44730" xr:uid="{00000000-0005-0000-0000-000028000000}"/>
    <cellStyle name="Normal 10 10 2 2 6" xfId="28630" xr:uid="{00000000-0005-0000-0000-000029000000}"/>
    <cellStyle name="Normal 10 10 2 2 7" xfId="15566" xr:uid="{00000000-0005-0000-0000-00002A000000}"/>
    <cellStyle name="Normal 10 10 2 3" xfId="1942" xr:uid="{00000000-0005-0000-0000-00002B000000}"/>
    <cellStyle name="Normal 10 10 2 3 2" xfId="8476" xr:uid="{00000000-0005-0000-0000-00002C000000}"/>
    <cellStyle name="Normal 10 10 2 3 2 2" xfId="40217" xr:uid="{00000000-0005-0000-0000-00002D000000}"/>
    <cellStyle name="Normal 10 10 2 3 2 2 2" xfId="56317" xr:uid="{00000000-0005-0000-0000-00002E000000}"/>
    <cellStyle name="Normal 10 10 2 3 2 3" xfId="46750" xr:uid="{00000000-0005-0000-0000-00002F000000}"/>
    <cellStyle name="Normal 10 10 2 3 2 4" xfId="30650" xr:uid="{00000000-0005-0000-0000-000030000000}"/>
    <cellStyle name="Normal 10 10 2 3 2 5" xfId="21081" xr:uid="{00000000-0005-0000-0000-000031000000}"/>
    <cellStyle name="Normal 10 10 2 3 3" xfId="11512" xr:uid="{00000000-0005-0000-0000-000032000000}"/>
    <cellStyle name="Normal 10 10 2 3 3 2" xfId="49786" xr:uid="{00000000-0005-0000-0000-000033000000}"/>
    <cellStyle name="Normal 10 10 2 3 3 3" xfId="33686" xr:uid="{00000000-0005-0000-0000-000034000000}"/>
    <cellStyle name="Normal 10 10 2 3 3 4" xfId="24117" xr:uid="{00000000-0005-0000-0000-000035000000}"/>
    <cellStyle name="Normal 10 10 2 3 4" xfId="5440" xr:uid="{00000000-0005-0000-0000-000036000000}"/>
    <cellStyle name="Normal 10 10 2 3 4 2" xfId="53281" xr:uid="{00000000-0005-0000-0000-000037000000}"/>
    <cellStyle name="Normal 10 10 2 3 4 3" xfId="37181" xr:uid="{00000000-0005-0000-0000-000038000000}"/>
    <cellStyle name="Normal 10 10 2 3 4 4" xfId="18045" xr:uid="{00000000-0005-0000-0000-000039000000}"/>
    <cellStyle name="Normal 10 10 2 3 5" xfId="43714" xr:uid="{00000000-0005-0000-0000-00003A000000}"/>
    <cellStyle name="Normal 10 10 2 3 6" xfId="27614" xr:uid="{00000000-0005-0000-0000-00003B000000}"/>
    <cellStyle name="Normal 10 10 2 3 7" xfId="14550" xr:uid="{00000000-0005-0000-0000-00003C000000}"/>
    <cellStyle name="Normal 10 10 2 4" xfId="4430" xr:uid="{00000000-0005-0000-0000-00003D000000}"/>
    <cellStyle name="Normal 10 10 2 4 2" xfId="36171" xr:uid="{00000000-0005-0000-0000-00003E000000}"/>
    <cellStyle name="Normal 10 10 2 4 2 2" xfId="52271" xr:uid="{00000000-0005-0000-0000-00003F000000}"/>
    <cellStyle name="Normal 10 10 2 4 3" xfId="42704" xr:uid="{00000000-0005-0000-0000-000040000000}"/>
    <cellStyle name="Normal 10 10 2 4 4" xfId="26604" xr:uid="{00000000-0005-0000-0000-000041000000}"/>
    <cellStyle name="Normal 10 10 2 4 5" xfId="17035" xr:uid="{00000000-0005-0000-0000-000042000000}"/>
    <cellStyle name="Normal 10 10 2 5" xfId="7466" xr:uid="{00000000-0005-0000-0000-000043000000}"/>
    <cellStyle name="Normal 10 10 2 5 2" xfId="39207" xr:uid="{00000000-0005-0000-0000-000044000000}"/>
    <cellStyle name="Normal 10 10 2 5 2 2" xfId="55307" xr:uid="{00000000-0005-0000-0000-000045000000}"/>
    <cellStyle name="Normal 10 10 2 5 3" xfId="45740" xr:uid="{00000000-0005-0000-0000-000046000000}"/>
    <cellStyle name="Normal 10 10 2 5 4" xfId="29640" xr:uid="{00000000-0005-0000-0000-000047000000}"/>
    <cellStyle name="Normal 10 10 2 5 5" xfId="20071" xr:uid="{00000000-0005-0000-0000-000048000000}"/>
    <cellStyle name="Normal 10 10 2 6" xfId="10502" xr:uid="{00000000-0005-0000-0000-000049000000}"/>
    <cellStyle name="Normal 10 10 2 6 2" xfId="48776" xr:uid="{00000000-0005-0000-0000-00004A000000}"/>
    <cellStyle name="Normal 10 10 2 6 3" xfId="32676" xr:uid="{00000000-0005-0000-0000-00004B000000}"/>
    <cellStyle name="Normal 10 10 2 6 4" xfId="23107" xr:uid="{00000000-0005-0000-0000-00004C000000}"/>
    <cellStyle name="Normal 10 10 2 7" xfId="3525" xr:uid="{00000000-0005-0000-0000-00004D000000}"/>
    <cellStyle name="Normal 10 10 2 7 2" xfId="51366" xr:uid="{00000000-0005-0000-0000-00004E000000}"/>
    <cellStyle name="Normal 10 10 2 7 3" xfId="35266" xr:uid="{00000000-0005-0000-0000-00004F000000}"/>
    <cellStyle name="Normal 10 10 2 7 4" xfId="16130" xr:uid="{00000000-0005-0000-0000-000050000000}"/>
    <cellStyle name="Normal 10 10 2 8" xfId="41799" xr:uid="{00000000-0005-0000-0000-000051000000}"/>
    <cellStyle name="Normal 10 10 2 9" xfId="25699" xr:uid="{00000000-0005-0000-0000-000052000000}"/>
    <cellStyle name="Normal 10 10 3" xfId="710" xr:uid="{00000000-0005-0000-0000-000053000000}"/>
    <cellStyle name="Normal 10 10 3 2" xfId="2738" xr:uid="{00000000-0005-0000-0000-000054000000}"/>
    <cellStyle name="Normal 10 10 3 2 2" xfId="9270" xr:uid="{00000000-0005-0000-0000-000055000000}"/>
    <cellStyle name="Normal 10 10 3 2 2 2" xfId="41011" xr:uid="{00000000-0005-0000-0000-000056000000}"/>
    <cellStyle name="Normal 10 10 3 2 2 2 2" xfId="57111" xr:uid="{00000000-0005-0000-0000-000057000000}"/>
    <cellStyle name="Normal 10 10 3 2 2 3" xfId="47544" xr:uid="{00000000-0005-0000-0000-000058000000}"/>
    <cellStyle name="Normal 10 10 3 2 2 4" xfId="31444" xr:uid="{00000000-0005-0000-0000-000059000000}"/>
    <cellStyle name="Normal 10 10 3 2 2 5" xfId="21875" xr:uid="{00000000-0005-0000-0000-00005A000000}"/>
    <cellStyle name="Normal 10 10 3 2 3" xfId="12306" xr:uid="{00000000-0005-0000-0000-00005B000000}"/>
    <cellStyle name="Normal 10 10 3 2 3 2" xfId="50580" xr:uid="{00000000-0005-0000-0000-00005C000000}"/>
    <cellStyle name="Normal 10 10 3 2 3 3" xfId="34480" xr:uid="{00000000-0005-0000-0000-00005D000000}"/>
    <cellStyle name="Normal 10 10 3 2 3 4" xfId="24911" xr:uid="{00000000-0005-0000-0000-00005E000000}"/>
    <cellStyle name="Normal 10 10 3 2 4" xfId="6234" xr:uid="{00000000-0005-0000-0000-00005F000000}"/>
    <cellStyle name="Normal 10 10 3 2 4 2" xfId="54075" xr:uid="{00000000-0005-0000-0000-000060000000}"/>
    <cellStyle name="Normal 10 10 3 2 4 3" xfId="37975" xr:uid="{00000000-0005-0000-0000-000061000000}"/>
    <cellStyle name="Normal 10 10 3 2 4 4" xfId="18839" xr:uid="{00000000-0005-0000-0000-000062000000}"/>
    <cellStyle name="Normal 10 10 3 2 5" xfId="44508" xr:uid="{00000000-0005-0000-0000-000063000000}"/>
    <cellStyle name="Normal 10 10 3 2 6" xfId="28408" xr:uid="{00000000-0005-0000-0000-000064000000}"/>
    <cellStyle name="Normal 10 10 3 2 7" xfId="15344" xr:uid="{00000000-0005-0000-0000-000065000000}"/>
    <cellStyle name="Normal 10 10 3 3" xfId="1720" xr:uid="{00000000-0005-0000-0000-000066000000}"/>
    <cellStyle name="Normal 10 10 3 3 2" xfId="8254" xr:uid="{00000000-0005-0000-0000-000067000000}"/>
    <cellStyle name="Normal 10 10 3 3 2 2" xfId="39995" xr:uid="{00000000-0005-0000-0000-000068000000}"/>
    <cellStyle name="Normal 10 10 3 3 2 2 2" xfId="56095" xr:uid="{00000000-0005-0000-0000-000069000000}"/>
    <cellStyle name="Normal 10 10 3 3 2 3" xfId="46528" xr:uid="{00000000-0005-0000-0000-00006A000000}"/>
    <cellStyle name="Normal 10 10 3 3 2 4" xfId="30428" xr:uid="{00000000-0005-0000-0000-00006B000000}"/>
    <cellStyle name="Normal 10 10 3 3 2 5" xfId="20859" xr:uid="{00000000-0005-0000-0000-00006C000000}"/>
    <cellStyle name="Normal 10 10 3 3 3" xfId="11290" xr:uid="{00000000-0005-0000-0000-00006D000000}"/>
    <cellStyle name="Normal 10 10 3 3 3 2" xfId="49564" xr:uid="{00000000-0005-0000-0000-00006E000000}"/>
    <cellStyle name="Normal 10 10 3 3 3 3" xfId="33464" xr:uid="{00000000-0005-0000-0000-00006F000000}"/>
    <cellStyle name="Normal 10 10 3 3 3 4" xfId="23895" xr:uid="{00000000-0005-0000-0000-000070000000}"/>
    <cellStyle name="Normal 10 10 3 3 4" xfId="5218" xr:uid="{00000000-0005-0000-0000-000071000000}"/>
    <cellStyle name="Normal 10 10 3 3 4 2" xfId="53059" xr:uid="{00000000-0005-0000-0000-000072000000}"/>
    <cellStyle name="Normal 10 10 3 3 4 3" xfId="36959" xr:uid="{00000000-0005-0000-0000-000073000000}"/>
    <cellStyle name="Normal 10 10 3 3 4 4" xfId="17823" xr:uid="{00000000-0005-0000-0000-000074000000}"/>
    <cellStyle name="Normal 10 10 3 3 5" xfId="43492" xr:uid="{00000000-0005-0000-0000-000075000000}"/>
    <cellStyle name="Normal 10 10 3 3 6" xfId="27392" xr:uid="{00000000-0005-0000-0000-000076000000}"/>
    <cellStyle name="Normal 10 10 3 3 7" xfId="14328" xr:uid="{00000000-0005-0000-0000-000077000000}"/>
    <cellStyle name="Normal 10 10 3 4" xfId="7244" xr:uid="{00000000-0005-0000-0000-000078000000}"/>
    <cellStyle name="Normal 10 10 3 4 2" xfId="38985" xr:uid="{00000000-0005-0000-0000-000079000000}"/>
    <cellStyle name="Normal 10 10 3 4 2 2" xfId="55085" xr:uid="{00000000-0005-0000-0000-00007A000000}"/>
    <cellStyle name="Normal 10 10 3 4 3" xfId="45518" xr:uid="{00000000-0005-0000-0000-00007B000000}"/>
    <cellStyle name="Normal 10 10 3 4 4" xfId="29418" xr:uid="{00000000-0005-0000-0000-00007C000000}"/>
    <cellStyle name="Normal 10 10 3 4 5" xfId="19849" xr:uid="{00000000-0005-0000-0000-00007D000000}"/>
    <cellStyle name="Normal 10 10 3 5" xfId="10280" xr:uid="{00000000-0005-0000-0000-00007E000000}"/>
    <cellStyle name="Normal 10 10 3 5 2" xfId="48554" xr:uid="{00000000-0005-0000-0000-00007F000000}"/>
    <cellStyle name="Normal 10 10 3 5 3" xfId="32454" xr:uid="{00000000-0005-0000-0000-000080000000}"/>
    <cellStyle name="Normal 10 10 3 5 4" xfId="22885" xr:uid="{00000000-0005-0000-0000-000081000000}"/>
    <cellStyle name="Normal 10 10 3 6" xfId="4208" xr:uid="{00000000-0005-0000-0000-000082000000}"/>
    <cellStyle name="Normal 10 10 3 6 2" xfId="52049" xr:uid="{00000000-0005-0000-0000-000083000000}"/>
    <cellStyle name="Normal 10 10 3 6 3" xfId="35949" xr:uid="{00000000-0005-0000-0000-000084000000}"/>
    <cellStyle name="Normal 10 10 3 6 4" xfId="16813" xr:uid="{00000000-0005-0000-0000-000085000000}"/>
    <cellStyle name="Normal 10 10 3 7" xfId="42482" xr:uid="{00000000-0005-0000-0000-000086000000}"/>
    <cellStyle name="Normal 10 10 3 8" xfId="26382" xr:uid="{00000000-0005-0000-0000-000087000000}"/>
    <cellStyle name="Normal 10 10 3 9" xfId="13318" xr:uid="{00000000-0005-0000-0000-000088000000}"/>
    <cellStyle name="Normal 10 10 4" xfId="2510" xr:uid="{00000000-0005-0000-0000-000089000000}"/>
    <cellStyle name="Normal 10 10 4 2" xfId="9042" xr:uid="{00000000-0005-0000-0000-00008A000000}"/>
    <cellStyle name="Normal 10 10 4 2 2" xfId="40783" xr:uid="{00000000-0005-0000-0000-00008B000000}"/>
    <cellStyle name="Normal 10 10 4 2 2 2" xfId="56883" xr:uid="{00000000-0005-0000-0000-00008C000000}"/>
    <cellStyle name="Normal 10 10 4 2 3" xfId="47316" xr:uid="{00000000-0005-0000-0000-00008D000000}"/>
    <cellStyle name="Normal 10 10 4 2 4" xfId="31216" xr:uid="{00000000-0005-0000-0000-00008E000000}"/>
    <cellStyle name="Normal 10 10 4 2 5" xfId="21647" xr:uid="{00000000-0005-0000-0000-00008F000000}"/>
    <cellStyle name="Normal 10 10 4 3" xfId="12078" xr:uid="{00000000-0005-0000-0000-000090000000}"/>
    <cellStyle name="Normal 10 10 4 3 2" xfId="50352" xr:uid="{00000000-0005-0000-0000-000091000000}"/>
    <cellStyle name="Normal 10 10 4 3 3" xfId="34252" xr:uid="{00000000-0005-0000-0000-000092000000}"/>
    <cellStyle name="Normal 10 10 4 3 4" xfId="24683" xr:uid="{00000000-0005-0000-0000-000093000000}"/>
    <cellStyle name="Normal 10 10 4 4" xfId="6006" xr:uid="{00000000-0005-0000-0000-000094000000}"/>
    <cellStyle name="Normal 10 10 4 4 2" xfId="53847" xr:uid="{00000000-0005-0000-0000-000095000000}"/>
    <cellStyle name="Normal 10 10 4 4 3" xfId="37747" xr:uid="{00000000-0005-0000-0000-000096000000}"/>
    <cellStyle name="Normal 10 10 4 4 4" xfId="18611" xr:uid="{00000000-0005-0000-0000-000097000000}"/>
    <cellStyle name="Normal 10 10 4 5" xfId="44280" xr:uid="{00000000-0005-0000-0000-000098000000}"/>
    <cellStyle name="Normal 10 10 4 6" xfId="28180" xr:uid="{00000000-0005-0000-0000-000099000000}"/>
    <cellStyle name="Normal 10 10 4 7" xfId="15116" xr:uid="{00000000-0005-0000-0000-00009A000000}"/>
    <cellStyle name="Normal 10 10 5" xfId="1259" xr:uid="{00000000-0005-0000-0000-00009B000000}"/>
    <cellStyle name="Normal 10 10 5 2" xfId="7793" xr:uid="{00000000-0005-0000-0000-00009C000000}"/>
    <cellStyle name="Normal 10 10 5 2 2" xfId="39534" xr:uid="{00000000-0005-0000-0000-00009D000000}"/>
    <cellStyle name="Normal 10 10 5 2 2 2" xfId="55634" xr:uid="{00000000-0005-0000-0000-00009E000000}"/>
    <cellStyle name="Normal 10 10 5 2 3" xfId="46067" xr:uid="{00000000-0005-0000-0000-00009F000000}"/>
    <cellStyle name="Normal 10 10 5 2 4" xfId="29967" xr:uid="{00000000-0005-0000-0000-0000A0000000}"/>
    <cellStyle name="Normal 10 10 5 2 5" xfId="20398" xr:uid="{00000000-0005-0000-0000-0000A1000000}"/>
    <cellStyle name="Normal 10 10 5 3" xfId="10829" xr:uid="{00000000-0005-0000-0000-0000A2000000}"/>
    <cellStyle name="Normal 10 10 5 3 2" xfId="49103" xr:uid="{00000000-0005-0000-0000-0000A3000000}"/>
    <cellStyle name="Normal 10 10 5 3 3" xfId="33003" xr:uid="{00000000-0005-0000-0000-0000A4000000}"/>
    <cellStyle name="Normal 10 10 5 3 4" xfId="23434" xr:uid="{00000000-0005-0000-0000-0000A5000000}"/>
    <cellStyle name="Normal 10 10 5 4" xfId="4757" xr:uid="{00000000-0005-0000-0000-0000A6000000}"/>
    <cellStyle name="Normal 10 10 5 4 2" xfId="52598" xr:uid="{00000000-0005-0000-0000-0000A7000000}"/>
    <cellStyle name="Normal 10 10 5 4 3" xfId="36498" xr:uid="{00000000-0005-0000-0000-0000A8000000}"/>
    <cellStyle name="Normal 10 10 5 4 4" xfId="17362" xr:uid="{00000000-0005-0000-0000-0000A9000000}"/>
    <cellStyle name="Normal 10 10 5 5" xfId="43031" xr:uid="{00000000-0005-0000-0000-0000AA000000}"/>
    <cellStyle name="Normal 10 10 5 6" xfId="26931" xr:uid="{00000000-0005-0000-0000-0000AB000000}"/>
    <cellStyle name="Normal 10 10 5 7" xfId="13867" xr:uid="{00000000-0005-0000-0000-0000AC000000}"/>
    <cellStyle name="Normal 10 10 6" xfId="3747" xr:uid="{00000000-0005-0000-0000-0000AD000000}"/>
    <cellStyle name="Normal 10 10 6 2" xfId="35488" xr:uid="{00000000-0005-0000-0000-0000AE000000}"/>
    <cellStyle name="Normal 10 10 6 2 2" xfId="51588" xr:uid="{00000000-0005-0000-0000-0000AF000000}"/>
    <cellStyle name="Normal 10 10 6 3" xfId="42021" xr:uid="{00000000-0005-0000-0000-0000B0000000}"/>
    <cellStyle name="Normal 10 10 6 4" xfId="25921" xr:uid="{00000000-0005-0000-0000-0000B1000000}"/>
    <cellStyle name="Normal 10 10 6 5" xfId="16352" xr:uid="{00000000-0005-0000-0000-0000B2000000}"/>
    <cellStyle name="Normal 10 10 7" xfId="6783" xr:uid="{00000000-0005-0000-0000-0000B3000000}"/>
    <cellStyle name="Normal 10 10 7 2" xfId="38524" xr:uid="{00000000-0005-0000-0000-0000B4000000}"/>
    <cellStyle name="Normal 10 10 7 2 2" xfId="54624" xr:uid="{00000000-0005-0000-0000-0000B5000000}"/>
    <cellStyle name="Normal 10 10 7 3" xfId="45057" xr:uid="{00000000-0005-0000-0000-0000B6000000}"/>
    <cellStyle name="Normal 10 10 7 4" xfId="28957" xr:uid="{00000000-0005-0000-0000-0000B7000000}"/>
    <cellStyle name="Normal 10 10 7 5" xfId="19388" xr:uid="{00000000-0005-0000-0000-0000B8000000}"/>
    <cellStyle name="Normal 10 10 8" xfId="9819" xr:uid="{00000000-0005-0000-0000-0000B9000000}"/>
    <cellStyle name="Normal 10 10 8 2" xfId="48093" xr:uid="{00000000-0005-0000-0000-0000BA000000}"/>
    <cellStyle name="Normal 10 10 8 3" xfId="31993" xr:uid="{00000000-0005-0000-0000-0000BB000000}"/>
    <cellStyle name="Normal 10 10 8 4" xfId="22424" xr:uid="{00000000-0005-0000-0000-0000BC000000}"/>
    <cellStyle name="Normal 10 10 9" xfId="3287" xr:uid="{00000000-0005-0000-0000-0000BD000000}"/>
    <cellStyle name="Normal 10 10 9 2" xfId="51129" xr:uid="{00000000-0005-0000-0000-0000BE000000}"/>
    <cellStyle name="Normal 10 10 9 3" xfId="35029" xr:uid="{00000000-0005-0000-0000-0000BF000000}"/>
    <cellStyle name="Normal 10 10 9 4" xfId="15893" xr:uid="{00000000-0005-0000-0000-0000C0000000}"/>
    <cellStyle name="Normal 10 11" xfId="422" xr:uid="{00000000-0005-0000-0000-0000C1000000}"/>
    <cellStyle name="Normal 10 11 10" xfId="41409" xr:uid="{00000000-0005-0000-0000-0000C2000000}"/>
    <cellStyle name="Normal 10 11 11" xfId="25309" xr:uid="{00000000-0005-0000-0000-0000C3000000}"/>
    <cellStyle name="Normal 10 11 12" xfId="12704" xr:uid="{00000000-0005-0000-0000-0000C4000000}"/>
    <cellStyle name="Normal 10 11 2" xfId="779" xr:uid="{00000000-0005-0000-0000-0000C5000000}"/>
    <cellStyle name="Normal 10 11 2 10" xfId="13387" xr:uid="{00000000-0005-0000-0000-0000C6000000}"/>
    <cellStyle name="Normal 10 11 2 2" xfId="2807" xr:uid="{00000000-0005-0000-0000-0000C7000000}"/>
    <cellStyle name="Normal 10 11 2 2 2" xfId="9339" xr:uid="{00000000-0005-0000-0000-0000C8000000}"/>
    <cellStyle name="Normal 10 11 2 2 2 2" xfId="41080" xr:uid="{00000000-0005-0000-0000-0000C9000000}"/>
    <cellStyle name="Normal 10 11 2 2 2 2 2" xfId="57180" xr:uid="{00000000-0005-0000-0000-0000CA000000}"/>
    <cellStyle name="Normal 10 11 2 2 2 3" xfId="47613" xr:uid="{00000000-0005-0000-0000-0000CB000000}"/>
    <cellStyle name="Normal 10 11 2 2 2 4" xfId="31513" xr:uid="{00000000-0005-0000-0000-0000CC000000}"/>
    <cellStyle name="Normal 10 11 2 2 2 5" xfId="21944" xr:uid="{00000000-0005-0000-0000-0000CD000000}"/>
    <cellStyle name="Normal 10 11 2 2 3" xfId="12375" xr:uid="{00000000-0005-0000-0000-0000CE000000}"/>
    <cellStyle name="Normal 10 11 2 2 3 2" xfId="50649" xr:uid="{00000000-0005-0000-0000-0000CF000000}"/>
    <cellStyle name="Normal 10 11 2 2 3 3" xfId="34549" xr:uid="{00000000-0005-0000-0000-0000D0000000}"/>
    <cellStyle name="Normal 10 11 2 2 3 4" xfId="24980" xr:uid="{00000000-0005-0000-0000-0000D1000000}"/>
    <cellStyle name="Normal 10 11 2 2 4" xfId="6303" xr:uid="{00000000-0005-0000-0000-0000D2000000}"/>
    <cellStyle name="Normal 10 11 2 2 4 2" xfId="54144" xr:uid="{00000000-0005-0000-0000-0000D3000000}"/>
    <cellStyle name="Normal 10 11 2 2 4 3" xfId="38044" xr:uid="{00000000-0005-0000-0000-0000D4000000}"/>
    <cellStyle name="Normal 10 11 2 2 4 4" xfId="18908" xr:uid="{00000000-0005-0000-0000-0000D5000000}"/>
    <cellStyle name="Normal 10 11 2 2 5" xfId="44577" xr:uid="{00000000-0005-0000-0000-0000D6000000}"/>
    <cellStyle name="Normal 10 11 2 2 6" xfId="28477" xr:uid="{00000000-0005-0000-0000-0000D7000000}"/>
    <cellStyle name="Normal 10 11 2 2 7" xfId="15413" xr:uid="{00000000-0005-0000-0000-0000D8000000}"/>
    <cellStyle name="Normal 10 11 2 3" xfId="1789" xr:uid="{00000000-0005-0000-0000-0000D9000000}"/>
    <cellStyle name="Normal 10 11 2 3 2" xfId="8323" xr:uid="{00000000-0005-0000-0000-0000DA000000}"/>
    <cellStyle name="Normal 10 11 2 3 2 2" xfId="40064" xr:uid="{00000000-0005-0000-0000-0000DB000000}"/>
    <cellStyle name="Normal 10 11 2 3 2 2 2" xfId="56164" xr:uid="{00000000-0005-0000-0000-0000DC000000}"/>
    <cellStyle name="Normal 10 11 2 3 2 3" xfId="46597" xr:uid="{00000000-0005-0000-0000-0000DD000000}"/>
    <cellStyle name="Normal 10 11 2 3 2 4" xfId="30497" xr:uid="{00000000-0005-0000-0000-0000DE000000}"/>
    <cellStyle name="Normal 10 11 2 3 2 5" xfId="20928" xr:uid="{00000000-0005-0000-0000-0000DF000000}"/>
    <cellStyle name="Normal 10 11 2 3 3" xfId="11359" xr:uid="{00000000-0005-0000-0000-0000E0000000}"/>
    <cellStyle name="Normal 10 11 2 3 3 2" xfId="49633" xr:uid="{00000000-0005-0000-0000-0000E1000000}"/>
    <cellStyle name="Normal 10 11 2 3 3 3" xfId="33533" xr:uid="{00000000-0005-0000-0000-0000E2000000}"/>
    <cellStyle name="Normal 10 11 2 3 3 4" xfId="23964" xr:uid="{00000000-0005-0000-0000-0000E3000000}"/>
    <cellStyle name="Normal 10 11 2 3 4" xfId="5287" xr:uid="{00000000-0005-0000-0000-0000E4000000}"/>
    <cellStyle name="Normal 10 11 2 3 4 2" xfId="53128" xr:uid="{00000000-0005-0000-0000-0000E5000000}"/>
    <cellStyle name="Normal 10 11 2 3 4 3" xfId="37028" xr:uid="{00000000-0005-0000-0000-0000E6000000}"/>
    <cellStyle name="Normal 10 11 2 3 4 4" xfId="17892" xr:uid="{00000000-0005-0000-0000-0000E7000000}"/>
    <cellStyle name="Normal 10 11 2 3 5" xfId="43561" xr:uid="{00000000-0005-0000-0000-0000E8000000}"/>
    <cellStyle name="Normal 10 11 2 3 6" xfId="27461" xr:uid="{00000000-0005-0000-0000-0000E9000000}"/>
    <cellStyle name="Normal 10 11 2 3 7" xfId="14397" xr:uid="{00000000-0005-0000-0000-0000EA000000}"/>
    <cellStyle name="Normal 10 11 2 4" xfId="4277" xr:uid="{00000000-0005-0000-0000-0000EB000000}"/>
    <cellStyle name="Normal 10 11 2 4 2" xfId="36018" xr:uid="{00000000-0005-0000-0000-0000EC000000}"/>
    <cellStyle name="Normal 10 11 2 4 2 2" xfId="52118" xr:uid="{00000000-0005-0000-0000-0000ED000000}"/>
    <cellStyle name="Normal 10 11 2 4 3" xfId="42551" xr:uid="{00000000-0005-0000-0000-0000EE000000}"/>
    <cellStyle name="Normal 10 11 2 4 4" xfId="26451" xr:uid="{00000000-0005-0000-0000-0000EF000000}"/>
    <cellStyle name="Normal 10 11 2 4 5" xfId="16882" xr:uid="{00000000-0005-0000-0000-0000F0000000}"/>
    <cellStyle name="Normal 10 11 2 5" xfId="7313" xr:uid="{00000000-0005-0000-0000-0000F1000000}"/>
    <cellStyle name="Normal 10 11 2 5 2" xfId="39054" xr:uid="{00000000-0005-0000-0000-0000F2000000}"/>
    <cellStyle name="Normal 10 11 2 5 2 2" xfId="55154" xr:uid="{00000000-0005-0000-0000-0000F3000000}"/>
    <cellStyle name="Normal 10 11 2 5 3" xfId="45587" xr:uid="{00000000-0005-0000-0000-0000F4000000}"/>
    <cellStyle name="Normal 10 11 2 5 4" xfId="29487" xr:uid="{00000000-0005-0000-0000-0000F5000000}"/>
    <cellStyle name="Normal 10 11 2 5 5" xfId="19918" xr:uid="{00000000-0005-0000-0000-0000F6000000}"/>
    <cellStyle name="Normal 10 11 2 6" xfId="10349" xr:uid="{00000000-0005-0000-0000-0000F7000000}"/>
    <cellStyle name="Normal 10 11 2 6 2" xfId="48623" xr:uid="{00000000-0005-0000-0000-0000F8000000}"/>
    <cellStyle name="Normal 10 11 2 6 3" xfId="32523" xr:uid="{00000000-0005-0000-0000-0000F9000000}"/>
    <cellStyle name="Normal 10 11 2 6 4" xfId="22954" xr:uid="{00000000-0005-0000-0000-0000FA000000}"/>
    <cellStyle name="Normal 10 11 2 7" xfId="3372" xr:uid="{00000000-0005-0000-0000-0000FB000000}"/>
    <cellStyle name="Normal 10 11 2 7 2" xfId="51213" xr:uid="{00000000-0005-0000-0000-0000FC000000}"/>
    <cellStyle name="Normal 10 11 2 7 3" xfId="35113" xr:uid="{00000000-0005-0000-0000-0000FD000000}"/>
    <cellStyle name="Normal 10 11 2 7 4" xfId="15977" xr:uid="{00000000-0005-0000-0000-0000FE000000}"/>
    <cellStyle name="Normal 10 11 2 8" xfId="41646" xr:uid="{00000000-0005-0000-0000-0000FF000000}"/>
    <cellStyle name="Normal 10 11 2 9" xfId="25546" xr:uid="{00000000-0005-0000-0000-000000010000}"/>
    <cellStyle name="Normal 10 11 3" xfId="637" xr:uid="{00000000-0005-0000-0000-000001010000}"/>
    <cellStyle name="Normal 10 11 3 2" xfId="2665" xr:uid="{00000000-0005-0000-0000-000002010000}"/>
    <cellStyle name="Normal 10 11 3 2 2" xfId="9197" xr:uid="{00000000-0005-0000-0000-000003010000}"/>
    <cellStyle name="Normal 10 11 3 2 2 2" xfId="40938" xr:uid="{00000000-0005-0000-0000-000004010000}"/>
    <cellStyle name="Normal 10 11 3 2 2 2 2" xfId="57038" xr:uid="{00000000-0005-0000-0000-000005010000}"/>
    <cellStyle name="Normal 10 11 3 2 2 3" xfId="47471" xr:uid="{00000000-0005-0000-0000-000006010000}"/>
    <cellStyle name="Normal 10 11 3 2 2 4" xfId="31371" xr:uid="{00000000-0005-0000-0000-000007010000}"/>
    <cellStyle name="Normal 10 11 3 2 2 5" xfId="21802" xr:uid="{00000000-0005-0000-0000-000008010000}"/>
    <cellStyle name="Normal 10 11 3 2 3" xfId="12233" xr:uid="{00000000-0005-0000-0000-000009010000}"/>
    <cellStyle name="Normal 10 11 3 2 3 2" xfId="50507" xr:uid="{00000000-0005-0000-0000-00000A010000}"/>
    <cellStyle name="Normal 10 11 3 2 3 3" xfId="34407" xr:uid="{00000000-0005-0000-0000-00000B010000}"/>
    <cellStyle name="Normal 10 11 3 2 3 4" xfId="24838" xr:uid="{00000000-0005-0000-0000-00000C010000}"/>
    <cellStyle name="Normal 10 11 3 2 4" xfId="6161" xr:uid="{00000000-0005-0000-0000-00000D010000}"/>
    <cellStyle name="Normal 10 11 3 2 4 2" xfId="54002" xr:uid="{00000000-0005-0000-0000-00000E010000}"/>
    <cellStyle name="Normal 10 11 3 2 4 3" xfId="37902" xr:uid="{00000000-0005-0000-0000-00000F010000}"/>
    <cellStyle name="Normal 10 11 3 2 4 4" xfId="18766" xr:uid="{00000000-0005-0000-0000-000010010000}"/>
    <cellStyle name="Normal 10 11 3 2 5" xfId="44435" xr:uid="{00000000-0005-0000-0000-000011010000}"/>
    <cellStyle name="Normal 10 11 3 2 6" xfId="28335" xr:uid="{00000000-0005-0000-0000-000012010000}"/>
    <cellStyle name="Normal 10 11 3 2 7" xfId="15271" xr:uid="{00000000-0005-0000-0000-000013010000}"/>
    <cellStyle name="Normal 10 11 3 3" xfId="1647" xr:uid="{00000000-0005-0000-0000-000014010000}"/>
    <cellStyle name="Normal 10 11 3 3 2" xfId="8181" xr:uid="{00000000-0005-0000-0000-000015010000}"/>
    <cellStyle name="Normal 10 11 3 3 2 2" xfId="39922" xr:uid="{00000000-0005-0000-0000-000016010000}"/>
    <cellStyle name="Normal 10 11 3 3 2 2 2" xfId="56022" xr:uid="{00000000-0005-0000-0000-000017010000}"/>
    <cellStyle name="Normal 10 11 3 3 2 3" xfId="46455" xr:uid="{00000000-0005-0000-0000-000018010000}"/>
    <cellStyle name="Normal 10 11 3 3 2 4" xfId="30355" xr:uid="{00000000-0005-0000-0000-000019010000}"/>
    <cellStyle name="Normal 10 11 3 3 2 5" xfId="20786" xr:uid="{00000000-0005-0000-0000-00001A010000}"/>
    <cellStyle name="Normal 10 11 3 3 3" xfId="11217" xr:uid="{00000000-0005-0000-0000-00001B010000}"/>
    <cellStyle name="Normal 10 11 3 3 3 2" xfId="49491" xr:uid="{00000000-0005-0000-0000-00001C010000}"/>
    <cellStyle name="Normal 10 11 3 3 3 3" xfId="33391" xr:uid="{00000000-0005-0000-0000-00001D010000}"/>
    <cellStyle name="Normal 10 11 3 3 3 4" xfId="23822" xr:uid="{00000000-0005-0000-0000-00001E010000}"/>
    <cellStyle name="Normal 10 11 3 3 4" xfId="5145" xr:uid="{00000000-0005-0000-0000-00001F010000}"/>
    <cellStyle name="Normal 10 11 3 3 4 2" xfId="52986" xr:uid="{00000000-0005-0000-0000-000020010000}"/>
    <cellStyle name="Normal 10 11 3 3 4 3" xfId="36886" xr:uid="{00000000-0005-0000-0000-000021010000}"/>
    <cellStyle name="Normal 10 11 3 3 4 4" xfId="17750" xr:uid="{00000000-0005-0000-0000-000022010000}"/>
    <cellStyle name="Normal 10 11 3 3 5" xfId="43419" xr:uid="{00000000-0005-0000-0000-000023010000}"/>
    <cellStyle name="Normal 10 11 3 3 6" xfId="27319" xr:uid="{00000000-0005-0000-0000-000024010000}"/>
    <cellStyle name="Normal 10 11 3 3 7" xfId="14255" xr:uid="{00000000-0005-0000-0000-000025010000}"/>
    <cellStyle name="Normal 10 11 3 4" xfId="7171" xr:uid="{00000000-0005-0000-0000-000026010000}"/>
    <cellStyle name="Normal 10 11 3 4 2" xfId="38912" xr:uid="{00000000-0005-0000-0000-000027010000}"/>
    <cellStyle name="Normal 10 11 3 4 2 2" xfId="55012" xr:uid="{00000000-0005-0000-0000-000028010000}"/>
    <cellStyle name="Normal 10 11 3 4 3" xfId="45445" xr:uid="{00000000-0005-0000-0000-000029010000}"/>
    <cellStyle name="Normal 10 11 3 4 4" xfId="29345" xr:uid="{00000000-0005-0000-0000-00002A010000}"/>
    <cellStyle name="Normal 10 11 3 4 5" xfId="19776" xr:uid="{00000000-0005-0000-0000-00002B010000}"/>
    <cellStyle name="Normal 10 11 3 5" xfId="10207" xr:uid="{00000000-0005-0000-0000-00002C010000}"/>
    <cellStyle name="Normal 10 11 3 5 2" xfId="48481" xr:uid="{00000000-0005-0000-0000-00002D010000}"/>
    <cellStyle name="Normal 10 11 3 5 3" xfId="32381" xr:uid="{00000000-0005-0000-0000-00002E010000}"/>
    <cellStyle name="Normal 10 11 3 5 4" xfId="22812" xr:uid="{00000000-0005-0000-0000-00002F010000}"/>
    <cellStyle name="Normal 10 11 3 6" xfId="4135" xr:uid="{00000000-0005-0000-0000-000030010000}"/>
    <cellStyle name="Normal 10 11 3 6 2" xfId="51976" xr:uid="{00000000-0005-0000-0000-000031010000}"/>
    <cellStyle name="Normal 10 11 3 6 3" xfId="35876" xr:uid="{00000000-0005-0000-0000-000032010000}"/>
    <cellStyle name="Normal 10 11 3 6 4" xfId="16740" xr:uid="{00000000-0005-0000-0000-000033010000}"/>
    <cellStyle name="Normal 10 11 3 7" xfId="42409" xr:uid="{00000000-0005-0000-0000-000034010000}"/>
    <cellStyle name="Normal 10 11 3 8" xfId="26309" xr:uid="{00000000-0005-0000-0000-000035010000}"/>
    <cellStyle name="Normal 10 11 3 9" xfId="13245" xr:uid="{00000000-0005-0000-0000-000036010000}"/>
    <cellStyle name="Normal 10 11 4" xfId="2437" xr:uid="{00000000-0005-0000-0000-000037010000}"/>
    <cellStyle name="Normal 10 11 4 2" xfId="8969" xr:uid="{00000000-0005-0000-0000-000038010000}"/>
    <cellStyle name="Normal 10 11 4 2 2" xfId="40710" xr:uid="{00000000-0005-0000-0000-000039010000}"/>
    <cellStyle name="Normal 10 11 4 2 2 2" xfId="56810" xr:uid="{00000000-0005-0000-0000-00003A010000}"/>
    <cellStyle name="Normal 10 11 4 2 3" xfId="47243" xr:uid="{00000000-0005-0000-0000-00003B010000}"/>
    <cellStyle name="Normal 10 11 4 2 4" xfId="31143" xr:uid="{00000000-0005-0000-0000-00003C010000}"/>
    <cellStyle name="Normal 10 11 4 2 5" xfId="21574" xr:uid="{00000000-0005-0000-0000-00003D010000}"/>
    <cellStyle name="Normal 10 11 4 3" xfId="12005" xr:uid="{00000000-0005-0000-0000-00003E010000}"/>
    <cellStyle name="Normal 10 11 4 3 2" xfId="50279" xr:uid="{00000000-0005-0000-0000-00003F010000}"/>
    <cellStyle name="Normal 10 11 4 3 3" xfId="34179" xr:uid="{00000000-0005-0000-0000-000040010000}"/>
    <cellStyle name="Normal 10 11 4 3 4" xfId="24610" xr:uid="{00000000-0005-0000-0000-000041010000}"/>
    <cellStyle name="Normal 10 11 4 4" xfId="5933" xr:uid="{00000000-0005-0000-0000-000042010000}"/>
    <cellStyle name="Normal 10 11 4 4 2" xfId="53774" xr:uid="{00000000-0005-0000-0000-000043010000}"/>
    <cellStyle name="Normal 10 11 4 4 3" xfId="37674" xr:uid="{00000000-0005-0000-0000-000044010000}"/>
    <cellStyle name="Normal 10 11 4 4 4" xfId="18538" xr:uid="{00000000-0005-0000-0000-000045010000}"/>
    <cellStyle name="Normal 10 11 4 5" xfId="44207" xr:uid="{00000000-0005-0000-0000-000046010000}"/>
    <cellStyle name="Normal 10 11 4 6" xfId="28107" xr:uid="{00000000-0005-0000-0000-000047010000}"/>
    <cellStyle name="Normal 10 11 4 7" xfId="15043" xr:uid="{00000000-0005-0000-0000-000048010000}"/>
    <cellStyle name="Normal 10 11 5" xfId="1106" xr:uid="{00000000-0005-0000-0000-000049010000}"/>
    <cellStyle name="Normal 10 11 5 2" xfId="7640" xr:uid="{00000000-0005-0000-0000-00004A010000}"/>
    <cellStyle name="Normal 10 11 5 2 2" xfId="39381" xr:uid="{00000000-0005-0000-0000-00004B010000}"/>
    <cellStyle name="Normal 10 11 5 2 2 2" xfId="55481" xr:uid="{00000000-0005-0000-0000-00004C010000}"/>
    <cellStyle name="Normal 10 11 5 2 3" xfId="45914" xr:uid="{00000000-0005-0000-0000-00004D010000}"/>
    <cellStyle name="Normal 10 11 5 2 4" xfId="29814" xr:uid="{00000000-0005-0000-0000-00004E010000}"/>
    <cellStyle name="Normal 10 11 5 2 5" xfId="20245" xr:uid="{00000000-0005-0000-0000-00004F010000}"/>
    <cellStyle name="Normal 10 11 5 3" xfId="10676" xr:uid="{00000000-0005-0000-0000-000050010000}"/>
    <cellStyle name="Normal 10 11 5 3 2" xfId="48950" xr:uid="{00000000-0005-0000-0000-000051010000}"/>
    <cellStyle name="Normal 10 11 5 3 3" xfId="32850" xr:uid="{00000000-0005-0000-0000-000052010000}"/>
    <cellStyle name="Normal 10 11 5 3 4" xfId="23281" xr:uid="{00000000-0005-0000-0000-000053010000}"/>
    <cellStyle name="Normal 10 11 5 4" xfId="4604" xr:uid="{00000000-0005-0000-0000-000054010000}"/>
    <cellStyle name="Normal 10 11 5 4 2" xfId="52445" xr:uid="{00000000-0005-0000-0000-000055010000}"/>
    <cellStyle name="Normal 10 11 5 4 3" xfId="36345" xr:uid="{00000000-0005-0000-0000-000056010000}"/>
    <cellStyle name="Normal 10 11 5 4 4" xfId="17209" xr:uid="{00000000-0005-0000-0000-000057010000}"/>
    <cellStyle name="Normal 10 11 5 5" xfId="42878" xr:uid="{00000000-0005-0000-0000-000058010000}"/>
    <cellStyle name="Normal 10 11 5 6" xfId="26778" xr:uid="{00000000-0005-0000-0000-000059010000}"/>
    <cellStyle name="Normal 10 11 5 7" xfId="13714" xr:uid="{00000000-0005-0000-0000-00005A010000}"/>
    <cellStyle name="Normal 10 11 6" xfId="3594" xr:uid="{00000000-0005-0000-0000-00005B010000}"/>
    <cellStyle name="Normal 10 11 6 2" xfId="35335" xr:uid="{00000000-0005-0000-0000-00005C010000}"/>
    <cellStyle name="Normal 10 11 6 2 2" xfId="51435" xr:uid="{00000000-0005-0000-0000-00005D010000}"/>
    <cellStyle name="Normal 10 11 6 3" xfId="41868" xr:uid="{00000000-0005-0000-0000-00005E010000}"/>
    <cellStyle name="Normal 10 11 6 4" xfId="25768" xr:uid="{00000000-0005-0000-0000-00005F010000}"/>
    <cellStyle name="Normal 10 11 6 5" xfId="16199" xr:uid="{00000000-0005-0000-0000-000060010000}"/>
    <cellStyle name="Normal 10 11 7" xfId="6630" xr:uid="{00000000-0005-0000-0000-000061010000}"/>
    <cellStyle name="Normal 10 11 7 2" xfId="38371" xr:uid="{00000000-0005-0000-0000-000062010000}"/>
    <cellStyle name="Normal 10 11 7 2 2" xfId="54471" xr:uid="{00000000-0005-0000-0000-000063010000}"/>
    <cellStyle name="Normal 10 11 7 3" xfId="44904" xr:uid="{00000000-0005-0000-0000-000064010000}"/>
    <cellStyle name="Normal 10 11 7 4" xfId="28804" xr:uid="{00000000-0005-0000-0000-000065010000}"/>
    <cellStyle name="Normal 10 11 7 5" xfId="19235" xr:uid="{00000000-0005-0000-0000-000066010000}"/>
    <cellStyle name="Normal 10 11 8" xfId="9666" xr:uid="{00000000-0005-0000-0000-000067010000}"/>
    <cellStyle name="Normal 10 11 8 2" xfId="47940" xr:uid="{00000000-0005-0000-0000-000068010000}"/>
    <cellStyle name="Normal 10 11 8 3" xfId="31840" xr:uid="{00000000-0005-0000-0000-000069010000}"/>
    <cellStyle name="Normal 10 11 8 4" xfId="22271" xr:uid="{00000000-0005-0000-0000-00006A010000}"/>
    <cellStyle name="Normal 10 11 9" xfId="3134" xr:uid="{00000000-0005-0000-0000-00006B010000}"/>
    <cellStyle name="Normal 10 11 9 2" xfId="50976" xr:uid="{00000000-0005-0000-0000-00006C010000}"/>
    <cellStyle name="Normal 10 11 9 3" xfId="34876" xr:uid="{00000000-0005-0000-0000-00006D010000}"/>
    <cellStyle name="Normal 10 11 9 4" xfId="15740" xr:uid="{00000000-0005-0000-0000-00006E010000}"/>
    <cellStyle name="Normal 10 12" xfId="402" xr:uid="{00000000-0005-0000-0000-00006F010000}"/>
    <cellStyle name="Normal 10 12 10" xfId="41392" xr:uid="{00000000-0005-0000-0000-000070010000}"/>
    <cellStyle name="Normal 10 12 11" xfId="25292" xr:uid="{00000000-0005-0000-0000-000071010000}"/>
    <cellStyle name="Normal 10 12 12" xfId="12687" xr:uid="{00000000-0005-0000-0000-000072010000}"/>
    <cellStyle name="Normal 10 12 2" xfId="762" xr:uid="{00000000-0005-0000-0000-000073010000}"/>
    <cellStyle name="Normal 10 12 2 10" xfId="13370" xr:uid="{00000000-0005-0000-0000-000074010000}"/>
    <cellStyle name="Normal 10 12 2 2" xfId="2790" xr:uid="{00000000-0005-0000-0000-000075010000}"/>
    <cellStyle name="Normal 10 12 2 2 2" xfId="9322" xr:uid="{00000000-0005-0000-0000-000076010000}"/>
    <cellStyle name="Normal 10 12 2 2 2 2" xfId="41063" xr:uid="{00000000-0005-0000-0000-000077010000}"/>
    <cellStyle name="Normal 10 12 2 2 2 2 2" xfId="57163" xr:uid="{00000000-0005-0000-0000-000078010000}"/>
    <cellStyle name="Normal 10 12 2 2 2 3" xfId="47596" xr:uid="{00000000-0005-0000-0000-000079010000}"/>
    <cellStyle name="Normal 10 12 2 2 2 4" xfId="31496" xr:uid="{00000000-0005-0000-0000-00007A010000}"/>
    <cellStyle name="Normal 10 12 2 2 2 5" xfId="21927" xr:uid="{00000000-0005-0000-0000-00007B010000}"/>
    <cellStyle name="Normal 10 12 2 2 3" xfId="12358" xr:uid="{00000000-0005-0000-0000-00007C010000}"/>
    <cellStyle name="Normal 10 12 2 2 3 2" xfId="50632" xr:uid="{00000000-0005-0000-0000-00007D010000}"/>
    <cellStyle name="Normal 10 12 2 2 3 3" xfId="34532" xr:uid="{00000000-0005-0000-0000-00007E010000}"/>
    <cellStyle name="Normal 10 12 2 2 3 4" xfId="24963" xr:uid="{00000000-0005-0000-0000-00007F010000}"/>
    <cellStyle name="Normal 10 12 2 2 4" xfId="6286" xr:uid="{00000000-0005-0000-0000-000080010000}"/>
    <cellStyle name="Normal 10 12 2 2 4 2" xfId="54127" xr:uid="{00000000-0005-0000-0000-000081010000}"/>
    <cellStyle name="Normal 10 12 2 2 4 3" xfId="38027" xr:uid="{00000000-0005-0000-0000-000082010000}"/>
    <cellStyle name="Normal 10 12 2 2 4 4" xfId="18891" xr:uid="{00000000-0005-0000-0000-000083010000}"/>
    <cellStyle name="Normal 10 12 2 2 5" xfId="44560" xr:uid="{00000000-0005-0000-0000-000084010000}"/>
    <cellStyle name="Normal 10 12 2 2 6" xfId="28460" xr:uid="{00000000-0005-0000-0000-000085010000}"/>
    <cellStyle name="Normal 10 12 2 2 7" xfId="15396" xr:uid="{00000000-0005-0000-0000-000086010000}"/>
    <cellStyle name="Normal 10 12 2 3" xfId="1772" xr:uid="{00000000-0005-0000-0000-000087010000}"/>
    <cellStyle name="Normal 10 12 2 3 2" xfId="8306" xr:uid="{00000000-0005-0000-0000-000088010000}"/>
    <cellStyle name="Normal 10 12 2 3 2 2" xfId="40047" xr:uid="{00000000-0005-0000-0000-000089010000}"/>
    <cellStyle name="Normal 10 12 2 3 2 2 2" xfId="56147" xr:uid="{00000000-0005-0000-0000-00008A010000}"/>
    <cellStyle name="Normal 10 12 2 3 2 3" xfId="46580" xr:uid="{00000000-0005-0000-0000-00008B010000}"/>
    <cellStyle name="Normal 10 12 2 3 2 4" xfId="30480" xr:uid="{00000000-0005-0000-0000-00008C010000}"/>
    <cellStyle name="Normal 10 12 2 3 2 5" xfId="20911" xr:uid="{00000000-0005-0000-0000-00008D010000}"/>
    <cellStyle name="Normal 10 12 2 3 3" xfId="11342" xr:uid="{00000000-0005-0000-0000-00008E010000}"/>
    <cellStyle name="Normal 10 12 2 3 3 2" xfId="49616" xr:uid="{00000000-0005-0000-0000-00008F010000}"/>
    <cellStyle name="Normal 10 12 2 3 3 3" xfId="33516" xr:uid="{00000000-0005-0000-0000-000090010000}"/>
    <cellStyle name="Normal 10 12 2 3 3 4" xfId="23947" xr:uid="{00000000-0005-0000-0000-000091010000}"/>
    <cellStyle name="Normal 10 12 2 3 4" xfId="5270" xr:uid="{00000000-0005-0000-0000-000092010000}"/>
    <cellStyle name="Normal 10 12 2 3 4 2" xfId="53111" xr:uid="{00000000-0005-0000-0000-000093010000}"/>
    <cellStyle name="Normal 10 12 2 3 4 3" xfId="37011" xr:uid="{00000000-0005-0000-0000-000094010000}"/>
    <cellStyle name="Normal 10 12 2 3 4 4" xfId="17875" xr:uid="{00000000-0005-0000-0000-000095010000}"/>
    <cellStyle name="Normal 10 12 2 3 5" xfId="43544" xr:uid="{00000000-0005-0000-0000-000096010000}"/>
    <cellStyle name="Normal 10 12 2 3 6" xfId="27444" xr:uid="{00000000-0005-0000-0000-000097010000}"/>
    <cellStyle name="Normal 10 12 2 3 7" xfId="14380" xr:uid="{00000000-0005-0000-0000-000098010000}"/>
    <cellStyle name="Normal 10 12 2 4" xfId="4260" xr:uid="{00000000-0005-0000-0000-000099010000}"/>
    <cellStyle name="Normal 10 12 2 4 2" xfId="36001" xr:uid="{00000000-0005-0000-0000-00009A010000}"/>
    <cellStyle name="Normal 10 12 2 4 2 2" xfId="52101" xr:uid="{00000000-0005-0000-0000-00009B010000}"/>
    <cellStyle name="Normal 10 12 2 4 3" xfId="42534" xr:uid="{00000000-0005-0000-0000-00009C010000}"/>
    <cellStyle name="Normal 10 12 2 4 4" xfId="26434" xr:uid="{00000000-0005-0000-0000-00009D010000}"/>
    <cellStyle name="Normal 10 12 2 4 5" xfId="16865" xr:uid="{00000000-0005-0000-0000-00009E010000}"/>
    <cellStyle name="Normal 10 12 2 5" xfId="7296" xr:uid="{00000000-0005-0000-0000-00009F010000}"/>
    <cellStyle name="Normal 10 12 2 5 2" xfId="39037" xr:uid="{00000000-0005-0000-0000-0000A0010000}"/>
    <cellStyle name="Normal 10 12 2 5 2 2" xfId="55137" xr:uid="{00000000-0005-0000-0000-0000A1010000}"/>
    <cellStyle name="Normal 10 12 2 5 3" xfId="45570" xr:uid="{00000000-0005-0000-0000-0000A2010000}"/>
    <cellStyle name="Normal 10 12 2 5 4" xfId="29470" xr:uid="{00000000-0005-0000-0000-0000A3010000}"/>
    <cellStyle name="Normal 10 12 2 5 5" xfId="19901" xr:uid="{00000000-0005-0000-0000-0000A4010000}"/>
    <cellStyle name="Normal 10 12 2 6" xfId="10332" xr:uid="{00000000-0005-0000-0000-0000A5010000}"/>
    <cellStyle name="Normal 10 12 2 6 2" xfId="48606" xr:uid="{00000000-0005-0000-0000-0000A6010000}"/>
    <cellStyle name="Normal 10 12 2 6 3" xfId="32506" xr:uid="{00000000-0005-0000-0000-0000A7010000}"/>
    <cellStyle name="Normal 10 12 2 6 4" xfId="22937" xr:uid="{00000000-0005-0000-0000-0000A8010000}"/>
    <cellStyle name="Normal 10 12 2 7" xfId="3355" xr:uid="{00000000-0005-0000-0000-0000A9010000}"/>
    <cellStyle name="Normal 10 12 2 7 2" xfId="51196" xr:uid="{00000000-0005-0000-0000-0000AA010000}"/>
    <cellStyle name="Normal 10 12 2 7 3" xfId="35096" xr:uid="{00000000-0005-0000-0000-0000AB010000}"/>
    <cellStyle name="Normal 10 12 2 7 4" xfId="15960" xr:uid="{00000000-0005-0000-0000-0000AC010000}"/>
    <cellStyle name="Normal 10 12 2 8" xfId="41629" xr:uid="{00000000-0005-0000-0000-0000AD010000}"/>
    <cellStyle name="Normal 10 12 2 9" xfId="25529" xr:uid="{00000000-0005-0000-0000-0000AE010000}"/>
    <cellStyle name="Normal 10 12 3" xfId="620" xr:uid="{00000000-0005-0000-0000-0000AF010000}"/>
    <cellStyle name="Normal 10 12 3 2" xfId="2648" xr:uid="{00000000-0005-0000-0000-0000B0010000}"/>
    <cellStyle name="Normal 10 12 3 2 2" xfId="9180" xr:uid="{00000000-0005-0000-0000-0000B1010000}"/>
    <cellStyle name="Normal 10 12 3 2 2 2" xfId="40921" xr:uid="{00000000-0005-0000-0000-0000B2010000}"/>
    <cellStyle name="Normal 10 12 3 2 2 2 2" xfId="57021" xr:uid="{00000000-0005-0000-0000-0000B3010000}"/>
    <cellStyle name="Normal 10 12 3 2 2 3" xfId="47454" xr:uid="{00000000-0005-0000-0000-0000B4010000}"/>
    <cellStyle name="Normal 10 12 3 2 2 4" xfId="31354" xr:uid="{00000000-0005-0000-0000-0000B5010000}"/>
    <cellStyle name="Normal 10 12 3 2 2 5" xfId="21785" xr:uid="{00000000-0005-0000-0000-0000B6010000}"/>
    <cellStyle name="Normal 10 12 3 2 3" xfId="12216" xr:uid="{00000000-0005-0000-0000-0000B7010000}"/>
    <cellStyle name="Normal 10 12 3 2 3 2" xfId="50490" xr:uid="{00000000-0005-0000-0000-0000B8010000}"/>
    <cellStyle name="Normal 10 12 3 2 3 3" xfId="34390" xr:uid="{00000000-0005-0000-0000-0000B9010000}"/>
    <cellStyle name="Normal 10 12 3 2 3 4" xfId="24821" xr:uid="{00000000-0005-0000-0000-0000BA010000}"/>
    <cellStyle name="Normal 10 12 3 2 4" xfId="6144" xr:uid="{00000000-0005-0000-0000-0000BB010000}"/>
    <cellStyle name="Normal 10 12 3 2 4 2" xfId="53985" xr:uid="{00000000-0005-0000-0000-0000BC010000}"/>
    <cellStyle name="Normal 10 12 3 2 4 3" xfId="37885" xr:uid="{00000000-0005-0000-0000-0000BD010000}"/>
    <cellStyle name="Normal 10 12 3 2 4 4" xfId="18749" xr:uid="{00000000-0005-0000-0000-0000BE010000}"/>
    <cellStyle name="Normal 10 12 3 2 5" xfId="44418" xr:uid="{00000000-0005-0000-0000-0000BF010000}"/>
    <cellStyle name="Normal 10 12 3 2 6" xfId="28318" xr:uid="{00000000-0005-0000-0000-0000C0010000}"/>
    <cellStyle name="Normal 10 12 3 2 7" xfId="15254" xr:uid="{00000000-0005-0000-0000-0000C1010000}"/>
    <cellStyle name="Normal 10 12 3 3" xfId="1630" xr:uid="{00000000-0005-0000-0000-0000C2010000}"/>
    <cellStyle name="Normal 10 12 3 3 2" xfId="8164" xr:uid="{00000000-0005-0000-0000-0000C3010000}"/>
    <cellStyle name="Normal 10 12 3 3 2 2" xfId="39905" xr:uid="{00000000-0005-0000-0000-0000C4010000}"/>
    <cellStyle name="Normal 10 12 3 3 2 2 2" xfId="56005" xr:uid="{00000000-0005-0000-0000-0000C5010000}"/>
    <cellStyle name="Normal 10 12 3 3 2 3" xfId="46438" xr:uid="{00000000-0005-0000-0000-0000C6010000}"/>
    <cellStyle name="Normal 10 12 3 3 2 4" xfId="30338" xr:uid="{00000000-0005-0000-0000-0000C7010000}"/>
    <cellStyle name="Normal 10 12 3 3 2 5" xfId="20769" xr:uid="{00000000-0005-0000-0000-0000C8010000}"/>
    <cellStyle name="Normal 10 12 3 3 3" xfId="11200" xr:uid="{00000000-0005-0000-0000-0000C9010000}"/>
    <cellStyle name="Normal 10 12 3 3 3 2" xfId="49474" xr:uid="{00000000-0005-0000-0000-0000CA010000}"/>
    <cellStyle name="Normal 10 12 3 3 3 3" xfId="33374" xr:uid="{00000000-0005-0000-0000-0000CB010000}"/>
    <cellStyle name="Normal 10 12 3 3 3 4" xfId="23805" xr:uid="{00000000-0005-0000-0000-0000CC010000}"/>
    <cellStyle name="Normal 10 12 3 3 4" xfId="5128" xr:uid="{00000000-0005-0000-0000-0000CD010000}"/>
    <cellStyle name="Normal 10 12 3 3 4 2" xfId="52969" xr:uid="{00000000-0005-0000-0000-0000CE010000}"/>
    <cellStyle name="Normal 10 12 3 3 4 3" xfId="36869" xr:uid="{00000000-0005-0000-0000-0000CF010000}"/>
    <cellStyle name="Normal 10 12 3 3 4 4" xfId="17733" xr:uid="{00000000-0005-0000-0000-0000D0010000}"/>
    <cellStyle name="Normal 10 12 3 3 5" xfId="43402" xr:uid="{00000000-0005-0000-0000-0000D1010000}"/>
    <cellStyle name="Normal 10 12 3 3 6" xfId="27302" xr:uid="{00000000-0005-0000-0000-0000D2010000}"/>
    <cellStyle name="Normal 10 12 3 3 7" xfId="14238" xr:uid="{00000000-0005-0000-0000-0000D3010000}"/>
    <cellStyle name="Normal 10 12 3 4" xfId="7154" xr:uid="{00000000-0005-0000-0000-0000D4010000}"/>
    <cellStyle name="Normal 10 12 3 4 2" xfId="38895" xr:uid="{00000000-0005-0000-0000-0000D5010000}"/>
    <cellStyle name="Normal 10 12 3 4 2 2" xfId="54995" xr:uid="{00000000-0005-0000-0000-0000D6010000}"/>
    <cellStyle name="Normal 10 12 3 4 3" xfId="45428" xr:uid="{00000000-0005-0000-0000-0000D7010000}"/>
    <cellStyle name="Normal 10 12 3 4 4" xfId="29328" xr:uid="{00000000-0005-0000-0000-0000D8010000}"/>
    <cellStyle name="Normal 10 12 3 4 5" xfId="19759" xr:uid="{00000000-0005-0000-0000-0000D9010000}"/>
    <cellStyle name="Normal 10 12 3 5" xfId="10190" xr:uid="{00000000-0005-0000-0000-0000DA010000}"/>
    <cellStyle name="Normal 10 12 3 5 2" xfId="48464" xr:uid="{00000000-0005-0000-0000-0000DB010000}"/>
    <cellStyle name="Normal 10 12 3 5 3" xfId="32364" xr:uid="{00000000-0005-0000-0000-0000DC010000}"/>
    <cellStyle name="Normal 10 12 3 5 4" xfId="22795" xr:uid="{00000000-0005-0000-0000-0000DD010000}"/>
    <cellStyle name="Normal 10 12 3 6" xfId="4118" xr:uid="{00000000-0005-0000-0000-0000DE010000}"/>
    <cellStyle name="Normal 10 12 3 6 2" xfId="51959" xr:uid="{00000000-0005-0000-0000-0000DF010000}"/>
    <cellStyle name="Normal 10 12 3 6 3" xfId="35859" xr:uid="{00000000-0005-0000-0000-0000E0010000}"/>
    <cellStyle name="Normal 10 12 3 6 4" xfId="16723" xr:uid="{00000000-0005-0000-0000-0000E1010000}"/>
    <cellStyle name="Normal 10 12 3 7" xfId="42392" xr:uid="{00000000-0005-0000-0000-0000E2010000}"/>
    <cellStyle name="Normal 10 12 3 8" xfId="26292" xr:uid="{00000000-0005-0000-0000-0000E3010000}"/>
    <cellStyle name="Normal 10 12 3 9" xfId="13228" xr:uid="{00000000-0005-0000-0000-0000E4010000}"/>
    <cellStyle name="Normal 10 12 4" xfId="2420" xr:uid="{00000000-0005-0000-0000-0000E5010000}"/>
    <cellStyle name="Normal 10 12 4 2" xfId="8952" xr:uid="{00000000-0005-0000-0000-0000E6010000}"/>
    <cellStyle name="Normal 10 12 4 2 2" xfId="40693" xr:uid="{00000000-0005-0000-0000-0000E7010000}"/>
    <cellStyle name="Normal 10 12 4 2 2 2" xfId="56793" xr:uid="{00000000-0005-0000-0000-0000E8010000}"/>
    <cellStyle name="Normal 10 12 4 2 3" xfId="47226" xr:uid="{00000000-0005-0000-0000-0000E9010000}"/>
    <cellStyle name="Normal 10 12 4 2 4" xfId="31126" xr:uid="{00000000-0005-0000-0000-0000EA010000}"/>
    <cellStyle name="Normal 10 12 4 2 5" xfId="21557" xr:uid="{00000000-0005-0000-0000-0000EB010000}"/>
    <cellStyle name="Normal 10 12 4 3" xfId="11988" xr:uid="{00000000-0005-0000-0000-0000EC010000}"/>
    <cellStyle name="Normal 10 12 4 3 2" xfId="50262" xr:uid="{00000000-0005-0000-0000-0000ED010000}"/>
    <cellStyle name="Normal 10 12 4 3 3" xfId="34162" xr:uid="{00000000-0005-0000-0000-0000EE010000}"/>
    <cellStyle name="Normal 10 12 4 3 4" xfId="24593" xr:uid="{00000000-0005-0000-0000-0000EF010000}"/>
    <cellStyle name="Normal 10 12 4 4" xfId="5916" xr:uid="{00000000-0005-0000-0000-0000F0010000}"/>
    <cellStyle name="Normal 10 12 4 4 2" xfId="53757" xr:uid="{00000000-0005-0000-0000-0000F1010000}"/>
    <cellStyle name="Normal 10 12 4 4 3" xfId="37657" xr:uid="{00000000-0005-0000-0000-0000F2010000}"/>
    <cellStyle name="Normal 10 12 4 4 4" xfId="18521" xr:uid="{00000000-0005-0000-0000-0000F3010000}"/>
    <cellStyle name="Normal 10 12 4 5" xfId="44190" xr:uid="{00000000-0005-0000-0000-0000F4010000}"/>
    <cellStyle name="Normal 10 12 4 6" xfId="28090" xr:uid="{00000000-0005-0000-0000-0000F5010000}"/>
    <cellStyle name="Normal 10 12 4 7" xfId="15026" xr:uid="{00000000-0005-0000-0000-0000F6010000}"/>
    <cellStyle name="Normal 10 12 5" xfId="1089" xr:uid="{00000000-0005-0000-0000-0000F7010000}"/>
    <cellStyle name="Normal 10 12 5 2" xfId="7623" xr:uid="{00000000-0005-0000-0000-0000F8010000}"/>
    <cellStyle name="Normal 10 12 5 2 2" xfId="39364" xr:uid="{00000000-0005-0000-0000-0000F9010000}"/>
    <cellStyle name="Normal 10 12 5 2 2 2" xfId="55464" xr:uid="{00000000-0005-0000-0000-0000FA010000}"/>
    <cellStyle name="Normal 10 12 5 2 3" xfId="45897" xr:uid="{00000000-0005-0000-0000-0000FB010000}"/>
    <cellStyle name="Normal 10 12 5 2 4" xfId="29797" xr:uid="{00000000-0005-0000-0000-0000FC010000}"/>
    <cellStyle name="Normal 10 12 5 2 5" xfId="20228" xr:uid="{00000000-0005-0000-0000-0000FD010000}"/>
    <cellStyle name="Normal 10 12 5 3" xfId="10659" xr:uid="{00000000-0005-0000-0000-0000FE010000}"/>
    <cellStyle name="Normal 10 12 5 3 2" xfId="48933" xr:uid="{00000000-0005-0000-0000-0000FF010000}"/>
    <cellStyle name="Normal 10 12 5 3 3" xfId="32833" xr:uid="{00000000-0005-0000-0000-000000020000}"/>
    <cellStyle name="Normal 10 12 5 3 4" xfId="23264" xr:uid="{00000000-0005-0000-0000-000001020000}"/>
    <cellStyle name="Normal 10 12 5 4" xfId="4587" xr:uid="{00000000-0005-0000-0000-000002020000}"/>
    <cellStyle name="Normal 10 12 5 4 2" xfId="52428" xr:uid="{00000000-0005-0000-0000-000003020000}"/>
    <cellStyle name="Normal 10 12 5 4 3" xfId="36328" xr:uid="{00000000-0005-0000-0000-000004020000}"/>
    <cellStyle name="Normal 10 12 5 4 4" xfId="17192" xr:uid="{00000000-0005-0000-0000-000005020000}"/>
    <cellStyle name="Normal 10 12 5 5" xfId="42861" xr:uid="{00000000-0005-0000-0000-000006020000}"/>
    <cellStyle name="Normal 10 12 5 6" xfId="26761" xr:uid="{00000000-0005-0000-0000-000007020000}"/>
    <cellStyle name="Normal 10 12 5 7" xfId="13697" xr:uid="{00000000-0005-0000-0000-000008020000}"/>
    <cellStyle name="Normal 10 12 6" xfId="3577" xr:uid="{00000000-0005-0000-0000-000009020000}"/>
    <cellStyle name="Normal 10 12 6 2" xfId="35318" xr:uid="{00000000-0005-0000-0000-00000A020000}"/>
    <cellStyle name="Normal 10 12 6 2 2" xfId="51418" xr:uid="{00000000-0005-0000-0000-00000B020000}"/>
    <cellStyle name="Normal 10 12 6 3" xfId="41851" xr:uid="{00000000-0005-0000-0000-00000C020000}"/>
    <cellStyle name="Normal 10 12 6 4" xfId="25751" xr:uid="{00000000-0005-0000-0000-00000D020000}"/>
    <cellStyle name="Normal 10 12 6 5" xfId="16182" xr:uid="{00000000-0005-0000-0000-00000E020000}"/>
    <cellStyle name="Normal 10 12 7" xfId="6613" xr:uid="{00000000-0005-0000-0000-00000F020000}"/>
    <cellStyle name="Normal 10 12 7 2" xfId="38354" xr:uid="{00000000-0005-0000-0000-000010020000}"/>
    <cellStyle name="Normal 10 12 7 2 2" xfId="54454" xr:uid="{00000000-0005-0000-0000-000011020000}"/>
    <cellStyle name="Normal 10 12 7 3" xfId="44887" xr:uid="{00000000-0005-0000-0000-000012020000}"/>
    <cellStyle name="Normal 10 12 7 4" xfId="28787" xr:uid="{00000000-0005-0000-0000-000013020000}"/>
    <cellStyle name="Normal 10 12 7 5" xfId="19218" xr:uid="{00000000-0005-0000-0000-000014020000}"/>
    <cellStyle name="Normal 10 12 8" xfId="9649" xr:uid="{00000000-0005-0000-0000-000015020000}"/>
    <cellStyle name="Normal 10 12 8 2" xfId="47923" xr:uid="{00000000-0005-0000-0000-000016020000}"/>
    <cellStyle name="Normal 10 12 8 3" xfId="31823" xr:uid="{00000000-0005-0000-0000-000017020000}"/>
    <cellStyle name="Normal 10 12 8 4" xfId="22254" xr:uid="{00000000-0005-0000-0000-000018020000}"/>
    <cellStyle name="Normal 10 12 9" xfId="3117" xr:uid="{00000000-0005-0000-0000-000019020000}"/>
    <cellStyle name="Normal 10 12 9 2" xfId="50959" xr:uid="{00000000-0005-0000-0000-00001A020000}"/>
    <cellStyle name="Normal 10 12 9 3" xfId="34859" xr:uid="{00000000-0005-0000-0000-00001B020000}"/>
    <cellStyle name="Normal 10 12 9 4" xfId="15723" xr:uid="{00000000-0005-0000-0000-00001C020000}"/>
    <cellStyle name="Normal 10 13" xfId="496" xr:uid="{00000000-0005-0000-0000-00001D020000}"/>
    <cellStyle name="Normal 10 14" xfId="513" xr:uid="{00000000-0005-0000-0000-00001E020000}"/>
    <cellStyle name="Normal 10 14 10" xfId="25510" xr:uid="{00000000-0005-0000-0000-00001F020000}"/>
    <cellStyle name="Normal 10 14 11" xfId="12890" xr:uid="{00000000-0005-0000-0000-000020020000}"/>
    <cellStyle name="Normal 10 14 2" xfId="965" xr:uid="{00000000-0005-0000-0000-000021020000}"/>
    <cellStyle name="Normal 10 14 2 2" xfId="2993" xr:uid="{00000000-0005-0000-0000-000022020000}"/>
    <cellStyle name="Normal 10 14 2 2 2" xfId="9525" xr:uid="{00000000-0005-0000-0000-000023020000}"/>
    <cellStyle name="Normal 10 14 2 2 2 2" xfId="41266" xr:uid="{00000000-0005-0000-0000-000024020000}"/>
    <cellStyle name="Normal 10 14 2 2 2 2 2" xfId="57366" xr:uid="{00000000-0005-0000-0000-000025020000}"/>
    <cellStyle name="Normal 10 14 2 2 2 3" xfId="47799" xr:uid="{00000000-0005-0000-0000-000026020000}"/>
    <cellStyle name="Normal 10 14 2 2 2 4" xfId="31699" xr:uid="{00000000-0005-0000-0000-000027020000}"/>
    <cellStyle name="Normal 10 14 2 2 2 5" xfId="22130" xr:uid="{00000000-0005-0000-0000-000028020000}"/>
    <cellStyle name="Normal 10 14 2 2 3" xfId="12561" xr:uid="{00000000-0005-0000-0000-000029020000}"/>
    <cellStyle name="Normal 10 14 2 2 3 2" xfId="50835" xr:uid="{00000000-0005-0000-0000-00002A020000}"/>
    <cellStyle name="Normal 10 14 2 2 3 3" xfId="34735" xr:uid="{00000000-0005-0000-0000-00002B020000}"/>
    <cellStyle name="Normal 10 14 2 2 3 4" xfId="25166" xr:uid="{00000000-0005-0000-0000-00002C020000}"/>
    <cellStyle name="Normal 10 14 2 2 4" xfId="6489" xr:uid="{00000000-0005-0000-0000-00002D020000}"/>
    <cellStyle name="Normal 10 14 2 2 4 2" xfId="54330" xr:uid="{00000000-0005-0000-0000-00002E020000}"/>
    <cellStyle name="Normal 10 14 2 2 4 3" xfId="38230" xr:uid="{00000000-0005-0000-0000-00002F020000}"/>
    <cellStyle name="Normal 10 14 2 2 4 4" xfId="19094" xr:uid="{00000000-0005-0000-0000-000030020000}"/>
    <cellStyle name="Normal 10 14 2 2 5" xfId="44763" xr:uid="{00000000-0005-0000-0000-000031020000}"/>
    <cellStyle name="Normal 10 14 2 2 6" xfId="28663" xr:uid="{00000000-0005-0000-0000-000032020000}"/>
    <cellStyle name="Normal 10 14 2 2 7" xfId="15599" xr:uid="{00000000-0005-0000-0000-000033020000}"/>
    <cellStyle name="Normal 10 14 2 3" xfId="1975" xr:uid="{00000000-0005-0000-0000-000034020000}"/>
    <cellStyle name="Normal 10 14 2 3 2" xfId="8509" xr:uid="{00000000-0005-0000-0000-000035020000}"/>
    <cellStyle name="Normal 10 14 2 3 2 2" xfId="40250" xr:uid="{00000000-0005-0000-0000-000036020000}"/>
    <cellStyle name="Normal 10 14 2 3 2 2 2" xfId="56350" xr:uid="{00000000-0005-0000-0000-000037020000}"/>
    <cellStyle name="Normal 10 14 2 3 2 3" xfId="46783" xr:uid="{00000000-0005-0000-0000-000038020000}"/>
    <cellStyle name="Normal 10 14 2 3 2 4" xfId="30683" xr:uid="{00000000-0005-0000-0000-000039020000}"/>
    <cellStyle name="Normal 10 14 2 3 2 5" xfId="21114" xr:uid="{00000000-0005-0000-0000-00003A020000}"/>
    <cellStyle name="Normal 10 14 2 3 3" xfId="11545" xr:uid="{00000000-0005-0000-0000-00003B020000}"/>
    <cellStyle name="Normal 10 14 2 3 3 2" xfId="49819" xr:uid="{00000000-0005-0000-0000-00003C020000}"/>
    <cellStyle name="Normal 10 14 2 3 3 3" xfId="33719" xr:uid="{00000000-0005-0000-0000-00003D020000}"/>
    <cellStyle name="Normal 10 14 2 3 3 4" xfId="24150" xr:uid="{00000000-0005-0000-0000-00003E020000}"/>
    <cellStyle name="Normal 10 14 2 3 4" xfId="5473" xr:uid="{00000000-0005-0000-0000-00003F020000}"/>
    <cellStyle name="Normal 10 14 2 3 4 2" xfId="53314" xr:uid="{00000000-0005-0000-0000-000040020000}"/>
    <cellStyle name="Normal 10 14 2 3 4 3" xfId="37214" xr:uid="{00000000-0005-0000-0000-000041020000}"/>
    <cellStyle name="Normal 10 14 2 3 4 4" xfId="18078" xr:uid="{00000000-0005-0000-0000-000042020000}"/>
    <cellStyle name="Normal 10 14 2 3 5" xfId="43747" xr:uid="{00000000-0005-0000-0000-000043020000}"/>
    <cellStyle name="Normal 10 14 2 3 6" xfId="27647" xr:uid="{00000000-0005-0000-0000-000044020000}"/>
    <cellStyle name="Normal 10 14 2 3 7" xfId="14583" xr:uid="{00000000-0005-0000-0000-000045020000}"/>
    <cellStyle name="Normal 10 14 2 4" xfId="7499" xr:uid="{00000000-0005-0000-0000-000046020000}"/>
    <cellStyle name="Normal 10 14 2 4 2" xfId="39240" xr:uid="{00000000-0005-0000-0000-000047020000}"/>
    <cellStyle name="Normal 10 14 2 4 2 2" xfId="55340" xr:uid="{00000000-0005-0000-0000-000048020000}"/>
    <cellStyle name="Normal 10 14 2 4 3" xfId="45773" xr:uid="{00000000-0005-0000-0000-000049020000}"/>
    <cellStyle name="Normal 10 14 2 4 4" xfId="29673" xr:uid="{00000000-0005-0000-0000-00004A020000}"/>
    <cellStyle name="Normal 10 14 2 4 5" xfId="20104" xr:uid="{00000000-0005-0000-0000-00004B020000}"/>
    <cellStyle name="Normal 10 14 2 5" xfId="10535" xr:uid="{00000000-0005-0000-0000-00004C020000}"/>
    <cellStyle name="Normal 10 14 2 5 2" xfId="48809" xr:uid="{00000000-0005-0000-0000-00004D020000}"/>
    <cellStyle name="Normal 10 14 2 5 3" xfId="32709" xr:uid="{00000000-0005-0000-0000-00004E020000}"/>
    <cellStyle name="Normal 10 14 2 5 4" xfId="23140" xr:uid="{00000000-0005-0000-0000-00004F020000}"/>
    <cellStyle name="Normal 10 14 2 6" xfId="4463" xr:uid="{00000000-0005-0000-0000-000050020000}"/>
    <cellStyle name="Normal 10 14 2 6 2" xfId="52304" xr:uid="{00000000-0005-0000-0000-000051020000}"/>
    <cellStyle name="Normal 10 14 2 6 3" xfId="36204" xr:uid="{00000000-0005-0000-0000-000052020000}"/>
    <cellStyle name="Normal 10 14 2 6 4" xfId="17068" xr:uid="{00000000-0005-0000-0000-000053020000}"/>
    <cellStyle name="Normal 10 14 2 7" xfId="42737" xr:uid="{00000000-0005-0000-0000-000054020000}"/>
    <cellStyle name="Normal 10 14 2 8" xfId="26637" xr:uid="{00000000-0005-0000-0000-000055020000}"/>
    <cellStyle name="Normal 10 14 2 9" xfId="13573" xr:uid="{00000000-0005-0000-0000-000056020000}"/>
    <cellStyle name="Normal 10 14 3" xfId="2543" xr:uid="{00000000-0005-0000-0000-000057020000}"/>
    <cellStyle name="Normal 10 14 3 2" xfId="9075" xr:uid="{00000000-0005-0000-0000-000058020000}"/>
    <cellStyle name="Normal 10 14 3 2 2" xfId="40816" xr:uid="{00000000-0005-0000-0000-000059020000}"/>
    <cellStyle name="Normal 10 14 3 2 2 2" xfId="56916" xr:uid="{00000000-0005-0000-0000-00005A020000}"/>
    <cellStyle name="Normal 10 14 3 2 3" xfId="47349" xr:uid="{00000000-0005-0000-0000-00005B020000}"/>
    <cellStyle name="Normal 10 14 3 2 4" xfId="31249" xr:uid="{00000000-0005-0000-0000-00005C020000}"/>
    <cellStyle name="Normal 10 14 3 2 5" xfId="21680" xr:uid="{00000000-0005-0000-0000-00005D020000}"/>
    <cellStyle name="Normal 10 14 3 3" xfId="12111" xr:uid="{00000000-0005-0000-0000-00005E020000}"/>
    <cellStyle name="Normal 10 14 3 3 2" xfId="50385" xr:uid="{00000000-0005-0000-0000-00005F020000}"/>
    <cellStyle name="Normal 10 14 3 3 3" xfId="34285" xr:uid="{00000000-0005-0000-0000-000060020000}"/>
    <cellStyle name="Normal 10 14 3 3 4" xfId="24716" xr:uid="{00000000-0005-0000-0000-000061020000}"/>
    <cellStyle name="Normal 10 14 3 4" xfId="6039" xr:uid="{00000000-0005-0000-0000-000062020000}"/>
    <cellStyle name="Normal 10 14 3 4 2" xfId="53880" xr:uid="{00000000-0005-0000-0000-000063020000}"/>
    <cellStyle name="Normal 10 14 3 4 3" xfId="37780" xr:uid="{00000000-0005-0000-0000-000064020000}"/>
    <cellStyle name="Normal 10 14 3 4 4" xfId="18644" xr:uid="{00000000-0005-0000-0000-000065020000}"/>
    <cellStyle name="Normal 10 14 3 5" xfId="44313" xr:uid="{00000000-0005-0000-0000-000066020000}"/>
    <cellStyle name="Normal 10 14 3 6" xfId="28213" xr:uid="{00000000-0005-0000-0000-000067020000}"/>
    <cellStyle name="Normal 10 14 3 7" xfId="15149" xr:uid="{00000000-0005-0000-0000-000068020000}"/>
    <cellStyle name="Normal 10 14 4" xfId="1292" xr:uid="{00000000-0005-0000-0000-000069020000}"/>
    <cellStyle name="Normal 10 14 4 2" xfId="7826" xr:uid="{00000000-0005-0000-0000-00006A020000}"/>
    <cellStyle name="Normal 10 14 4 2 2" xfId="39567" xr:uid="{00000000-0005-0000-0000-00006B020000}"/>
    <cellStyle name="Normal 10 14 4 2 2 2" xfId="55667" xr:uid="{00000000-0005-0000-0000-00006C020000}"/>
    <cellStyle name="Normal 10 14 4 2 3" xfId="46100" xr:uid="{00000000-0005-0000-0000-00006D020000}"/>
    <cellStyle name="Normal 10 14 4 2 4" xfId="30000" xr:uid="{00000000-0005-0000-0000-00006E020000}"/>
    <cellStyle name="Normal 10 14 4 2 5" xfId="20431" xr:uid="{00000000-0005-0000-0000-00006F020000}"/>
    <cellStyle name="Normal 10 14 4 3" xfId="10862" xr:uid="{00000000-0005-0000-0000-000070020000}"/>
    <cellStyle name="Normal 10 14 4 3 2" xfId="49136" xr:uid="{00000000-0005-0000-0000-000071020000}"/>
    <cellStyle name="Normal 10 14 4 3 3" xfId="33036" xr:uid="{00000000-0005-0000-0000-000072020000}"/>
    <cellStyle name="Normal 10 14 4 3 4" xfId="23467" xr:uid="{00000000-0005-0000-0000-000073020000}"/>
    <cellStyle name="Normal 10 14 4 4" xfId="4790" xr:uid="{00000000-0005-0000-0000-000074020000}"/>
    <cellStyle name="Normal 10 14 4 4 2" xfId="52631" xr:uid="{00000000-0005-0000-0000-000075020000}"/>
    <cellStyle name="Normal 10 14 4 4 3" xfId="36531" xr:uid="{00000000-0005-0000-0000-000076020000}"/>
    <cellStyle name="Normal 10 14 4 4 4" xfId="17395" xr:uid="{00000000-0005-0000-0000-000077020000}"/>
    <cellStyle name="Normal 10 14 4 5" xfId="43064" xr:uid="{00000000-0005-0000-0000-000078020000}"/>
    <cellStyle name="Normal 10 14 4 6" xfId="26964" xr:uid="{00000000-0005-0000-0000-000079020000}"/>
    <cellStyle name="Normal 10 14 4 7" xfId="13900" xr:uid="{00000000-0005-0000-0000-00007A020000}"/>
    <cellStyle name="Normal 10 14 5" xfId="3780" xr:uid="{00000000-0005-0000-0000-00007B020000}"/>
    <cellStyle name="Normal 10 14 5 2" xfId="35521" xr:uid="{00000000-0005-0000-0000-00007C020000}"/>
    <cellStyle name="Normal 10 14 5 2 2" xfId="51621" xr:uid="{00000000-0005-0000-0000-00007D020000}"/>
    <cellStyle name="Normal 10 14 5 3" xfId="42054" xr:uid="{00000000-0005-0000-0000-00007E020000}"/>
    <cellStyle name="Normal 10 14 5 4" xfId="25954" xr:uid="{00000000-0005-0000-0000-00007F020000}"/>
    <cellStyle name="Normal 10 14 5 5" xfId="16385" xr:uid="{00000000-0005-0000-0000-000080020000}"/>
    <cellStyle name="Normal 10 14 6" xfId="6816" xr:uid="{00000000-0005-0000-0000-000081020000}"/>
    <cellStyle name="Normal 10 14 6 2" xfId="38557" xr:uid="{00000000-0005-0000-0000-000082020000}"/>
    <cellStyle name="Normal 10 14 6 2 2" xfId="54657" xr:uid="{00000000-0005-0000-0000-000083020000}"/>
    <cellStyle name="Normal 10 14 6 3" xfId="45090" xr:uid="{00000000-0005-0000-0000-000084020000}"/>
    <cellStyle name="Normal 10 14 6 4" xfId="28990" xr:uid="{00000000-0005-0000-0000-000085020000}"/>
    <cellStyle name="Normal 10 14 6 5" xfId="19421" xr:uid="{00000000-0005-0000-0000-000086020000}"/>
    <cellStyle name="Normal 10 14 7" xfId="9852" xr:uid="{00000000-0005-0000-0000-000087020000}"/>
    <cellStyle name="Normal 10 14 7 2" xfId="48126" xr:uid="{00000000-0005-0000-0000-000088020000}"/>
    <cellStyle name="Normal 10 14 7 3" xfId="32026" xr:uid="{00000000-0005-0000-0000-000089020000}"/>
    <cellStyle name="Normal 10 14 7 4" xfId="22457" xr:uid="{00000000-0005-0000-0000-00008A020000}"/>
    <cellStyle name="Normal 10 14 8" xfId="3336" xr:uid="{00000000-0005-0000-0000-00008B020000}"/>
    <cellStyle name="Normal 10 14 8 2" xfId="51177" xr:uid="{00000000-0005-0000-0000-00008C020000}"/>
    <cellStyle name="Normal 10 14 8 3" xfId="35077" xr:uid="{00000000-0005-0000-0000-00008D020000}"/>
    <cellStyle name="Normal 10 14 8 4" xfId="15941" xr:uid="{00000000-0005-0000-0000-00008E020000}"/>
    <cellStyle name="Normal 10 14 9" xfId="41610" xr:uid="{00000000-0005-0000-0000-00008F020000}"/>
    <cellStyle name="Normal 10 15" xfId="743" xr:uid="{00000000-0005-0000-0000-000090020000}"/>
    <cellStyle name="Normal 10 15 2" xfId="2771" xr:uid="{00000000-0005-0000-0000-000091020000}"/>
    <cellStyle name="Normal 10 15 2 2" xfId="9303" xr:uid="{00000000-0005-0000-0000-000092020000}"/>
    <cellStyle name="Normal 10 15 2 2 2" xfId="41044" xr:uid="{00000000-0005-0000-0000-000093020000}"/>
    <cellStyle name="Normal 10 15 2 2 2 2" xfId="57144" xr:uid="{00000000-0005-0000-0000-000094020000}"/>
    <cellStyle name="Normal 10 15 2 2 3" xfId="47577" xr:uid="{00000000-0005-0000-0000-000095020000}"/>
    <cellStyle name="Normal 10 15 2 2 4" xfId="31477" xr:uid="{00000000-0005-0000-0000-000096020000}"/>
    <cellStyle name="Normal 10 15 2 2 5" xfId="21908" xr:uid="{00000000-0005-0000-0000-000097020000}"/>
    <cellStyle name="Normal 10 15 2 3" xfId="12339" xr:uid="{00000000-0005-0000-0000-000098020000}"/>
    <cellStyle name="Normal 10 15 2 3 2" xfId="50613" xr:uid="{00000000-0005-0000-0000-000099020000}"/>
    <cellStyle name="Normal 10 15 2 3 3" xfId="34513" xr:uid="{00000000-0005-0000-0000-00009A020000}"/>
    <cellStyle name="Normal 10 15 2 3 4" xfId="24944" xr:uid="{00000000-0005-0000-0000-00009B020000}"/>
    <cellStyle name="Normal 10 15 2 4" xfId="6267" xr:uid="{00000000-0005-0000-0000-00009C020000}"/>
    <cellStyle name="Normal 10 15 2 4 2" xfId="54108" xr:uid="{00000000-0005-0000-0000-00009D020000}"/>
    <cellStyle name="Normal 10 15 2 4 3" xfId="38008" xr:uid="{00000000-0005-0000-0000-00009E020000}"/>
    <cellStyle name="Normal 10 15 2 4 4" xfId="18872" xr:uid="{00000000-0005-0000-0000-00009F020000}"/>
    <cellStyle name="Normal 10 15 2 5" xfId="44541" xr:uid="{00000000-0005-0000-0000-0000A0020000}"/>
    <cellStyle name="Normal 10 15 2 6" xfId="28441" xr:uid="{00000000-0005-0000-0000-0000A1020000}"/>
    <cellStyle name="Normal 10 15 2 7" xfId="15377" xr:uid="{00000000-0005-0000-0000-0000A2020000}"/>
    <cellStyle name="Normal 10 15 3" xfId="1753" xr:uid="{00000000-0005-0000-0000-0000A3020000}"/>
    <cellStyle name="Normal 10 15 3 2" xfId="8287" xr:uid="{00000000-0005-0000-0000-0000A4020000}"/>
    <cellStyle name="Normal 10 15 3 2 2" xfId="40028" xr:uid="{00000000-0005-0000-0000-0000A5020000}"/>
    <cellStyle name="Normal 10 15 3 2 2 2" xfId="56128" xr:uid="{00000000-0005-0000-0000-0000A6020000}"/>
    <cellStyle name="Normal 10 15 3 2 3" xfId="46561" xr:uid="{00000000-0005-0000-0000-0000A7020000}"/>
    <cellStyle name="Normal 10 15 3 2 4" xfId="30461" xr:uid="{00000000-0005-0000-0000-0000A8020000}"/>
    <cellStyle name="Normal 10 15 3 2 5" xfId="20892" xr:uid="{00000000-0005-0000-0000-0000A9020000}"/>
    <cellStyle name="Normal 10 15 3 3" xfId="11323" xr:uid="{00000000-0005-0000-0000-0000AA020000}"/>
    <cellStyle name="Normal 10 15 3 3 2" xfId="49597" xr:uid="{00000000-0005-0000-0000-0000AB020000}"/>
    <cellStyle name="Normal 10 15 3 3 3" xfId="33497" xr:uid="{00000000-0005-0000-0000-0000AC020000}"/>
    <cellStyle name="Normal 10 15 3 3 4" xfId="23928" xr:uid="{00000000-0005-0000-0000-0000AD020000}"/>
    <cellStyle name="Normal 10 15 3 4" xfId="5251" xr:uid="{00000000-0005-0000-0000-0000AE020000}"/>
    <cellStyle name="Normal 10 15 3 4 2" xfId="53092" xr:uid="{00000000-0005-0000-0000-0000AF020000}"/>
    <cellStyle name="Normal 10 15 3 4 3" xfId="36992" xr:uid="{00000000-0005-0000-0000-0000B0020000}"/>
    <cellStyle name="Normal 10 15 3 4 4" xfId="17856" xr:uid="{00000000-0005-0000-0000-0000B1020000}"/>
    <cellStyle name="Normal 10 15 3 5" xfId="43525" xr:uid="{00000000-0005-0000-0000-0000B2020000}"/>
    <cellStyle name="Normal 10 15 3 6" xfId="27425" xr:uid="{00000000-0005-0000-0000-0000B3020000}"/>
    <cellStyle name="Normal 10 15 3 7" xfId="14361" xr:uid="{00000000-0005-0000-0000-0000B4020000}"/>
    <cellStyle name="Normal 10 15 4" xfId="7277" xr:uid="{00000000-0005-0000-0000-0000B5020000}"/>
    <cellStyle name="Normal 10 15 4 2" xfId="39018" xr:uid="{00000000-0005-0000-0000-0000B6020000}"/>
    <cellStyle name="Normal 10 15 4 2 2" xfId="55118" xr:uid="{00000000-0005-0000-0000-0000B7020000}"/>
    <cellStyle name="Normal 10 15 4 3" xfId="45551" xr:uid="{00000000-0005-0000-0000-0000B8020000}"/>
    <cellStyle name="Normal 10 15 4 4" xfId="29451" xr:uid="{00000000-0005-0000-0000-0000B9020000}"/>
    <cellStyle name="Normal 10 15 4 5" xfId="19882" xr:uid="{00000000-0005-0000-0000-0000BA020000}"/>
    <cellStyle name="Normal 10 15 5" xfId="10313" xr:uid="{00000000-0005-0000-0000-0000BB020000}"/>
    <cellStyle name="Normal 10 15 5 2" xfId="48587" xr:uid="{00000000-0005-0000-0000-0000BC020000}"/>
    <cellStyle name="Normal 10 15 5 3" xfId="32487" xr:uid="{00000000-0005-0000-0000-0000BD020000}"/>
    <cellStyle name="Normal 10 15 5 4" xfId="22918" xr:uid="{00000000-0005-0000-0000-0000BE020000}"/>
    <cellStyle name="Normal 10 15 6" xfId="4241" xr:uid="{00000000-0005-0000-0000-0000BF020000}"/>
    <cellStyle name="Normal 10 15 6 2" xfId="52082" xr:uid="{00000000-0005-0000-0000-0000C0020000}"/>
    <cellStyle name="Normal 10 15 6 3" xfId="35982" xr:uid="{00000000-0005-0000-0000-0000C1020000}"/>
    <cellStyle name="Normal 10 15 6 4" xfId="16846" xr:uid="{00000000-0005-0000-0000-0000C2020000}"/>
    <cellStyle name="Normal 10 15 7" xfId="42515" xr:uid="{00000000-0005-0000-0000-0000C3020000}"/>
    <cellStyle name="Normal 10 15 8" xfId="26415" xr:uid="{00000000-0005-0000-0000-0000C4020000}"/>
    <cellStyle name="Normal 10 15 9" xfId="13351" xr:uid="{00000000-0005-0000-0000-0000C5020000}"/>
    <cellStyle name="Normal 10 16" xfId="2080" xr:uid="{00000000-0005-0000-0000-0000C6020000}"/>
    <cellStyle name="Normal 10 16 2" xfId="8614" xr:uid="{00000000-0005-0000-0000-0000C7020000}"/>
    <cellStyle name="Normal 10 16 2 2" xfId="40355" xr:uid="{00000000-0005-0000-0000-0000C8020000}"/>
    <cellStyle name="Normal 10 16 2 2 2" xfId="56455" xr:uid="{00000000-0005-0000-0000-0000C9020000}"/>
    <cellStyle name="Normal 10 16 2 3" xfId="46888" xr:uid="{00000000-0005-0000-0000-0000CA020000}"/>
    <cellStyle name="Normal 10 16 2 4" xfId="30788" xr:uid="{00000000-0005-0000-0000-0000CB020000}"/>
    <cellStyle name="Normal 10 16 2 5" xfId="21219" xr:uid="{00000000-0005-0000-0000-0000CC020000}"/>
    <cellStyle name="Normal 10 16 3" xfId="11650" xr:uid="{00000000-0005-0000-0000-0000CD020000}"/>
    <cellStyle name="Normal 10 16 3 2" xfId="49924" xr:uid="{00000000-0005-0000-0000-0000CE020000}"/>
    <cellStyle name="Normal 10 16 3 3" xfId="33824" xr:uid="{00000000-0005-0000-0000-0000CF020000}"/>
    <cellStyle name="Normal 10 16 3 4" xfId="24255" xr:uid="{00000000-0005-0000-0000-0000D0020000}"/>
    <cellStyle name="Normal 10 16 4" xfId="5578" xr:uid="{00000000-0005-0000-0000-0000D1020000}"/>
    <cellStyle name="Normal 10 16 4 2" xfId="53419" xr:uid="{00000000-0005-0000-0000-0000D2020000}"/>
    <cellStyle name="Normal 10 16 4 3" xfId="37319" xr:uid="{00000000-0005-0000-0000-0000D3020000}"/>
    <cellStyle name="Normal 10 16 4 4" xfId="18183" xr:uid="{00000000-0005-0000-0000-0000D4020000}"/>
    <cellStyle name="Normal 10 16 5" xfId="43852" xr:uid="{00000000-0005-0000-0000-0000D5020000}"/>
    <cellStyle name="Normal 10 16 6" xfId="27752" xr:uid="{00000000-0005-0000-0000-0000D6020000}"/>
    <cellStyle name="Normal 10 16 7" xfId="14688" xr:uid="{00000000-0005-0000-0000-0000D7020000}"/>
    <cellStyle name="Normal 10 17" xfId="1070" xr:uid="{00000000-0005-0000-0000-0000D8020000}"/>
    <cellStyle name="Normal 10 17 2" xfId="7604" xr:uid="{00000000-0005-0000-0000-0000D9020000}"/>
    <cellStyle name="Normal 10 17 2 2" xfId="39345" xr:uid="{00000000-0005-0000-0000-0000DA020000}"/>
    <cellStyle name="Normal 10 17 2 2 2" xfId="55445" xr:uid="{00000000-0005-0000-0000-0000DB020000}"/>
    <cellStyle name="Normal 10 17 2 3" xfId="45878" xr:uid="{00000000-0005-0000-0000-0000DC020000}"/>
    <cellStyle name="Normal 10 17 2 4" xfId="29778" xr:uid="{00000000-0005-0000-0000-0000DD020000}"/>
    <cellStyle name="Normal 10 17 2 5" xfId="20209" xr:uid="{00000000-0005-0000-0000-0000DE020000}"/>
    <cellStyle name="Normal 10 17 3" xfId="10640" xr:uid="{00000000-0005-0000-0000-0000DF020000}"/>
    <cellStyle name="Normal 10 17 3 2" xfId="48914" xr:uid="{00000000-0005-0000-0000-0000E0020000}"/>
    <cellStyle name="Normal 10 17 3 3" xfId="32814" xr:uid="{00000000-0005-0000-0000-0000E1020000}"/>
    <cellStyle name="Normal 10 17 3 4" xfId="23245" xr:uid="{00000000-0005-0000-0000-0000E2020000}"/>
    <cellStyle name="Normal 10 17 4" xfId="4568" xr:uid="{00000000-0005-0000-0000-0000E3020000}"/>
    <cellStyle name="Normal 10 17 4 2" xfId="52409" xr:uid="{00000000-0005-0000-0000-0000E4020000}"/>
    <cellStyle name="Normal 10 17 4 3" xfId="36309" xr:uid="{00000000-0005-0000-0000-0000E5020000}"/>
    <cellStyle name="Normal 10 17 4 4" xfId="17173" xr:uid="{00000000-0005-0000-0000-0000E6020000}"/>
    <cellStyle name="Normal 10 17 5" xfId="42842" xr:uid="{00000000-0005-0000-0000-0000E7020000}"/>
    <cellStyle name="Normal 10 17 6" xfId="26742" xr:uid="{00000000-0005-0000-0000-0000E8020000}"/>
    <cellStyle name="Normal 10 17 7" xfId="13678" xr:uid="{00000000-0005-0000-0000-0000E9020000}"/>
    <cellStyle name="Normal 10 18" xfId="3558" xr:uid="{00000000-0005-0000-0000-0000EA020000}"/>
    <cellStyle name="Normal 10 18 2" xfId="35299" xr:uid="{00000000-0005-0000-0000-0000EB020000}"/>
    <cellStyle name="Normal 10 18 2 2" xfId="51399" xr:uid="{00000000-0005-0000-0000-0000EC020000}"/>
    <cellStyle name="Normal 10 18 3" xfId="41832" xr:uid="{00000000-0005-0000-0000-0000ED020000}"/>
    <cellStyle name="Normal 10 18 4" xfId="25732" xr:uid="{00000000-0005-0000-0000-0000EE020000}"/>
    <cellStyle name="Normal 10 18 5" xfId="16163" xr:uid="{00000000-0005-0000-0000-0000EF020000}"/>
    <cellStyle name="Normal 10 19" xfId="6594" xr:uid="{00000000-0005-0000-0000-0000F0020000}"/>
    <cellStyle name="Normal 10 19 2" xfId="38335" xr:uid="{00000000-0005-0000-0000-0000F1020000}"/>
    <cellStyle name="Normal 10 19 2 2" xfId="54435" xr:uid="{00000000-0005-0000-0000-0000F2020000}"/>
    <cellStyle name="Normal 10 19 3" xfId="44868" xr:uid="{00000000-0005-0000-0000-0000F3020000}"/>
    <cellStyle name="Normal 10 19 4" xfId="28768" xr:uid="{00000000-0005-0000-0000-0000F4020000}"/>
    <cellStyle name="Normal 10 19 5" xfId="19199" xr:uid="{00000000-0005-0000-0000-0000F5020000}"/>
    <cellStyle name="Normal 10 2" xfId="75" xr:uid="{00000000-0005-0000-0000-0000F6020000}"/>
    <cellStyle name="Normal 10 2 10" xfId="3576" xr:uid="{00000000-0005-0000-0000-0000F7020000}"/>
    <cellStyle name="Normal 10 2 10 2" xfId="35317" xr:uid="{00000000-0005-0000-0000-0000F8020000}"/>
    <cellStyle name="Normal 10 2 10 2 2" xfId="51417" xr:uid="{00000000-0005-0000-0000-0000F9020000}"/>
    <cellStyle name="Normal 10 2 10 3" xfId="41850" xr:uid="{00000000-0005-0000-0000-0000FA020000}"/>
    <cellStyle name="Normal 10 2 10 4" xfId="25750" xr:uid="{00000000-0005-0000-0000-0000FB020000}"/>
    <cellStyle name="Normal 10 2 10 5" xfId="16181" xr:uid="{00000000-0005-0000-0000-0000FC020000}"/>
    <cellStyle name="Normal 10 2 11" xfId="6612" xr:uid="{00000000-0005-0000-0000-0000FD020000}"/>
    <cellStyle name="Normal 10 2 11 2" xfId="38353" xr:uid="{00000000-0005-0000-0000-0000FE020000}"/>
    <cellStyle name="Normal 10 2 11 2 2" xfId="54453" xr:uid="{00000000-0005-0000-0000-0000FF020000}"/>
    <cellStyle name="Normal 10 2 11 3" xfId="44886" xr:uid="{00000000-0005-0000-0000-000000030000}"/>
    <cellStyle name="Normal 10 2 11 4" xfId="28786" xr:uid="{00000000-0005-0000-0000-000001030000}"/>
    <cellStyle name="Normal 10 2 11 5" xfId="19217" xr:uid="{00000000-0005-0000-0000-000002030000}"/>
    <cellStyle name="Normal 10 2 12" xfId="9648" xr:uid="{00000000-0005-0000-0000-000003030000}"/>
    <cellStyle name="Normal 10 2 12 2" xfId="47922" xr:uid="{00000000-0005-0000-0000-000004030000}"/>
    <cellStyle name="Normal 10 2 12 3" xfId="31822" xr:uid="{00000000-0005-0000-0000-000005030000}"/>
    <cellStyle name="Normal 10 2 12 4" xfId="22253" xr:uid="{00000000-0005-0000-0000-000006030000}"/>
    <cellStyle name="Normal 10 2 13" xfId="3116" xr:uid="{00000000-0005-0000-0000-000007030000}"/>
    <cellStyle name="Normal 10 2 13 2" xfId="50958" xr:uid="{00000000-0005-0000-0000-000008030000}"/>
    <cellStyle name="Normal 10 2 13 3" xfId="34858" xr:uid="{00000000-0005-0000-0000-000009030000}"/>
    <cellStyle name="Normal 10 2 13 4" xfId="15722" xr:uid="{00000000-0005-0000-0000-00000A030000}"/>
    <cellStyle name="Normal 10 2 14" xfId="41391" xr:uid="{00000000-0005-0000-0000-00000B030000}"/>
    <cellStyle name="Normal 10 2 15" xfId="25291" xr:uid="{00000000-0005-0000-0000-00000C030000}"/>
    <cellStyle name="Normal 10 2 16" xfId="12686" xr:uid="{00000000-0005-0000-0000-00000D030000}"/>
    <cellStyle name="Normal 10 2 2" xfId="146" xr:uid="{00000000-0005-0000-0000-00000E030000}"/>
    <cellStyle name="Normal 10 2 2 10" xfId="6647" xr:uid="{00000000-0005-0000-0000-00000F030000}"/>
    <cellStyle name="Normal 10 2 2 10 2" xfId="38388" xr:uid="{00000000-0005-0000-0000-000010030000}"/>
    <cellStyle name="Normal 10 2 2 10 2 2" xfId="54488" xr:uid="{00000000-0005-0000-0000-000011030000}"/>
    <cellStyle name="Normal 10 2 2 10 3" xfId="44921" xr:uid="{00000000-0005-0000-0000-000012030000}"/>
    <cellStyle name="Normal 10 2 2 10 4" xfId="28821" xr:uid="{00000000-0005-0000-0000-000013030000}"/>
    <cellStyle name="Normal 10 2 2 10 5" xfId="19252" xr:uid="{00000000-0005-0000-0000-000014030000}"/>
    <cellStyle name="Normal 10 2 2 11" xfId="9683" xr:uid="{00000000-0005-0000-0000-000015030000}"/>
    <cellStyle name="Normal 10 2 2 11 2" xfId="47957" xr:uid="{00000000-0005-0000-0000-000016030000}"/>
    <cellStyle name="Normal 10 2 2 11 3" xfId="31857" xr:uid="{00000000-0005-0000-0000-000017030000}"/>
    <cellStyle name="Normal 10 2 2 11 4" xfId="22288" xr:uid="{00000000-0005-0000-0000-000018030000}"/>
    <cellStyle name="Normal 10 2 2 12" xfId="3151" xr:uid="{00000000-0005-0000-0000-000019030000}"/>
    <cellStyle name="Normal 10 2 2 12 2" xfId="50993" xr:uid="{00000000-0005-0000-0000-00001A030000}"/>
    <cellStyle name="Normal 10 2 2 12 3" xfId="34893" xr:uid="{00000000-0005-0000-0000-00001B030000}"/>
    <cellStyle name="Normal 10 2 2 12 4" xfId="15757" xr:uid="{00000000-0005-0000-0000-00001C030000}"/>
    <cellStyle name="Normal 10 2 2 13" xfId="41426" xr:uid="{00000000-0005-0000-0000-00001D030000}"/>
    <cellStyle name="Normal 10 2 2 14" xfId="25326" xr:uid="{00000000-0005-0000-0000-00001E030000}"/>
    <cellStyle name="Normal 10 2 2 15" xfId="12721" xr:uid="{00000000-0005-0000-0000-00001F030000}"/>
    <cellStyle name="Normal 10 2 2 16" xfId="439" xr:uid="{00000000-0005-0000-0000-000020030000}"/>
    <cellStyle name="Normal 10 2 2 2" xfId="221" xr:uid="{00000000-0005-0000-0000-000021030000}"/>
    <cellStyle name="Normal 10 2 2 2 10" xfId="41663" xr:uid="{00000000-0005-0000-0000-000022030000}"/>
    <cellStyle name="Normal 10 2 2 2 11" xfId="25563" xr:uid="{00000000-0005-0000-0000-000023030000}"/>
    <cellStyle name="Normal 10 2 2 2 12" xfId="13050" xr:uid="{00000000-0005-0000-0000-000024030000}"/>
    <cellStyle name="Normal 10 2 2 2 2" xfId="398" xr:uid="{00000000-0005-0000-0000-000025030000}"/>
    <cellStyle name="Normal 10 2 2 2 2 2" xfId="2417" xr:uid="{00000000-0005-0000-0000-000026030000}"/>
    <cellStyle name="Normal 10 2 2 2 2 2 2" xfId="8951" xr:uid="{00000000-0005-0000-0000-000027030000}"/>
    <cellStyle name="Normal 10 2 2 2 2 2 2 2" xfId="40692" xr:uid="{00000000-0005-0000-0000-000028030000}"/>
    <cellStyle name="Normal 10 2 2 2 2 2 2 2 2" xfId="56792" xr:uid="{00000000-0005-0000-0000-000029030000}"/>
    <cellStyle name="Normal 10 2 2 2 2 2 2 3" xfId="47225" xr:uid="{00000000-0005-0000-0000-00002A030000}"/>
    <cellStyle name="Normal 10 2 2 2 2 2 2 4" xfId="31125" xr:uid="{00000000-0005-0000-0000-00002B030000}"/>
    <cellStyle name="Normal 10 2 2 2 2 2 2 5" xfId="21556" xr:uid="{00000000-0005-0000-0000-00002C030000}"/>
    <cellStyle name="Normal 10 2 2 2 2 2 3" xfId="11987" xr:uid="{00000000-0005-0000-0000-00002D030000}"/>
    <cellStyle name="Normal 10 2 2 2 2 2 3 2" xfId="50261" xr:uid="{00000000-0005-0000-0000-00002E030000}"/>
    <cellStyle name="Normal 10 2 2 2 2 2 3 3" xfId="34161" xr:uid="{00000000-0005-0000-0000-00002F030000}"/>
    <cellStyle name="Normal 10 2 2 2 2 2 3 4" xfId="24592" xr:uid="{00000000-0005-0000-0000-000030030000}"/>
    <cellStyle name="Normal 10 2 2 2 2 2 4" xfId="5915" xr:uid="{00000000-0005-0000-0000-000031030000}"/>
    <cellStyle name="Normal 10 2 2 2 2 2 4 2" xfId="53756" xr:uid="{00000000-0005-0000-0000-000032030000}"/>
    <cellStyle name="Normal 10 2 2 2 2 2 4 3" xfId="37656" xr:uid="{00000000-0005-0000-0000-000033030000}"/>
    <cellStyle name="Normal 10 2 2 2 2 2 4 4" xfId="18520" xr:uid="{00000000-0005-0000-0000-000034030000}"/>
    <cellStyle name="Normal 10 2 2 2 2 2 5" xfId="44189" xr:uid="{00000000-0005-0000-0000-000035030000}"/>
    <cellStyle name="Normal 10 2 2 2 2 2 6" xfId="28089" xr:uid="{00000000-0005-0000-0000-000036030000}"/>
    <cellStyle name="Normal 10 2 2 2 2 2 7" xfId="15025" xr:uid="{00000000-0005-0000-0000-000037030000}"/>
    <cellStyle name="Normal 10 2 2 2 2 3" xfId="1629" xr:uid="{00000000-0005-0000-0000-000038030000}"/>
    <cellStyle name="Normal 10 2 2 2 2 3 2" xfId="8163" xr:uid="{00000000-0005-0000-0000-000039030000}"/>
    <cellStyle name="Normal 10 2 2 2 2 3 2 2" xfId="39904" xr:uid="{00000000-0005-0000-0000-00003A030000}"/>
    <cellStyle name="Normal 10 2 2 2 2 3 2 2 2" xfId="56004" xr:uid="{00000000-0005-0000-0000-00003B030000}"/>
    <cellStyle name="Normal 10 2 2 2 2 3 2 3" xfId="46437" xr:uid="{00000000-0005-0000-0000-00003C030000}"/>
    <cellStyle name="Normal 10 2 2 2 2 3 2 4" xfId="30337" xr:uid="{00000000-0005-0000-0000-00003D030000}"/>
    <cellStyle name="Normal 10 2 2 2 2 3 2 5" xfId="20768" xr:uid="{00000000-0005-0000-0000-00003E030000}"/>
    <cellStyle name="Normal 10 2 2 2 2 3 3" xfId="11199" xr:uid="{00000000-0005-0000-0000-00003F030000}"/>
    <cellStyle name="Normal 10 2 2 2 2 3 3 2" xfId="49473" xr:uid="{00000000-0005-0000-0000-000040030000}"/>
    <cellStyle name="Normal 10 2 2 2 2 3 3 3" xfId="33373" xr:uid="{00000000-0005-0000-0000-000041030000}"/>
    <cellStyle name="Normal 10 2 2 2 2 3 3 4" xfId="23804" xr:uid="{00000000-0005-0000-0000-000042030000}"/>
    <cellStyle name="Normal 10 2 2 2 2 3 4" xfId="5127" xr:uid="{00000000-0005-0000-0000-000043030000}"/>
    <cellStyle name="Normal 10 2 2 2 2 3 4 2" xfId="52968" xr:uid="{00000000-0005-0000-0000-000044030000}"/>
    <cellStyle name="Normal 10 2 2 2 2 3 4 3" xfId="36868" xr:uid="{00000000-0005-0000-0000-000045030000}"/>
    <cellStyle name="Normal 10 2 2 2 2 3 4 4" xfId="17732" xr:uid="{00000000-0005-0000-0000-000046030000}"/>
    <cellStyle name="Normal 10 2 2 2 2 3 5" xfId="43401" xr:uid="{00000000-0005-0000-0000-000047030000}"/>
    <cellStyle name="Normal 10 2 2 2 2 3 6" xfId="27301" xr:uid="{00000000-0005-0000-0000-000048030000}"/>
    <cellStyle name="Normal 10 2 2 2 2 3 7" xfId="14237" xr:uid="{00000000-0005-0000-0000-000049030000}"/>
    <cellStyle name="Normal 10 2 2 2 2 4" xfId="7153" xr:uid="{00000000-0005-0000-0000-00004A030000}"/>
    <cellStyle name="Normal 10 2 2 2 2 4 2" xfId="38894" xr:uid="{00000000-0005-0000-0000-00004B030000}"/>
    <cellStyle name="Normal 10 2 2 2 2 4 2 2" xfId="54994" xr:uid="{00000000-0005-0000-0000-00004C030000}"/>
    <cellStyle name="Normal 10 2 2 2 2 4 3" xfId="45427" xr:uid="{00000000-0005-0000-0000-00004D030000}"/>
    <cellStyle name="Normal 10 2 2 2 2 4 4" xfId="29327" xr:uid="{00000000-0005-0000-0000-00004E030000}"/>
    <cellStyle name="Normal 10 2 2 2 2 4 5" xfId="19758" xr:uid="{00000000-0005-0000-0000-00004F030000}"/>
    <cellStyle name="Normal 10 2 2 2 2 5" xfId="10189" xr:uid="{00000000-0005-0000-0000-000050030000}"/>
    <cellStyle name="Normal 10 2 2 2 2 5 2" xfId="48463" xr:uid="{00000000-0005-0000-0000-000051030000}"/>
    <cellStyle name="Normal 10 2 2 2 2 5 3" xfId="32363" xr:uid="{00000000-0005-0000-0000-000052030000}"/>
    <cellStyle name="Normal 10 2 2 2 2 5 4" xfId="22794" xr:uid="{00000000-0005-0000-0000-000053030000}"/>
    <cellStyle name="Normal 10 2 2 2 2 6" xfId="4117" xr:uid="{00000000-0005-0000-0000-000054030000}"/>
    <cellStyle name="Normal 10 2 2 2 2 6 2" xfId="51958" xr:uid="{00000000-0005-0000-0000-000055030000}"/>
    <cellStyle name="Normal 10 2 2 2 2 6 3" xfId="35858" xr:uid="{00000000-0005-0000-0000-000056030000}"/>
    <cellStyle name="Normal 10 2 2 2 2 6 4" xfId="16722" xr:uid="{00000000-0005-0000-0000-000057030000}"/>
    <cellStyle name="Normal 10 2 2 2 2 7" xfId="42391" xr:uid="{00000000-0005-0000-0000-000058030000}"/>
    <cellStyle name="Normal 10 2 2 2 2 8" xfId="26291" xr:uid="{00000000-0005-0000-0000-000059030000}"/>
    <cellStyle name="Normal 10 2 2 2 2 9" xfId="13227" xr:uid="{00000000-0005-0000-0000-00005A030000}"/>
    <cellStyle name="Normal 10 2 2 2 3" xfId="1036" xr:uid="{00000000-0005-0000-0000-00005B030000}"/>
    <cellStyle name="Normal 10 2 2 2 3 2" xfId="3064" xr:uid="{00000000-0005-0000-0000-00005C030000}"/>
    <cellStyle name="Normal 10 2 2 2 3 2 2" xfId="9596" xr:uid="{00000000-0005-0000-0000-00005D030000}"/>
    <cellStyle name="Normal 10 2 2 2 3 2 2 2" xfId="41337" xr:uid="{00000000-0005-0000-0000-00005E030000}"/>
    <cellStyle name="Normal 10 2 2 2 3 2 2 2 2" xfId="57437" xr:uid="{00000000-0005-0000-0000-00005F030000}"/>
    <cellStyle name="Normal 10 2 2 2 3 2 2 3" xfId="47870" xr:uid="{00000000-0005-0000-0000-000060030000}"/>
    <cellStyle name="Normal 10 2 2 2 3 2 2 4" xfId="31770" xr:uid="{00000000-0005-0000-0000-000061030000}"/>
    <cellStyle name="Normal 10 2 2 2 3 2 2 5" xfId="22201" xr:uid="{00000000-0005-0000-0000-000062030000}"/>
    <cellStyle name="Normal 10 2 2 2 3 2 3" xfId="12632" xr:uid="{00000000-0005-0000-0000-000063030000}"/>
    <cellStyle name="Normal 10 2 2 2 3 2 3 2" xfId="50906" xr:uid="{00000000-0005-0000-0000-000064030000}"/>
    <cellStyle name="Normal 10 2 2 2 3 2 3 3" xfId="34806" xr:uid="{00000000-0005-0000-0000-000065030000}"/>
    <cellStyle name="Normal 10 2 2 2 3 2 3 4" xfId="25237" xr:uid="{00000000-0005-0000-0000-000066030000}"/>
    <cellStyle name="Normal 10 2 2 2 3 2 4" xfId="6560" xr:uid="{00000000-0005-0000-0000-000067030000}"/>
    <cellStyle name="Normal 10 2 2 2 3 2 4 2" xfId="54401" xr:uid="{00000000-0005-0000-0000-000068030000}"/>
    <cellStyle name="Normal 10 2 2 2 3 2 4 3" xfId="38301" xr:uid="{00000000-0005-0000-0000-000069030000}"/>
    <cellStyle name="Normal 10 2 2 2 3 2 4 4" xfId="19165" xr:uid="{00000000-0005-0000-0000-00006A030000}"/>
    <cellStyle name="Normal 10 2 2 2 3 2 5" xfId="44834" xr:uid="{00000000-0005-0000-0000-00006B030000}"/>
    <cellStyle name="Normal 10 2 2 2 3 2 6" xfId="28734" xr:uid="{00000000-0005-0000-0000-00006C030000}"/>
    <cellStyle name="Normal 10 2 2 2 3 2 7" xfId="15670" xr:uid="{00000000-0005-0000-0000-00006D030000}"/>
    <cellStyle name="Normal 10 2 2 2 3 3" xfId="2046" xr:uid="{00000000-0005-0000-0000-00006E030000}"/>
    <cellStyle name="Normal 10 2 2 2 3 3 2" xfId="8580" xr:uid="{00000000-0005-0000-0000-00006F030000}"/>
    <cellStyle name="Normal 10 2 2 2 3 3 2 2" xfId="40321" xr:uid="{00000000-0005-0000-0000-000070030000}"/>
    <cellStyle name="Normal 10 2 2 2 3 3 2 2 2" xfId="56421" xr:uid="{00000000-0005-0000-0000-000071030000}"/>
    <cellStyle name="Normal 10 2 2 2 3 3 2 3" xfId="46854" xr:uid="{00000000-0005-0000-0000-000072030000}"/>
    <cellStyle name="Normal 10 2 2 2 3 3 2 4" xfId="30754" xr:uid="{00000000-0005-0000-0000-000073030000}"/>
    <cellStyle name="Normal 10 2 2 2 3 3 2 5" xfId="21185" xr:uid="{00000000-0005-0000-0000-000074030000}"/>
    <cellStyle name="Normal 10 2 2 2 3 3 3" xfId="11616" xr:uid="{00000000-0005-0000-0000-000075030000}"/>
    <cellStyle name="Normal 10 2 2 2 3 3 3 2" xfId="49890" xr:uid="{00000000-0005-0000-0000-000076030000}"/>
    <cellStyle name="Normal 10 2 2 2 3 3 3 3" xfId="33790" xr:uid="{00000000-0005-0000-0000-000077030000}"/>
    <cellStyle name="Normal 10 2 2 2 3 3 3 4" xfId="24221" xr:uid="{00000000-0005-0000-0000-000078030000}"/>
    <cellStyle name="Normal 10 2 2 2 3 3 4" xfId="5544" xr:uid="{00000000-0005-0000-0000-000079030000}"/>
    <cellStyle name="Normal 10 2 2 2 3 3 4 2" xfId="53385" xr:uid="{00000000-0005-0000-0000-00007A030000}"/>
    <cellStyle name="Normal 10 2 2 2 3 3 4 3" xfId="37285" xr:uid="{00000000-0005-0000-0000-00007B030000}"/>
    <cellStyle name="Normal 10 2 2 2 3 3 4 4" xfId="18149" xr:uid="{00000000-0005-0000-0000-00007C030000}"/>
    <cellStyle name="Normal 10 2 2 2 3 3 5" xfId="43818" xr:uid="{00000000-0005-0000-0000-00007D030000}"/>
    <cellStyle name="Normal 10 2 2 2 3 3 6" xfId="27718" xr:uid="{00000000-0005-0000-0000-00007E030000}"/>
    <cellStyle name="Normal 10 2 2 2 3 3 7" xfId="14654" xr:uid="{00000000-0005-0000-0000-00007F030000}"/>
    <cellStyle name="Normal 10 2 2 2 3 4" xfId="7570" xr:uid="{00000000-0005-0000-0000-000080030000}"/>
    <cellStyle name="Normal 10 2 2 2 3 4 2" xfId="39311" xr:uid="{00000000-0005-0000-0000-000081030000}"/>
    <cellStyle name="Normal 10 2 2 2 3 4 2 2" xfId="55411" xr:uid="{00000000-0005-0000-0000-000082030000}"/>
    <cellStyle name="Normal 10 2 2 2 3 4 3" xfId="45844" xr:uid="{00000000-0005-0000-0000-000083030000}"/>
    <cellStyle name="Normal 10 2 2 2 3 4 4" xfId="29744" xr:uid="{00000000-0005-0000-0000-000084030000}"/>
    <cellStyle name="Normal 10 2 2 2 3 4 5" xfId="20175" xr:uid="{00000000-0005-0000-0000-000085030000}"/>
    <cellStyle name="Normal 10 2 2 2 3 5" xfId="10606" xr:uid="{00000000-0005-0000-0000-000086030000}"/>
    <cellStyle name="Normal 10 2 2 2 3 5 2" xfId="48880" xr:uid="{00000000-0005-0000-0000-000087030000}"/>
    <cellStyle name="Normal 10 2 2 2 3 5 3" xfId="32780" xr:uid="{00000000-0005-0000-0000-000088030000}"/>
    <cellStyle name="Normal 10 2 2 2 3 5 4" xfId="23211" xr:uid="{00000000-0005-0000-0000-000089030000}"/>
    <cellStyle name="Normal 10 2 2 2 3 6" xfId="4534" xr:uid="{00000000-0005-0000-0000-00008A030000}"/>
    <cellStyle name="Normal 10 2 2 2 3 6 2" xfId="52375" xr:uid="{00000000-0005-0000-0000-00008B030000}"/>
    <cellStyle name="Normal 10 2 2 2 3 6 3" xfId="36275" xr:uid="{00000000-0005-0000-0000-00008C030000}"/>
    <cellStyle name="Normal 10 2 2 2 3 6 4" xfId="17139" xr:uid="{00000000-0005-0000-0000-00008D030000}"/>
    <cellStyle name="Normal 10 2 2 2 3 7" xfId="42808" xr:uid="{00000000-0005-0000-0000-00008E030000}"/>
    <cellStyle name="Normal 10 2 2 2 3 8" xfId="26708" xr:uid="{00000000-0005-0000-0000-00008F030000}"/>
    <cellStyle name="Normal 10 2 2 2 3 9" xfId="13644" xr:uid="{00000000-0005-0000-0000-000090030000}"/>
    <cellStyle name="Normal 10 2 2 2 4" xfId="2240" xr:uid="{00000000-0005-0000-0000-000091030000}"/>
    <cellStyle name="Normal 10 2 2 2 4 2" xfId="8774" xr:uid="{00000000-0005-0000-0000-000092030000}"/>
    <cellStyle name="Normal 10 2 2 2 4 2 2" xfId="40515" xr:uid="{00000000-0005-0000-0000-000093030000}"/>
    <cellStyle name="Normal 10 2 2 2 4 2 2 2" xfId="56615" xr:uid="{00000000-0005-0000-0000-000094030000}"/>
    <cellStyle name="Normal 10 2 2 2 4 2 3" xfId="47048" xr:uid="{00000000-0005-0000-0000-000095030000}"/>
    <cellStyle name="Normal 10 2 2 2 4 2 4" xfId="30948" xr:uid="{00000000-0005-0000-0000-000096030000}"/>
    <cellStyle name="Normal 10 2 2 2 4 2 5" xfId="21379" xr:uid="{00000000-0005-0000-0000-000097030000}"/>
    <cellStyle name="Normal 10 2 2 2 4 3" xfId="11810" xr:uid="{00000000-0005-0000-0000-000098030000}"/>
    <cellStyle name="Normal 10 2 2 2 4 3 2" xfId="50084" xr:uid="{00000000-0005-0000-0000-000099030000}"/>
    <cellStyle name="Normal 10 2 2 2 4 3 3" xfId="33984" xr:uid="{00000000-0005-0000-0000-00009A030000}"/>
    <cellStyle name="Normal 10 2 2 2 4 3 4" xfId="24415" xr:uid="{00000000-0005-0000-0000-00009B030000}"/>
    <cellStyle name="Normal 10 2 2 2 4 4" xfId="5738" xr:uid="{00000000-0005-0000-0000-00009C030000}"/>
    <cellStyle name="Normal 10 2 2 2 4 4 2" xfId="53579" xr:uid="{00000000-0005-0000-0000-00009D030000}"/>
    <cellStyle name="Normal 10 2 2 2 4 4 3" xfId="37479" xr:uid="{00000000-0005-0000-0000-00009E030000}"/>
    <cellStyle name="Normal 10 2 2 2 4 4 4" xfId="18343" xr:uid="{00000000-0005-0000-0000-00009F030000}"/>
    <cellStyle name="Normal 10 2 2 2 4 5" xfId="44012" xr:uid="{00000000-0005-0000-0000-0000A0030000}"/>
    <cellStyle name="Normal 10 2 2 2 4 6" xfId="27912" xr:uid="{00000000-0005-0000-0000-0000A1030000}"/>
    <cellStyle name="Normal 10 2 2 2 4 7" xfId="14848" xr:uid="{00000000-0005-0000-0000-0000A2030000}"/>
    <cellStyle name="Normal 10 2 2 2 5" xfId="1452" xr:uid="{00000000-0005-0000-0000-0000A3030000}"/>
    <cellStyle name="Normal 10 2 2 2 5 2" xfId="7986" xr:uid="{00000000-0005-0000-0000-0000A4030000}"/>
    <cellStyle name="Normal 10 2 2 2 5 2 2" xfId="39727" xr:uid="{00000000-0005-0000-0000-0000A5030000}"/>
    <cellStyle name="Normal 10 2 2 2 5 2 2 2" xfId="55827" xr:uid="{00000000-0005-0000-0000-0000A6030000}"/>
    <cellStyle name="Normal 10 2 2 2 5 2 3" xfId="46260" xr:uid="{00000000-0005-0000-0000-0000A7030000}"/>
    <cellStyle name="Normal 10 2 2 2 5 2 4" xfId="30160" xr:uid="{00000000-0005-0000-0000-0000A8030000}"/>
    <cellStyle name="Normal 10 2 2 2 5 2 5" xfId="20591" xr:uid="{00000000-0005-0000-0000-0000A9030000}"/>
    <cellStyle name="Normal 10 2 2 2 5 3" xfId="11022" xr:uid="{00000000-0005-0000-0000-0000AA030000}"/>
    <cellStyle name="Normal 10 2 2 2 5 3 2" xfId="49296" xr:uid="{00000000-0005-0000-0000-0000AB030000}"/>
    <cellStyle name="Normal 10 2 2 2 5 3 3" xfId="33196" xr:uid="{00000000-0005-0000-0000-0000AC030000}"/>
    <cellStyle name="Normal 10 2 2 2 5 3 4" xfId="23627" xr:uid="{00000000-0005-0000-0000-0000AD030000}"/>
    <cellStyle name="Normal 10 2 2 2 5 4" xfId="4950" xr:uid="{00000000-0005-0000-0000-0000AE030000}"/>
    <cellStyle name="Normal 10 2 2 2 5 4 2" xfId="52791" xr:uid="{00000000-0005-0000-0000-0000AF030000}"/>
    <cellStyle name="Normal 10 2 2 2 5 4 3" xfId="36691" xr:uid="{00000000-0005-0000-0000-0000B0030000}"/>
    <cellStyle name="Normal 10 2 2 2 5 4 4" xfId="17555" xr:uid="{00000000-0005-0000-0000-0000B1030000}"/>
    <cellStyle name="Normal 10 2 2 2 5 5" xfId="43224" xr:uid="{00000000-0005-0000-0000-0000B2030000}"/>
    <cellStyle name="Normal 10 2 2 2 5 6" xfId="27124" xr:uid="{00000000-0005-0000-0000-0000B3030000}"/>
    <cellStyle name="Normal 10 2 2 2 5 7" xfId="14060" xr:uid="{00000000-0005-0000-0000-0000B4030000}"/>
    <cellStyle name="Normal 10 2 2 2 6" xfId="3940" xr:uid="{00000000-0005-0000-0000-0000B5030000}"/>
    <cellStyle name="Normal 10 2 2 2 6 2" xfId="35681" xr:uid="{00000000-0005-0000-0000-0000B6030000}"/>
    <cellStyle name="Normal 10 2 2 2 6 2 2" xfId="51781" xr:uid="{00000000-0005-0000-0000-0000B7030000}"/>
    <cellStyle name="Normal 10 2 2 2 6 3" xfId="42214" xr:uid="{00000000-0005-0000-0000-0000B8030000}"/>
    <cellStyle name="Normal 10 2 2 2 6 4" xfId="26114" xr:uid="{00000000-0005-0000-0000-0000B9030000}"/>
    <cellStyle name="Normal 10 2 2 2 6 5" xfId="16545" xr:uid="{00000000-0005-0000-0000-0000BA030000}"/>
    <cellStyle name="Normal 10 2 2 2 7" xfId="6976" xr:uid="{00000000-0005-0000-0000-0000BB030000}"/>
    <cellStyle name="Normal 10 2 2 2 7 2" xfId="38717" xr:uid="{00000000-0005-0000-0000-0000BC030000}"/>
    <cellStyle name="Normal 10 2 2 2 7 2 2" xfId="54817" xr:uid="{00000000-0005-0000-0000-0000BD030000}"/>
    <cellStyle name="Normal 10 2 2 2 7 3" xfId="45250" xr:uid="{00000000-0005-0000-0000-0000BE030000}"/>
    <cellStyle name="Normal 10 2 2 2 7 4" xfId="29150" xr:uid="{00000000-0005-0000-0000-0000BF030000}"/>
    <cellStyle name="Normal 10 2 2 2 7 5" xfId="19581" xr:uid="{00000000-0005-0000-0000-0000C0030000}"/>
    <cellStyle name="Normal 10 2 2 2 8" xfId="10012" xr:uid="{00000000-0005-0000-0000-0000C1030000}"/>
    <cellStyle name="Normal 10 2 2 2 8 2" xfId="48286" xr:uid="{00000000-0005-0000-0000-0000C2030000}"/>
    <cellStyle name="Normal 10 2 2 2 8 3" xfId="32186" xr:uid="{00000000-0005-0000-0000-0000C3030000}"/>
    <cellStyle name="Normal 10 2 2 2 8 4" xfId="22617" xr:uid="{00000000-0005-0000-0000-0000C4030000}"/>
    <cellStyle name="Normal 10 2 2 2 9" xfId="3389" xr:uid="{00000000-0005-0000-0000-0000C5030000}"/>
    <cellStyle name="Normal 10 2 2 2 9 2" xfId="51230" xr:uid="{00000000-0005-0000-0000-0000C6030000}"/>
    <cellStyle name="Normal 10 2 2 2 9 3" xfId="35130" xr:uid="{00000000-0005-0000-0000-0000C7030000}"/>
    <cellStyle name="Normal 10 2 2 2 9 4" xfId="15994" xr:uid="{00000000-0005-0000-0000-0000C8030000}"/>
    <cellStyle name="Normal 10 2 2 3" xfId="327" xr:uid="{00000000-0005-0000-0000-0000C9030000}"/>
    <cellStyle name="Normal 10 2 2 3 2" xfId="2346" xr:uid="{00000000-0005-0000-0000-0000CA030000}"/>
    <cellStyle name="Normal 10 2 2 3 2 2" xfId="8880" xr:uid="{00000000-0005-0000-0000-0000CB030000}"/>
    <cellStyle name="Normal 10 2 2 3 2 2 2" xfId="40621" xr:uid="{00000000-0005-0000-0000-0000CC030000}"/>
    <cellStyle name="Normal 10 2 2 3 2 2 2 2" xfId="56721" xr:uid="{00000000-0005-0000-0000-0000CD030000}"/>
    <cellStyle name="Normal 10 2 2 3 2 2 3" xfId="47154" xr:uid="{00000000-0005-0000-0000-0000CE030000}"/>
    <cellStyle name="Normal 10 2 2 3 2 2 4" xfId="31054" xr:uid="{00000000-0005-0000-0000-0000CF030000}"/>
    <cellStyle name="Normal 10 2 2 3 2 2 5" xfId="21485" xr:uid="{00000000-0005-0000-0000-0000D0030000}"/>
    <cellStyle name="Normal 10 2 2 3 2 3" xfId="11916" xr:uid="{00000000-0005-0000-0000-0000D1030000}"/>
    <cellStyle name="Normal 10 2 2 3 2 3 2" xfId="50190" xr:uid="{00000000-0005-0000-0000-0000D2030000}"/>
    <cellStyle name="Normal 10 2 2 3 2 3 3" xfId="34090" xr:uid="{00000000-0005-0000-0000-0000D3030000}"/>
    <cellStyle name="Normal 10 2 2 3 2 3 4" xfId="24521" xr:uid="{00000000-0005-0000-0000-0000D4030000}"/>
    <cellStyle name="Normal 10 2 2 3 2 4" xfId="5844" xr:uid="{00000000-0005-0000-0000-0000D5030000}"/>
    <cellStyle name="Normal 10 2 2 3 2 4 2" xfId="53685" xr:uid="{00000000-0005-0000-0000-0000D6030000}"/>
    <cellStyle name="Normal 10 2 2 3 2 4 3" xfId="37585" xr:uid="{00000000-0005-0000-0000-0000D7030000}"/>
    <cellStyle name="Normal 10 2 2 3 2 4 4" xfId="18449" xr:uid="{00000000-0005-0000-0000-0000D8030000}"/>
    <cellStyle name="Normal 10 2 2 3 2 5" xfId="44118" xr:uid="{00000000-0005-0000-0000-0000D9030000}"/>
    <cellStyle name="Normal 10 2 2 3 2 6" xfId="28018" xr:uid="{00000000-0005-0000-0000-0000DA030000}"/>
    <cellStyle name="Normal 10 2 2 3 2 7" xfId="14954" xr:uid="{00000000-0005-0000-0000-0000DB030000}"/>
    <cellStyle name="Normal 10 2 2 3 3" xfId="1558" xr:uid="{00000000-0005-0000-0000-0000DC030000}"/>
    <cellStyle name="Normal 10 2 2 3 3 2" xfId="8092" xr:uid="{00000000-0005-0000-0000-0000DD030000}"/>
    <cellStyle name="Normal 10 2 2 3 3 2 2" xfId="39833" xr:uid="{00000000-0005-0000-0000-0000DE030000}"/>
    <cellStyle name="Normal 10 2 2 3 3 2 2 2" xfId="55933" xr:uid="{00000000-0005-0000-0000-0000DF030000}"/>
    <cellStyle name="Normal 10 2 2 3 3 2 3" xfId="46366" xr:uid="{00000000-0005-0000-0000-0000E0030000}"/>
    <cellStyle name="Normal 10 2 2 3 3 2 4" xfId="30266" xr:uid="{00000000-0005-0000-0000-0000E1030000}"/>
    <cellStyle name="Normal 10 2 2 3 3 2 5" xfId="20697" xr:uid="{00000000-0005-0000-0000-0000E2030000}"/>
    <cellStyle name="Normal 10 2 2 3 3 3" xfId="11128" xr:uid="{00000000-0005-0000-0000-0000E3030000}"/>
    <cellStyle name="Normal 10 2 2 3 3 3 2" xfId="49402" xr:uid="{00000000-0005-0000-0000-0000E4030000}"/>
    <cellStyle name="Normal 10 2 2 3 3 3 3" xfId="33302" xr:uid="{00000000-0005-0000-0000-0000E5030000}"/>
    <cellStyle name="Normal 10 2 2 3 3 3 4" xfId="23733" xr:uid="{00000000-0005-0000-0000-0000E6030000}"/>
    <cellStyle name="Normal 10 2 2 3 3 4" xfId="5056" xr:uid="{00000000-0005-0000-0000-0000E7030000}"/>
    <cellStyle name="Normal 10 2 2 3 3 4 2" xfId="52897" xr:uid="{00000000-0005-0000-0000-0000E8030000}"/>
    <cellStyle name="Normal 10 2 2 3 3 4 3" xfId="36797" xr:uid="{00000000-0005-0000-0000-0000E9030000}"/>
    <cellStyle name="Normal 10 2 2 3 3 4 4" xfId="17661" xr:uid="{00000000-0005-0000-0000-0000EA030000}"/>
    <cellStyle name="Normal 10 2 2 3 3 5" xfId="43330" xr:uid="{00000000-0005-0000-0000-0000EB030000}"/>
    <cellStyle name="Normal 10 2 2 3 3 6" xfId="27230" xr:uid="{00000000-0005-0000-0000-0000EC030000}"/>
    <cellStyle name="Normal 10 2 2 3 3 7" xfId="14166" xr:uid="{00000000-0005-0000-0000-0000ED030000}"/>
    <cellStyle name="Normal 10 2 2 3 4" xfId="7082" xr:uid="{00000000-0005-0000-0000-0000EE030000}"/>
    <cellStyle name="Normal 10 2 2 3 4 2" xfId="38823" xr:uid="{00000000-0005-0000-0000-0000EF030000}"/>
    <cellStyle name="Normal 10 2 2 3 4 2 2" xfId="54923" xr:uid="{00000000-0005-0000-0000-0000F0030000}"/>
    <cellStyle name="Normal 10 2 2 3 4 3" xfId="45356" xr:uid="{00000000-0005-0000-0000-0000F1030000}"/>
    <cellStyle name="Normal 10 2 2 3 4 4" xfId="29256" xr:uid="{00000000-0005-0000-0000-0000F2030000}"/>
    <cellStyle name="Normal 10 2 2 3 4 5" xfId="19687" xr:uid="{00000000-0005-0000-0000-0000F3030000}"/>
    <cellStyle name="Normal 10 2 2 3 5" xfId="10118" xr:uid="{00000000-0005-0000-0000-0000F4030000}"/>
    <cellStyle name="Normal 10 2 2 3 5 2" xfId="48392" xr:uid="{00000000-0005-0000-0000-0000F5030000}"/>
    <cellStyle name="Normal 10 2 2 3 5 3" xfId="32292" xr:uid="{00000000-0005-0000-0000-0000F6030000}"/>
    <cellStyle name="Normal 10 2 2 3 5 4" xfId="22723" xr:uid="{00000000-0005-0000-0000-0000F7030000}"/>
    <cellStyle name="Normal 10 2 2 3 6" xfId="4046" xr:uid="{00000000-0005-0000-0000-0000F8030000}"/>
    <cellStyle name="Normal 10 2 2 3 6 2" xfId="51887" xr:uid="{00000000-0005-0000-0000-0000F9030000}"/>
    <cellStyle name="Normal 10 2 2 3 6 3" xfId="35787" xr:uid="{00000000-0005-0000-0000-0000FA030000}"/>
    <cellStyle name="Normal 10 2 2 3 6 4" xfId="16651" xr:uid="{00000000-0005-0000-0000-0000FB030000}"/>
    <cellStyle name="Normal 10 2 2 3 7" xfId="42320" xr:uid="{00000000-0005-0000-0000-0000FC030000}"/>
    <cellStyle name="Normal 10 2 2 3 8" xfId="26220" xr:uid="{00000000-0005-0000-0000-0000FD030000}"/>
    <cellStyle name="Normal 10 2 2 3 9" xfId="13156" xr:uid="{00000000-0005-0000-0000-0000FE030000}"/>
    <cellStyle name="Normal 10 2 2 4" xfId="584" xr:uid="{00000000-0005-0000-0000-0000FF030000}"/>
    <cellStyle name="Normal 10 2 2 4 2" xfId="2613" xr:uid="{00000000-0005-0000-0000-000000040000}"/>
    <cellStyle name="Normal 10 2 2 4 2 2" xfId="9145" xr:uid="{00000000-0005-0000-0000-000001040000}"/>
    <cellStyle name="Normal 10 2 2 4 2 2 2" xfId="40886" xr:uid="{00000000-0005-0000-0000-000002040000}"/>
    <cellStyle name="Normal 10 2 2 4 2 2 2 2" xfId="56986" xr:uid="{00000000-0005-0000-0000-000003040000}"/>
    <cellStyle name="Normal 10 2 2 4 2 2 3" xfId="47419" xr:uid="{00000000-0005-0000-0000-000004040000}"/>
    <cellStyle name="Normal 10 2 2 4 2 2 4" xfId="31319" xr:uid="{00000000-0005-0000-0000-000005040000}"/>
    <cellStyle name="Normal 10 2 2 4 2 2 5" xfId="21750" xr:uid="{00000000-0005-0000-0000-000006040000}"/>
    <cellStyle name="Normal 10 2 2 4 2 3" xfId="12181" xr:uid="{00000000-0005-0000-0000-000007040000}"/>
    <cellStyle name="Normal 10 2 2 4 2 3 2" xfId="50455" xr:uid="{00000000-0005-0000-0000-000008040000}"/>
    <cellStyle name="Normal 10 2 2 4 2 3 3" xfId="34355" xr:uid="{00000000-0005-0000-0000-000009040000}"/>
    <cellStyle name="Normal 10 2 2 4 2 3 4" xfId="24786" xr:uid="{00000000-0005-0000-0000-00000A040000}"/>
    <cellStyle name="Normal 10 2 2 4 2 4" xfId="6109" xr:uid="{00000000-0005-0000-0000-00000B040000}"/>
    <cellStyle name="Normal 10 2 2 4 2 4 2" xfId="53950" xr:uid="{00000000-0005-0000-0000-00000C040000}"/>
    <cellStyle name="Normal 10 2 2 4 2 4 3" xfId="37850" xr:uid="{00000000-0005-0000-0000-00000D040000}"/>
    <cellStyle name="Normal 10 2 2 4 2 4 4" xfId="18714" xr:uid="{00000000-0005-0000-0000-00000E040000}"/>
    <cellStyle name="Normal 10 2 2 4 2 5" xfId="44383" xr:uid="{00000000-0005-0000-0000-00000F040000}"/>
    <cellStyle name="Normal 10 2 2 4 2 6" xfId="28283" xr:uid="{00000000-0005-0000-0000-000010040000}"/>
    <cellStyle name="Normal 10 2 2 4 2 7" xfId="15219" xr:uid="{00000000-0005-0000-0000-000011040000}"/>
    <cellStyle name="Normal 10 2 2 4 3" xfId="1381" xr:uid="{00000000-0005-0000-0000-000012040000}"/>
    <cellStyle name="Normal 10 2 2 4 3 2" xfId="7915" xr:uid="{00000000-0005-0000-0000-000013040000}"/>
    <cellStyle name="Normal 10 2 2 4 3 2 2" xfId="39656" xr:uid="{00000000-0005-0000-0000-000014040000}"/>
    <cellStyle name="Normal 10 2 2 4 3 2 2 2" xfId="55756" xr:uid="{00000000-0005-0000-0000-000015040000}"/>
    <cellStyle name="Normal 10 2 2 4 3 2 3" xfId="46189" xr:uid="{00000000-0005-0000-0000-000016040000}"/>
    <cellStyle name="Normal 10 2 2 4 3 2 4" xfId="30089" xr:uid="{00000000-0005-0000-0000-000017040000}"/>
    <cellStyle name="Normal 10 2 2 4 3 2 5" xfId="20520" xr:uid="{00000000-0005-0000-0000-000018040000}"/>
    <cellStyle name="Normal 10 2 2 4 3 3" xfId="10951" xr:uid="{00000000-0005-0000-0000-000019040000}"/>
    <cellStyle name="Normal 10 2 2 4 3 3 2" xfId="49225" xr:uid="{00000000-0005-0000-0000-00001A040000}"/>
    <cellStyle name="Normal 10 2 2 4 3 3 3" xfId="33125" xr:uid="{00000000-0005-0000-0000-00001B040000}"/>
    <cellStyle name="Normal 10 2 2 4 3 3 4" xfId="23556" xr:uid="{00000000-0005-0000-0000-00001C040000}"/>
    <cellStyle name="Normal 10 2 2 4 3 4" xfId="4879" xr:uid="{00000000-0005-0000-0000-00001D040000}"/>
    <cellStyle name="Normal 10 2 2 4 3 4 2" xfId="52720" xr:uid="{00000000-0005-0000-0000-00001E040000}"/>
    <cellStyle name="Normal 10 2 2 4 3 4 3" xfId="36620" xr:uid="{00000000-0005-0000-0000-00001F040000}"/>
    <cellStyle name="Normal 10 2 2 4 3 4 4" xfId="17484" xr:uid="{00000000-0005-0000-0000-000020040000}"/>
    <cellStyle name="Normal 10 2 2 4 3 5" xfId="43153" xr:uid="{00000000-0005-0000-0000-000021040000}"/>
    <cellStyle name="Normal 10 2 2 4 3 6" xfId="27053" xr:uid="{00000000-0005-0000-0000-000022040000}"/>
    <cellStyle name="Normal 10 2 2 4 3 7" xfId="13989" xr:uid="{00000000-0005-0000-0000-000023040000}"/>
    <cellStyle name="Normal 10 2 2 4 4" xfId="6905" xr:uid="{00000000-0005-0000-0000-000024040000}"/>
    <cellStyle name="Normal 10 2 2 4 4 2" xfId="38646" xr:uid="{00000000-0005-0000-0000-000025040000}"/>
    <cellStyle name="Normal 10 2 2 4 4 2 2" xfId="54746" xr:uid="{00000000-0005-0000-0000-000026040000}"/>
    <cellStyle name="Normal 10 2 2 4 4 3" xfId="45179" xr:uid="{00000000-0005-0000-0000-000027040000}"/>
    <cellStyle name="Normal 10 2 2 4 4 4" xfId="29079" xr:uid="{00000000-0005-0000-0000-000028040000}"/>
    <cellStyle name="Normal 10 2 2 4 4 5" xfId="19510" xr:uid="{00000000-0005-0000-0000-000029040000}"/>
    <cellStyle name="Normal 10 2 2 4 5" xfId="9941" xr:uid="{00000000-0005-0000-0000-00002A040000}"/>
    <cellStyle name="Normal 10 2 2 4 5 2" xfId="48215" xr:uid="{00000000-0005-0000-0000-00002B040000}"/>
    <cellStyle name="Normal 10 2 2 4 5 3" xfId="32115" xr:uid="{00000000-0005-0000-0000-00002C040000}"/>
    <cellStyle name="Normal 10 2 2 4 5 4" xfId="22546" xr:uid="{00000000-0005-0000-0000-00002D040000}"/>
    <cellStyle name="Normal 10 2 2 4 6" xfId="3869" xr:uid="{00000000-0005-0000-0000-00002E040000}"/>
    <cellStyle name="Normal 10 2 2 4 6 2" xfId="51710" xr:uid="{00000000-0005-0000-0000-00002F040000}"/>
    <cellStyle name="Normal 10 2 2 4 6 3" xfId="35610" xr:uid="{00000000-0005-0000-0000-000030040000}"/>
    <cellStyle name="Normal 10 2 2 4 6 4" xfId="16474" xr:uid="{00000000-0005-0000-0000-000031040000}"/>
    <cellStyle name="Normal 10 2 2 4 7" xfId="42143" xr:uid="{00000000-0005-0000-0000-000032040000}"/>
    <cellStyle name="Normal 10 2 2 4 8" xfId="26043" xr:uid="{00000000-0005-0000-0000-000033040000}"/>
    <cellStyle name="Normal 10 2 2 4 9" xfId="12979" xr:uid="{00000000-0005-0000-0000-000034040000}"/>
    <cellStyle name="Normal 10 2 2 5" xfId="796" xr:uid="{00000000-0005-0000-0000-000035040000}"/>
    <cellStyle name="Normal 10 2 2 5 2" xfId="2824" xr:uid="{00000000-0005-0000-0000-000036040000}"/>
    <cellStyle name="Normal 10 2 2 5 2 2" xfId="9356" xr:uid="{00000000-0005-0000-0000-000037040000}"/>
    <cellStyle name="Normal 10 2 2 5 2 2 2" xfId="41097" xr:uid="{00000000-0005-0000-0000-000038040000}"/>
    <cellStyle name="Normal 10 2 2 5 2 2 2 2" xfId="57197" xr:uid="{00000000-0005-0000-0000-000039040000}"/>
    <cellStyle name="Normal 10 2 2 5 2 2 3" xfId="47630" xr:uid="{00000000-0005-0000-0000-00003A040000}"/>
    <cellStyle name="Normal 10 2 2 5 2 2 4" xfId="31530" xr:uid="{00000000-0005-0000-0000-00003B040000}"/>
    <cellStyle name="Normal 10 2 2 5 2 2 5" xfId="21961" xr:uid="{00000000-0005-0000-0000-00003C040000}"/>
    <cellStyle name="Normal 10 2 2 5 2 3" xfId="12392" xr:uid="{00000000-0005-0000-0000-00003D040000}"/>
    <cellStyle name="Normal 10 2 2 5 2 3 2" xfId="50666" xr:uid="{00000000-0005-0000-0000-00003E040000}"/>
    <cellStyle name="Normal 10 2 2 5 2 3 3" xfId="34566" xr:uid="{00000000-0005-0000-0000-00003F040000}"/>
    <cellStyle name="Normal 10 2 2 5 2 3 4" xfId="24997" xr:uid="{00000000-0005-0000-0000-000040040000}"/>
    <cellStyle name="Normal 10 2 2 5 2 4" xfId="6320" xr:uid="{00000000-0005-0000-0000-000041040000}"/>
    <cellStyle name="Normal 10 2 2 5 2 4 2" xfId="54161" xr:uid="{00000000-0005-0000-0000-000042040000}"/>
    <cellStyle name="Normal 10 2 2 5 2 4 3" xfId="38061" xr:uid="{00000000-0005-0000-0000-000043040000}"/>
    <cellStyle name="Normal 10 2 2 5 2 4 4" xfId="18925" xr:uid="{00000000-0005-0000-0000-000044040000}"/>
    <cellStyle name="Normal 10 2 2 5 2 5" xfId="44594" xr:uid="{00000000-0005-0000-0000-000045040000}"/>
    <cellStyle name="Normal 10 2 2 5 2 6" xfId="28494" xr:uid="{00000000-0005-0000-0000-000046040000}"/>
    <cellStyle name="Normal 10 2 2 5 2 7" xfId="15430" xr:uid="{00000000-0005-0000-0000-000047040000}"/>
    <cellStyle name="Normal 10 2 2 5 3" xfId="1806" xr:uid="{00000000-0005-0000-0000-000048040000}"/>
    <cellStyle name="Normal 10 2 2 5 3 2" xfId="8340" xr:uid="{00000000-0005-0000-0000-000049040000}"/>
    <cellStyle name="Normal 10 2 2 5 3 2 2" xfId="40081" xr:uid="{00000000-0005-0000-0000-00004A040000}"/>
    <cellStyle name="Normal 10 2 2 5 3 2 2 2" xfId="56181" xr:uid="{00000000-0005-0000-0000-00004B040000}"/>
    <cellStyle name="Normal 10 2 2 5 3 2 3" xfId="46614" xr:uid="{00000000-0005-0000-0000-00004C040000}"/>
    <cellStyle name="Normal 10 2 2 5 3 2 4" xfId="30514" xr:uid="{00000000-0005-0000-0000-00004D040000}"/>
    <cellStyle name="Normal 10 2 2 5 3 2 5" xfId="20945" xr:uid="{00000000-0005-0000-0000-00004E040000}"/>
    <cellStyle name="Normal 10 2 2 5 3 3" xfId="11376" xr:uid="{00000000-0005-0000-0000-00004F040000}"/>
    <cellStyle name="Normal 10 2 2 5 3 3 2" xfId="49650" xr:uid="{00000000-0005-0000-0000-000050040000}"/>
    <cellStyle name="Normal 10 2 2 5 3 3 3" xfId="33550" xr:uid="{00000000-0005-0000-0000-000051040000}"/>
    <cellStyle name="Normal 10 2 2 5 3 3 4" xfId="23981" xr:uid="{00000000-0005-0000-0000-000052040000}"/>
    <cellStyle name="Normal 10 2 2 5 3 4" xfId="5304" xr:uid="{00000000-0005-0000-0000-000053040000}"/>
    <cellStyle name="Normal 10 2 2 5 3 4 2" xfId="53145" xr:uid="{00000000-0005-0000-0000-000054040000}"/>
    <cellStyle name="Normal 10 2 2 5 3 4 3" xfId="37045" xr:uid="{00000000-0005-0000-0000-000055040000}"/>
    <cellStyle name="Normal 10 2 2 5 3 4 4" xfId="17909" xr:uid="{00000000-0005-0000-0000-000056040000}"/>
    <cellStyle name="Normal 10 2 2 5 3 5" xfId="43578" xr:uid="{00000000-0005-0000-0000-000057040000}"/>
    <cellStyle name="Normal 10 2 2 5 3 6" xfId="27478" xr:uid="{00000000-0005-0000-0000-000058040000}"/>
    <cellStyle name="Normal 10 2 2 5 3 7" xfId="14414" xr:uid="{00000000-0005-0000-0000-000059040000}"/>
    <cellStyle name="Normal 10 2 2 5 4" xfId="7330" xr:uid="{00000000-0005-0000-0000-00005A040000}"/>
    <cellStyle name="Normal 10 2 2 5 4 2" xfId="39071" xr:uid="{00000000-0005-0000-0000-00005B040000}"/>
    <cellStyle name="Normal 10 2 2 5 4 2 2" xfId="55171" xr:uid="{00000000-0005-0000-0000-00005C040000}"/>
    <cellStyle name="Normal 10 2 2 5 4 3" xfId="45604" xr:uid="{00000000-0005-0000-0000-00005D040000}"/>
    <cellStyle name="Normal 10 2 2 5 4 4" xfId="29504" xr:uid="{00000000-0005-0000-0000-00005E040000}"/>
    <cellStyle name="Normal 10 2 2 5 4 5" xfId="19935" xr:uid="{00000000-0005-0000-0000-00005F040000}"/>
    <cellStyle name="Normal 10 2 2 5 5" xfId="10366" xr:uid="{00000000-0005-0000-0000-000060040000}"/>
    <cellStyle name="Normal 10 2 2 5 5 2" xfId="48640" xr:uid="{00000000-0005-0000-0000-000061040000}"/>
    <cellStyle name="Normal 10 2 2 5 5 3" xfId="32540" xr:uid="{00000000-0005-0000-0000-000062040000}"/>
    <cellStyle name="Normal 10 2 2 5 5 4" xfId="22971" xr:uid="{00000000-0005-0000-0000-000063040000}"/>
    <cellStyle name="Normal 10 2 2 5 6" xfId="4294" xr:uid="{00000000-0005-0000-0000-000064040000}"/>
    <cellStyle name="Normal 10 2 2 5 6 2" xfId="52135" xr:uid="{00000000-0005-0000-0000-000065040000}"/>
    <cellStyle name="Normal 10 2 2 5 6 3" xfId="36035" xr:uid="{00000000-0005-0000-0000-000066040000}"/>
    <cellStyle name="Normal 10 2 2 5 6 4" xfId="16899" xr:uid="{00000000-0005-0000-0000-000067040000}"/>
    <cellStyle name="Normal 10 2 2 5 7" xfId="42568" xr:uid="{00000000-0005-0000-0000-000068040000}"/>
    <cellStyle name="Normal 10 2 2 5 8" xfId="26468" xr:uid="{00000000-0005-0000-0000-000069040000}"/>
    <cellStyle name="Normal 10 2 2 5 9" xfId="13404" xr:uid="{00000000-0005-0000-0000-00006A040000}"/>
    <cellStyle name="Normal 10 2 2 6" xfId="654" xr:uid="{00000000-0005-0000-0000-00006B040000}"/>
    <cellStyle name="Normal 10 2 2 6 2" xfId="2682" xr:uid="{00000000-0005-0000-0000-00006C040000}"/>
    <cellStyle name="Normal 10 2 2 6 2 2" xfId="9214" xr:uid="{00000000-0005-0000-0000-00006D040000}"/>
    <cellStyle name="Normal 10 2 2 6 2 2 2" xfId="40955" xr:uid="{00000000-0005-0000-0000-00006E040000}"/>
    <cellStyle name="Normal 10 2 2 6 2 2 2 2" xfId="57055" xr:uid="{00000000-0005-0000-0000-00006F040000}"/>
    <cellStyle name="Normal 10 2 2 6 2 2 3" xfId="47488" xr:uid="{00000000-0005-0000-0000-000070040000}"/>
    <cellStyle name="Normal 10 2 2 6 2 2 4" xfId="31388" xr:uid="{00000000-0005-0000-0000-000071040000}"/>
    <cellStyle name="Normal 10 2 2 6 2 2 5" xfId="21819" xr:uid="{00000000-0005-0000-0000-000072040000}"/>
    <cellStyle name="Normal 10 2 2 6 2 3" xfId="12250" xr:uid="{00000000-0005-0000-0000-000073040000}"/>
    <cellStyle name="Normal 10 2 2 6 2 3 2" xfId="50524" xr:uid="{00000000-0005-0000-0000-000074040000}"/>
    <cellStyle name="Normal 10 2 2 6 2 3 3" xfId="34424" xr:uid="{00000000-0005-0000-0000-000075040000}"/>
    <cellStyle name="Normal 10 2 2 6 2 3 4" xfId="24855" xr:uid="{00000000-0005-0000-0000-000076040000}"/>
    <cellStyle name="Normal 10 2 2 6 2 4" xfId="6178" xr:uid="{00000000-0005-0000-0000-000077040000}"/>
    <cellStyle name="Normal 10 2 2 6 2 4 2" xfId="54019" xr:uid="{00000000-0005-0000-0000-000078040000}"/>
    <cellStyle name="Normal 10 2 2 6 2 4 3" xfId="37919" xr:uid="{00000000-0005-0000-0000-000079040000}"/>
    <cellStyle name="Normal 10 2 2 6 2 4 4" xfId="18783" xr:uid="{00000000-0005-0000-0000-00007A040000}"/>
    <cellStyle name="Normal 10 2 2 6 2 5" xfId="44452" xr:uid="{00000000-0005-0000-0000-00007B040000}"/>
    <cellStyle name="Normal 10 2 2 6 2 6" xfId="28352" xr:uid="{00000000-0005-0000-0000-00007C040000}"/>
    <cellStyle name="Normal 10 2 2 6 2 7" xfId="15288" xr:uid="{00000000-0005-0000-0000-00007D040000}"/>
    <cellStyle name="Normal 10 2 2 6 3" xfId="1664" xr:uid="{00000000-0005-0000-0000-00007E040000}"/>
    <cellStyle name="Normal 10 2 2 6 3 2" xfId="8198" xr:uid="{00000000-0005-0000-0000-00007F040000}"/>
    <cellStyle name="Normal 10 2 2 6 3 2 2" xfId="39939" xr:uid="{00000000-0005-0000-0000-000080040000}"/>
    <cellStyle name="Normal 10 2 2 6 3 2 2 2" xfId="56039" xr:uid="{00000000-0005-0000-0000-000081040000}"/>
    <cellStyle name="Normal 10 2 2 6 3 2 3" xfId="46472" xr:uid="{00000000-0005-0000-0000-000082040000}"/>
    <cellStyle name="Normal 10 2 2 6 3 2 4" xfId="30372" xr:uid="{00000000-0005-0000-0000-000083040000}"/>
    <cellStyle name="Normal 10 2 2 6 3 2 5" xfId="20803" xr:uid="{00000000-0005-0000-0000-000084040000}"/>
    <cellStyle name="Normal 10 2 2 6 3 3" xfId="11234" xr:uid="{00000000-0005-0000-0000-000085040000}"/>
    <cellStyle name="Normal 10 2 2 6 3 3 2" xfId="49508" xr:uid="{00000000-0005-0000-0000-000086040000}"/>
    <cellStyle name="Normal 10 2 2 6 3 3 3" xfId="33408" xr:uid="{00000000-0005-0000-0000-000087040000}"/>
    <cellStyle name="Normal 10 2 2 6 3 3 4" xfId="23839" xr:uid="{00000000-0005-0000-0000-000088040000}"/>
    <cellStyle name="Normal 10 2 2 6 3 4" xfId="5162" xr:uid="{00000000-0005-0000-0000-000089040000}"/>
    <cellStyle name="Normal 10 2 2 6 3 4 2" xfId="53003" xr:uid="{00000000-0005-0000-0000-00008A040000}"/>
    <cellStyle name="Normal 10 2 2 6 3 4 3" xfId="36903" xr:uid="{00000000-0005-0000-0000-00008B040000}"/>
    <cellStyle name="Normal 10 2 2 6 3 4 4" xfId="17767" xr:uid="{00000000-0005-0000-0000-00008C040000}"/>
    <cellStyle name="Normal 10 2 2 6 3 5" xfId="43436" xr:uid="{00000000-0005-0000-0000-00008D040000}"/>
    <cellStyle name="Normal 10 2 2 6 3 6" xfId="27336" xr:uid="{00000000-0005-0000-0000-00008E040000}"/>
    <cellStyle name="Normal 10 2 2 6 3 7" xfId="14272" xr:uid="{00000000-0005-0000-0000-00008F040000}"/>
    <cellStyle name="Normal 10 2 2 6 4" xfId="7188" xr:uid="{00000000-0005-0000-0000-000090040000}"/>
    <cellStyle name="Normal 10 2 2 6 4 2" xfId="38929" xr:uid="{00000000-0005-0000-0000-000091040000}"/>
    <cellStyle name="Normal 10 2 2 6 4 2 2" xfId="55029" xr:uid="{00000000-0005-0000-0000-000092040000}"/>
    <cellStyle name="Normal 10 2 2 6 4 3" xfId="45462" xr:uid="{00000000-0005-0000-0000-000093040000}"/>
    <cellStyle name="Normal 10 2 2 6 4 4" xfId="29362" xr:uid="{00000000-0005-0000-0000-000094040000}"/>
    <cellStyle name="Normal 10 2 2 6 4 5" xfId="19793" xr:uid="{00000000-0005-0000-0000-000095040000}"/>
    <cellStyle name="Normal 10 2 2 6 5" xfId="10224" xr:uid="{00000000-0005-0000-0000-000096040000}"/>
    <cellStyle name="Normal 10 2 2 6 5 2" xfId="48498" xr:uid="{00000000-0005-0000-0000-000097040000}"/>
    <cellStyle name="Normal 10 2 2 6 5 3" xfId="32398" xr:uid="{00000000-0005-0000-0000-000098040000}"/>
    <cellStyle name="Normal 10 2 2 6 5 4" xfId="22829" xr:uid="{00000000-0005-0000-0000-000099040000}"/>
    <cellStyle name="Normal 10 2 2 6 6" xfId="4152" xr:uid="{00000000-0005-0000-0000-00009A040000}"/>
    <cellStyle name="Normal 10 2 2 6 6 2" xfId="51993" xr:uid="{00000000-0005-0000-0000-00009B040000}"/>
    <cellStyle name="Normal 10 2 2 6 6 3" xfId="35893" xr:uid="{00000000-0005-0000-0000-00009C040000}"/>
    <cellStyle name="Normal 10 2 2 6 6 4" xfId="16757" xr:uid="{00000000-0005-0000-0000-00009D040000}"/>
    <cellStyle name="Normal 10 2 2 6 7" xfId="42426" xr:uid="{00000000-0005-0000-0000-00009E040000}"/>
    <cellStyle name="Normal 10 2 2 6 8" xfId="26326" xr:uid="{00000000-0005-0000-0000-00009F040000}"/>
    <cellStyle name="Normal 10 2 2 6 9" xfId="13262" xr:uid="{00000000-0005-0000-0000-0000A0040000}"/>
    <cellStyle name="Normal 10 2 2 7" xfId="2169" xr:uid="{00000000-0005-0000-0000-0000A1040000}"/>
    <cellStyle name="Normal 10 2 2 7 2" xfId="2454" xr:uid="{00000000-0005-0000-0000-0000A2040000}"/>
    <cellStyle name="Normal 10 2 2 7 2 2" xfId="8986" xr:uid="{00000000-0005-0000-0000-0000A3040000}"/>
    <cellStyle name="Normal 10 2 2 7 2 2 2" xfId="40727" xr:uid="{00000000-0005-0000-0000-0000A4040000}"/>
    <cellStyle name="Normal 10 2 2 7 2 2 2 2" xfId="56827" xr:uid="{00000000-0005-0000-0000-0000A5040000}"/>
    <cellStyle name="Normal 10 2 2 7 2 2 3" xfId="47260" xr:uid="{00000000-0005-0000-0000-0000A6040000}"/>
    <cellStyle name="Normal 10 2 2 7 2 2 4" xfId="31160" xr:uid="{00000000-0005-0000-0000-0000A7040000}"/>
    <cellStyle name="Normal 10 2 2 7 2 2 5" xfId="21591" xr:uid="{00000000-0005-0000-0000-0000A8040000}"/>
    <cellStyle name="Normal 10 2 2 7 2 3" xfId="12022" xr:uid="{00000000-0005-0000-0000-0000A9040000}"/>
    <cellStyle name="Normal 10 2 2 7 2 3 2" xfId="50296" xr:uid="{00000000-0005-0000-0000-0000AA040000}"/>
    <cellStyle name="Normal 10 2 2 7 2 3 3" xfId="34196" xr:uid="{00000000-0005-0000-0000-0000AB040000}"/>
    <cellStyle name="Normal 10 2 2 7 2 3 4" xfId="24627" xr:uid="{00000000-0005-0000-0000-0000AC040000}"/>
    <cellStyle name="Normal 10 2 2 7 2 4" xfId="5950" xr:uid="{00000000-0005-0000-0000-0000AD040000}"/>
    <cellStyle name="Normal 10 2 2 7 2 4 2" xfId="53791" xr:uid="{00000000-0005-0000-0000-0000AE040000}"/>
    <cellStyle name="Normal 10 2 2 7 2 4 3" xfId="37691" xr:uid="{00000000-0005-0000-0000-0000AF040000}"/>
    <cellStyle name="Normal 10 2 2 7 2 4 4" xfId="18555" xr:uid="{00000000-0005-0000-0000-0000B0040000}"/>
    <cellStyle name="Normal 10 2 2 7 2 5" xfId="44224" xr:uid="{00000000-0005-0000-0000-0000B1040000}"/>
    <cellStyle name="Normal 10 2 2 7 2 6" xfId="28124" xr:uid="{00000000-0005-0000-0000-0000B2040000}"/>
    <cellStyle name="Normal 10 2 2 7 2 7" xfId="15060" xr:uid="{00000000-0005-0000-0000-0000B3040000}"/>
    <cellStyle name="Normal 10 2 2 7 3" xfId="8703" xr:uid="{00000000-0005-0000-0000-0000B4040000}"/>
    <cellStyle name="Normal 10 2 2 7 3 2" xfId="40444" xr:uid="{00000000-0005-0000-0000-0000B5040000}"/>
    <cellStyle name="Normal 10 2 2 7 3 2 2" xfId="56544" xr:uid="{00000000-0005-0000-0000-0000B6040000}"/>
    <cellStyle name="Normal 10 2 2 7 3 3" xfId="46977" xr:uid="{00000000-0005-0000-0000-0000B7040000}"/>
    <cellStyle name="Normal 10 2 2 7 3 4" xfId="30877" xr:uid="{00000000-0005-0000-0000-0000B8040000}"/>
    <cellStyle name="Normal 10 2 2 7 3 5" xfId="21308" xr:uid="{00000000-0005-0000-0000-0000B9040000}"/>
    <cellStyle name="Normal 10 2 2 7 4" xfId="11739" xr:uid="{00000000-0005-0000-0000-0000BA040000}"/>
    <cellStyle name="Normal 10 2 2 7 4 2" xfId="50013" xr:uid="{00000000-0005-0000-0000-0000BB040000}"/>
    <cellStyle name="Normal 10 2 2 7 4 3" xfId="33913" xr:uid="{00000000-0005-0000-0000-0000BC040000}"/>
    <cellStyle name="Normal 10 2 2 7 4 4" xfId="24344" xr:uid="{00000000-0005-0000-0000-0000BD040000}"/>
    <cellStyle name="Normal 10 2 2 7 5" xfId="5667" xr:uid="{00000000-0005-0000-0000-0000BE040000}"/>
    <cellStyle name="Normal 10 2 2 7 5 2" xfId="53508" xr:uid="{00000000-0005-0000-0000-0000BF040000}"/>
    <cellStyle name="Normal 10 2 2 7 5 3" xfId="37408" xr:uid="{00000000-0005-0000-0000-0000C0040000}"/>
    <cellStyle name="Normal 10 2 2 7 5 4" xfId="18272" xr:uid="{00000000-0005-0000-0000-0000C1040000}"/>
    <cellStyle name="Normal 10 2 2 7 6" xfId="43941" xr:uid="{00000000-0005-0000-0000-0000C2040000}"/>
    <cellStyle name="Normal 10 2 2 7 7" xfId="27841" xr:uid="{00000000-0005-0000-0000-0000C3040000}"/>
    <cellStyle name="Normal 10 2 2 7 8" xfId="14777" xr:uid="{00000000-0005-0000-0000-0000C4040000}"/>
    <cellStyle name="Normal 10 2 2 8" xfId="1123" xr:uid="{00000000-0005-0000-0000-0000C5040000}"/>
    <cellStyle name="Normal 10 2 2 8 2" xfId="7657" xr:uid="{00000000-0005-0000-0000-0000C6040000}"/>
    <cellStyle name="Normal 10 2 2 8 2 2" xfId="39398" xr:uid="{00000000-0005-0000-0000-0000C7040000}"/>
    <cellStyle name="Normal 10 2 2 8 2 2 2" xfId="55498" xr:uid="{00000000-0005-0000-0000-0000C8040000}"/>
    <cellStyle name="Normal 10 2 2 8 2 3" xfId="45931" xr:uid="{00000000-0005-0000-0000-0000C9040000}"/>
    <cellStyle name="Normal 10 2 2 8 2 4" xfId="29831" xr:uid="{00000000-0005-0000-0000-0000CA040000}"/>
    <cellStyle name="Normal 10 2 2 8 2 5" xfId="20262" xr:uid="{00000000-0005-0000-0000-0000CB040000}"/>
    <cellStyle name="Normal 10 2 2 8 3" xfId="10693" xr:uid="{00000000-0005-0000-0000-0000CC040000}"/>
    <cellStyle name="Normal 10 2 2 8 3 2" xfId="48967" xr:uid="{00000000-0005-0000-0000-0000CD040000}"/>
    <cellStyle name="Normal 10 2 2 8 3 3" xfId="32867" xr:uid="{00000000-0005-0000-0000-0000CE040000}"/>
    <cellStyle name="Normal 10 2 2 8 3 4" xfId="23298" xr:uid="{00000000-0005-0000-0000-0000CF040000}"/>
    <cellStyle name="Normal 10 2 2 8 4" xfId="4621" xr:uid="{00000000-0005-0000-0000-0000D0040000}"/>
    <cellStyle name="Normal 10 2 2 8 4 2" xfId="52462" xr:uid="{00000000-0005-0000-0000-0000D1040000}"/>
    <cellStyle name="Normal 10 2 2 8 4 3" xfId="36362" xr:uid="{00000000-0005-0000-0000-0000D2040000}"/>
    <cellStyle name="Normal 10 2 2 8 4 4" xfId="17226" xr:uid="{00000000-0005-0000-0000-0000D3040000}"/>
    <cellStyle name="Normal 10 2 2 8 5" xfId="42895" xr:uid="{00000000-0005-0000-0000-0000D4040000}"/>
    <cellStyle name="Normal 10 2 2 8 6" xfId="26795" xr:uid="{00000000-0005-0000-0000-0000D5040000}"/>
    <cellStyle name="Normal 10 2 2 8 7" xfId="13731" xr:uid="{00000000-0005-0000-0000-0000D6040000}"/>
    <cellStyle name="Normal 10 2 2 9" xfId="3611" xr:uid="{00000000-0005-0000-0000-0000D7040000}"/>
    <cellStyle name="Normal 10 2 2 9 2" xfId="35352" xr:uid="{00000000-0005-0000-0000-0000D8040000}"/>
    <cellStyle name="Normal 10 2 2 9 2 2" xfId="51452" xr:uid="{00000000-0005-0000-0000-0000D9040000}"/>
    <cellStyle name="Normal 10 2 2 9 3" xfId="41885" xr:uid="{00000000-0005-0000-0000-0000DA040000}"/>
    <cellStyle name="Normal 10 2 2 9 4" xfId="25785" xr:uid="{00000000-0005-0000-0000-0000DB040000}"/>
    <cellStyle name="Normal 10 2 2 9 5" xfId="16216" xr:uid="{00000000-0005-0000-0000-0000DC040000}"/>
    <cellStyle name="Normal 10 2 3" xfId="110" xr:uid="{00000000-0005-0000-0000-0000DD040000}"/>
    <cellStyle name="Normal 10 2 3 10" xfId="41628" xr:uid="{00000000-0005-0000-0000-0000DE040000}"/>
    <cellStyle name="Normal 10 2 3 11" xfId="25528" xr:uid="{00000000-0005-0000-0000-0000DF040000}"/>
    <cellStyle name="Normal 10 2 3 12" xfId="12943" xr:uid="{00000000-0005-0000-0000-0000E0040000}"/>
    <cellStyle name="Normal 10 2 3 2" xfId="291" xr:uid="{00000000-0005-0000-0000-0000E1040000}"/>
    <cellStyle name="Normal 10 2 3 2 2" xfId="2310" xr:uid="{00000000-0005-0000-0000-0000E2040000}"/>
    <cellStyle name="Normal 10 2 3 2 2 2" xfId="8844" xr:uid="{00000000-0005-0000-0000-0000E3040000}"/>
    <cellStyle name="Normal 10 2 3 2 2 2 2" xfId="40585" xr:uid="{00000000-0005-0000-0000-0000E4040000}"/>
    <cellStyle name="Normal 10 2 3 2 2 2 2 2" xfId="56685" xr:uid="{00000000-0005-0000-0000-0000E5040000}"/>
    <cellStyle name="Normal 10 2 3 2 2 2 3" xfId="47118" xr:uid="{00000000-0005-0000-0000-0000E6040000}"/>
    <cellStyle name="Normal 10 2 3 2 2 2 4" xfId="31018" xr:uid="{00000000-0005-0000-0000-0000E7040000}"/>
    <cellStyle name="Normal 10 2 3 2 2 2 5" xfId="21449" xr:uid="{00000000-0005-0000-0000-0000E8040000}"/>
    <cellStyle name="Normal 10 2 3 2 2 3" xfId="11880" xr:uid="{00000000-0005-0000-0000-0000E9040000}"/>
    <cellStyle name="Normal 10 2 3 2 2 3 2" xfId="50154" xr:uid="{00000000-0005-0000-0000-0000EA040000}"/>
    <cellStyle name="Normal 10 2 3 2 2 3 3" xfId="34054" xr:uid="{00000000-0005-0000-0000-0000EB040000}"/>
    <cellStyle name="Normal 10 2 3 2 2 3 4" xfId="24485" xr:uid="{00000000-0005-0000-0000-0000EC040000}"/>
    <cellStyle name="Normal 10 2 3 2 2 4" xfId="5808" xr:uid="{00000000-0005-0000-0000-0000ED040000}"/>
    <cellStyle name="Normal 10 2 3 2 2 4 2" xfId="53649" xr:uid="{00000000-0005-0000-0000-0000EE040000}"/>
    <cellStyle name="Normal 10 2 3 2 2 4 3" xfId="37549" xr:uid="{00000000-0005-0000-0000-0000EF040000}"/>
    <cellStyle name="Normal 10 2 3 2 2 4 4" xfId="18413" xr:uid="{00000000-0005-0000-0000-0000F0040000}"/>
    <cellStyle name="Normal 10 2 3 2 2 5" xfId="44082" xr:uid="{00000000-0005-0000-0000-0000F1040000}"/>
    <cellStyle name="Normal 10 2 3 2 2 6" xfId="27982" xr:uid="{00000000-0005-0000-0000-0000F2040000}"/>
    <cellStyle name="Normal 10 2 3 2 2 7" xfId="14918" xr:uid="{00000000-0005-0000-0000-0000F3040000}"/>
    <cellStyle name="Normal 10 2 3 2 3" xfId="1522" xr:uid="{00000000-0005-0000-0000-0000F4040000}"/>
    <cellStyle name="Normal 10 2 3 2 3 2" xfId="8056" xr:uid="{00000000-0005-0000-0000-0000F5040000}"/>
    <cellStyle name="Normal 10 2 3 2 3 2 2" xfId="39797" xr:uid="{00000000-0005-0000-0000-0000F6040000}"/>
    <cellStyle name="Normal 10 2 3 2 3 2 2 2" xfId="55897" xr:uid="{00000000-0005-0000-0000-0000F7040000}"/>
    <cellStyle name="Normal 10 2 3 2 3 2 3" xfId="46330" xr:uid="{00000000-0005-0000-0000-0000F8040000}"/>
    <cellStyle name="Normal 10 2 3 2 3 2 4" xfId="30230" xr:uid="{00000000-0005-0000-0000-0000F9040000}"/>
    <cellStyle name="Normal 10 2 3 2 3 2 5" xfId="20661" xr:uid="{00000000-0005-0000-0000-0000FA040000}"/>
    <cellStyle name="Normal 10 2 3 2 3 3" xfId="11092" xr:uid="{00000000-0005-0000-0000-0000FB040000}"/>
    <cellStyle name="Normal 10 2 3 2 3 3 2" xfId="49366" xr:uid="{00000000-0005-0000-0000-0000FC040000}"/>
    <cellStyle name="Normal 10 2 3 2 3 3 3" xfId="33266" xr:uid="{00000000-0005-0000-0000-0000FD040000}"/>
    <cellStyle name="Normal 10 2 3 2 3 3 4" xfId="23697" xr:uid="{00000000-0005-0000-0000-0000FE040000}"/>
    <cellStyle name="Normal 10 2 3 2 3 4" xfId="5020" xr:uid="{00000000-0005-0000-0000-0000FF040000}"/>
    <cellStyle name="Normal 10 2 3 2 3 4 2" xfId="52861" xr:uid="{00000000-0005-0000-0000-000000050000}"/>
    <cellStyle name="Normal 10 2 3 2 3 4 3" xfId="36761" xr:uid="{00000000-0005-0000-0000-000001050000}"/>
    <cellStyle name="Normal 10 2 3 2 3 4 4" xfId="17625" xr:uid="{00000000-0005-0000-0000-000002050000}"/>
    <cellStyle name="Normal 10 2 3 2 3 5" xfId="43294" xr:uid="{00000000-0005-0000-0000-000003050000}"/>
    <cellStyle name="Normal 10 2 3 2 3 6" xfId="27194" xr:uid="{00000000-0005-0000-0000-000004050000}"/>
    <cellStyle name="Normal 10 2 3 2 3 7" xfId="14130" xr:uid="{00000000-0005-0000-0000-000005050000}"/>
    <cellStyle name="Normal 10 2 3 2 4" xfId="7046" xr:uid="{00000000-0005-0000-0000-000006050000}"/>
    <cellStyle name="Normal 10 2 3 2 4 2" xfId="38787" xr:uid="{00000000-0005-0000-0000-000007050000}"/>
    <cellStyle name="Normal 10 2 3 2 4 2 2" xfId="54887" xr:uid="{00000000-0005-0000-0000-000008050000}"/>
    <cellStyle name="Normal 10 2 3 2 4 3" xfId="45320" xr:uid="{00000000-0005-0000-0000-000009050000}"/>
    <cellStyle name="Normal 10 2 3 2 4 4" xfId="29220" xr:uid="{00000000-0005-0000-0000-00000A050000}"/>
    <cellStyle name="Normal 10 2 3 2 4 5" xfId="19651" xr:uid="{00000000-0005-0000-0000-00000B050000}"/>
    <cellStyle name="Normal 10 2 3 2 5" xfId="10082" xr:uid="{00000000-0005-0000-0000-00000C050000}"/>
    <cellStyle name="Normal 10 2 3 2 5 2" xfId="48356" xr:uid="{00000000-0005-0000-0000-00000D050000}"/>
    <cellStyle name="Normal 10 2 3 2 5 3" xfId="32256" xr:uid="{00000000-0005-0000-0000-00000E050000}"/>
    <cellStyle name="Normal 10 2 3 2 5 4" xfId="22687" xr:uid="{00000000-0005-0000-0000-00000F050000}"/>
    <cellStyle name="Normal 10 2 3 2 6" xfId="4010" xr:uid="{00000000-0005-0000-0000-000010050000}"/>
    <cellStyle name="Normal 10 2 3 2 6 2" xfId="51851" xr:uid="{00000000-0005-0000-0000-000011050000}"/>
    <cellStyle name="Normal 10 2 3 2 6 3" xfId="35751" xr:uid="{00000000-0005-0000-0000-000012050000}"/>
    <cellStyle name="Normal 10 2 3 2 6 4" xfId="16615" xr:uid="{00000000-0005-0000-0000-000013050000}"/>
    <cellStyle name="Normal 10 2 3 2 7" xfId="42284" xr:uid="{00000000-0005-0000-0000-000014050000}"/>
    <cellStyle name="Normal 10 2 3 2 8" xfId="26184" xr:uid="{00000000-0005-0000-0000-000015050000}"/>
    <cellStyle name="Normal 10 2 3 2 9" xfId="13120" xr:uid="{00000000-0005-0000-0000-000016050000}"/>
    <cellStyle name="Normal 10 2 3 3" xfId="983" xr:uid="{00000000-0005-0000-0000-000017050000}"/>
    <cellStyle name="Normal 10 2 3 3 2" xfId="3011" xr:uid="{00000000-0005-0000-0000-000018050000}"/>
    <cellStyle name="Normal 10 2 3 3 2 2" xfId="9543" xr:uid="{00000000-0005-0000-0000-000019050000}"/>
    <cellStyle name="Normal 10 2 3 3 2 2 2" xfId="41284" xr:uid="{00000000-0005-0000-0000-00001A050000}"/>
    <cellStyle name="Normal 10 2 3 3 2 2 2 2" xfId="57384" xr:uid="{00000000-0005-0000-0000-00001B050000}"/>
    <cellStyle name="Normal 10 2 3 3 2 2 3" xfId="47817" xr:uid="{00000000-0005-0000-0000-00001C050000}"/>
    <cellStyle name="Normal 10 2 3 3 2 2 4" xfId="31717" xr:uid="{00000000-0005-0000-0000-00001D050000}"/>
    <cellStyle name="Normal 10 2 3 3 2 2 5" xfId="22148" xr:uid="{00000000-0005-0000-0000-00001E050000}"/>
    <cellStyle name="Normal 10 2 3 3 2 3" xfId="12579" xr:uid="{00000000-0005-0000-0000-00001F050000}"/>
    <cellStyle name="Normal 10 2 3 3 2 3 2" xfId="50853" xr:uid="{00000000-0005-0000-0000-000020050000}"/>
    <cellStyle name="Normal 10 2 3 3 2 3 3" xfId="34753" xr:uid="{00000000-0005-0000-0000-000021050000}"/>
    <cellStyle name="Normal 10 2 3 3 2 3 4" xfId="25184" xr:uid="{00000000-0005-0000-0000-000022050000}"/>
    <cellStyle name="Normal 10 2 3 3 2 4" xfId="6507" xr:uid="{00000000-0005-0000-0000-000023050000}"/>
    <cellStyle name="Normal 10 2 3 3 2 4 2" xfId="54348" xr:uid="{00000000-0005-0000-0000-000024050000}"/>
    <cellStyle name="Normal 10 2 3 3 2 4 3" xfId="38248" xr:uid="{00000000-0005-0000-0000-000025050000}"/>
    <cellStyle name="Normal 10 2 3 3 2 4 4" xfId="19112" xr:uid="{00000000-0005-0000-0000-000026050000}"/>
    <cellStyle name="Normal 10 2 3 3 2 5" xfId="44781" xr:uid="{00000000-0005-0000-0000-000027050000}"/>
    <cellStyle name="Normal 10 2 3 3 2 6" xfId="28681" xr:uid="{00000000-0005-0000-0000-000028050000}"/>
    <cellStyle name="Normal 10 2 3 3 2 7" xfId="15617" xr:uid="{00000000-0005-0000-0000-000029050000}"/>
    <cellStyle name="Normal 10 2 3 3 3" xfId="1993" xr:uid="{00000000-0005-0000-0000-00002A050000}"/>
    <cellStyle name="Normal 10 2 3 3 3 2" xfId="8527" xr:uid="{00000000-0005-0000-0000-00002B050000}"/>
    <cellStyle name="Normal 10 2 3 3 3 2 2" xfId="40268" xr:uid="{00000000-0005-0000-0000-00002C050000}"/>
    <cellStyle name="Normal 10 2 3 3 3 2 2 2" xfId="56368" xr:uid="{00000000-0005-0000-0000-00002D050000}"/>
    <cellStyle name="Normal 10 2 3 3 3 2 3" xfId="46801" xr:uid="{00000000-0005-0000-0000-00002E050000}"/>
    <cellStyle name="Normal 10 2 3 3 3 2 4" xfId="30701" xr:uid="{00000000-0005-0000-0000-00002F050000}"/>
    <cellStyle name="Normal 10 2 3 3 3 2 5" xfId="21132" xr:uid="{00000000-0005-0000-0000-000030050000}"/>
    <cellStyle name="Normal 10 2 3 3 3 3" xfId="11563" xr:uid="{00000000-0005-0000-0000-000031050000}"/>
    <cellStyle name="Normal 10 2 3 3 3 3 2" xfId="49837" xr:uid="{00000000-0005-0000-0000-000032050000}"/>
    <cellStyle name="Normal 10 2 3 3 3 3 3" xfId="33737" xr:uid="{00000000-0005-0000-0000-000033050000}"/>
    <cellStyle name="Normal 10 2 3 3 3 3 4" xfId="24168" xr:uid="{00000000-0005-0000-0000-000034050000}"/>
    <cellStyle name="Normal 10 2 3 3 3 4" xfId="5491" xr:uid="{00000000-0005-0000-0000-000035050000}"/>
    <cellStyle name="Normal 10 2 3 3 3 4 2" xfId="53332" xr:uid="{00000000-0005-0000-0000-000036050000}"/>
    <cellStyle name="Normal 10 2 3 3 3 4 3" xfId="37232" xr:uid="{00000000-0005-0000-0000-000037050000}"/>
    <cellStyle name="Normal 10 2 3 3 3 4 4" xfId="18096" xr:uid="{00000000-0005-0000-0000-000038050000}"/>
    <cellStyle name="Normal 10 2 3 3 3 5" xfId="43765" xr:uid="{00000000-0005-0000-0000-000039050000}"/>
    <cellStyle name="Normal 10 2 3 3 3 6" xfId="27665" xr:uid="{00000000-0005-0000-0000-00003A050000}"/>
    <cellStyle name="Normal 10 2 3 3 3 7" xfId="14601" xr:uid="{00000000-0005-0000-0000-00003B050000}"/>
    <cellStyle name="Normal 10 2 3 3 4" xfId="7517" xr:uid="{00000000-0005-0000-0000-00003C050000}"/>
    <cellStyle name="Normal 10 2 3 3 4 2" xfId="39258" xr:uid="{00000000-0005-0000-0000-00003D050000}"/>
    <cellStyle name="Normal 10 2 3 3 4 2 2" xfId="55358" xr:uid="{00000000-0005-0000-0000-00003E050000}"/>
    <cellStyle name="Normal 10 2 3 3 4 3" xfId="45791" xr:uid="{00000000-0005-0000-0000-00003F050000}"/>
    <cellStyle name="Normal 10 2 3 3 4 4" xfId="29691" xr:uid="{00000000-0005-0000-0000-000040050000}"/>
    <cellStyle name="Normal 10 2 3 3 4 5" xfId="20122" xr:uid="{00000000-0005-0000-0000-000041050000}"/>
    <cellStyle name="Normal 10 2 3 3 5" xfId="10553" xr:uid="{00000000-0005-0000-0000-000042050000}"/>
    <cellStyle name="Normal 10 2 3 3 5 2" xfId="48827" xr:uid="{00000000-0005-0000-0000-000043050000}"/>
    <cellStyle name="Normal 10 2 3 3 5 3" xfId="32727" xr:uid="{00000000-0005-0000-0000-000044050000}"/>
    <cellStyle name="Normal 10 2 3 3 5 4" xfId="23158" xr:uid="{00000000-0005-0000-0000-000045050000}"/>
    <cellStyle name="Normal 10 2 3 3 6" xfId="4481" xr:uid="{00000000-0005-0000-0000-000046050000}"/>
    <cellStyle name="Normal 10 2 3 3 6 2" xfId="52322" xr:uid="{00000000-0005-0000-0000-000047050000}"/>
    <cellStyle name="Normal 10 2 3 3 6 3" xfId="36222" xr:uid="{00000000-0005-0000-0000-000048050000}"/>
    <cellStyle name="Normal 10 2 3 3 6 4" xfId="17086" xr:uid="{00000000-0005-0000-0000-000049050000}"/>
    <cellStyle name="Normal 10 2 3 3 7" xfId="42755" xr:uid="{00000000-0005-0000-0000-00004A050000}"/>
    <cellStyle name="Normal 10 2 3 3 8" xfId="26655" xr:uid="{00000000-0005-0000-0000-00004B050000}"/>
    <cellStyle name="Normal 10 2 3 3 9" xfId="13591" xr:uid="{00000000-0005-0000-0000-00004C050000}"/>
    <cellStyle name="Normal 10 2 3 4" xfId="2133" xr:uid="{00000000-0005-0000-0000-00004D050000}"/>
    <cellStyle name="Normal 10 2 3 4 2" xfId="8667" xr:uid="{00000000-0005-0000-0000-00004E050000}"/>
    <cellStyle name="Normal 10 2 3 4 2 2" xfId="40408" xr:uid="{00000000-0005-0000-0000-00004F050000}"/>
    <cellStyle name="Normal 10 2 3 4 2 2 2" xfId="56508" xr:uid="{00000000-0005-0000-0000-000050050000}"/>
    <cellStyle name="Normal 10 2 3 4 2 3" xfId="46941" xr:uid="{00000000-0005-0000-0000-000051050000}"/>
    <cellStyle name="Normal 10 2 3 4 2 4" xfId="30841" xr:uid="{00000000-0005-0000-0000-000052050000}"/>
    <cellStyle name="Normal 10 2 3 4 2 5" xfId="21272" xr:uid="{00000000-0005-0000-0000-000053050000}"/>
    <cellStyle name="Normal 10 2 3 4 3" xfId="11703" xr:uid="{00000000-0005-0000-0000-000054050000}"/>
    <cellStyle name="Normal 10 2 3 4 3 2" xfId="49977" xr:uid="{00000000-0005-0000-0000-000055050000}"/>
    <cellStyle name="Normal 10 2 3 4 3 3" xfId="33877" xr:uid="{00000000-0005-0000-0000-000056050000}"/>
    <cellStyle name="Normal 10 2 3 4 3 4" xfId="24308" xr:uid="{00000000-0005-0000-0000-000057050000}"/>
    <cellStyle name="Normal 10 2 3 4 4" xfId="5631" xr:uid="{00000000-0005-0000-0000-000058050000}"/>
    <cellStyle name="Normal 10 2 3 4 4 2" xfId="53472" xr:uid="{00000000-0005-0000-0000-000059050000}"/>
    <cellStyle name="Normal 10 2 3 4 4 3" xfId="37372" xr:uid="{00000000-0005-0000-0000-00005A050000}"/>
    <cellStyle name="Normal 10 2 3 4 4 4" xfId="18236" xr:uid="{00000000-0005-0000-0000-00005B050000}"/>
    <cellStyle name="Normal 10 2 3 4 5" xfId="43905" xr:uid="{00000000-0005-0000-0000-00005C050000}"/>
    <cellStyle name="Normal 10 2 3 4 6" xfId="27805" xr:uid="{00000000-0005-0000-0000-00005D050000}"/>
    <cellStyle name="Normal 10 2 3 4 7" xfId="14741" xr:uid="{00000000-0005-0000-0000-00005E050000}"/>
    <cellStyle name="Normal 10 2 3 5" xfId="1345" xr:uid="{00000000-0005-0000-0000-00005F050000}"/>
    <cellStyle name="Normal 10 2 3 5 2" xfId="7879" xr:uid="{00000000-0005-0000-0000-000060050000}"/>
    <cellStyle name="Normal 10 2 3 5 2 2" xfId="39620" xr:uid="{00000000-0005-0000-0000-000061050000}"/>
    <cellStyle name="Normal 10 2 3 5 2 2 2" xfId="55720" xr:uid="{00000000-0005-0000-0000-000062050000}"/>
    <cellStyle name="Normal 10 2 3 5 2 3" xfId="46153" xr:uid="{00000000-0005-0000-0000-000063050000}"/>
    <cellStyle name="Normal 10 2 3 5 2 4" xfId="30053" xr:uid="{00000000-0005-0000-0000-000064050000}"/>
    <cellStyle name="Normal 10 2 3 5 2 5" xfId="20484" xr:uid="{00000000-0005-0000-0000-000065050000}"/>
    <cellStyle name="Normal 10 2 3 5 3" xfId="10915" xr:uid="{00000000-0005-0000-0000-000066050000}"/>
    <cellStyle name="Normal 10 2 3 5 3 2" xfId="49189" xr:uid="{00000000-0005-0000-0000-000067050000}"/>
    <cellStyle name="Normal 10 2 3 5 3 3" xfId="33089" xr:uid="{00000000-0005-0000-0000-000068050000}"/>
    <cellStyle name="Normal 10 2 3 5 3 4" xfId="23520" xr:uid="{00000000-0005-0000-0000-000069050000}"/>
    <cellStyle name="Normal 10 2 3 5 4" xfId="4843" xr:uid="{00000000-0005-0000-0000-00006A050000}"/>
    <cellStyle name="Normal 10 2 3 5 4 2" xfId="52684" xr:uid="{00000000-0005-0000-0000-00006B050000}"/>
    <cellStyle name="Normal 10 2 3 5 4 3" xfId="36584" xr:uid="{00000000-0005-0000-0000-00006C050000}"/>
    <cellStyle name="Normal 10 2 3 5 4 4" xfId="17448" xr:uid="{00000000-0005-0000-0000-00006D050000}"/>
    <cellStyle name="Normal 10 2 3 5 5" xfId="43117" xr:uid="{00000000-0005-0000-0000-00006E050000}"/>
    <cellStyle name="Normal 10 2 3 5 6" xfId="27017" xr:uid="{00000000-0005-0000-0000-00006F050000}"/>
    <cellStyle name="Normal 10 2 3 5 7" xfId="13953" xr:uid="{00000000-0005-0000-0000-000070050000}"/>
    <cellStyle name="Normal 10 2 3 6" xfId="3833" xr:uid="{00000000-0005-0000-0000-000071050000}"/>
    <cellStyle name="Normal 10 2 3 6 2" xfId="35574" xr:uid="{00000000-0005-0000-0000-000072050000}"/>
    <cellStyle name="Normal 10 2 3 6 2 2" xfId="51674" xr:uid="{00000000-0005-0000-0000-000073050000}"/>
    <cellStyle name="Normal 10 2 3 6 3" xfId="42107" xr:uid="{00000000-0005-0000-0000-000074050000}"/>
    <cellStyle name="Normal 10 2 3 6 4" xfId="26007" xr:uid="{00000000-0005-0000-0000-000075050000}"/>
    <cellStyle name="Normal 10 2 3 6 5" xfId="16438" xr:uid="{00000000-0005-0000-0000-000076050000}"/>
    <cellStyle name="Normal 10 2 3 7" xfId="6869" xr:uid="{00000000-0005-0000-0000-000077050000}"/>
    <cellStyle name="Normal 10 2 3 7 2" xfId="38610" xr:uid="{00000000-0005-0000-0000-000078050000}"/>
    <cellStyle name="Normal 10 2 3 7 2 2" xfId="54710" xr:uid="{00000000-0005-0000-0000-000079050000}"/>
    <cellStyle name="Normal 10 2 3 7 3" xfId="45143" xr:uid="{00000000-0005-0000-0000-00007A050000}"/>
    <cellStyle name="Normal 10 2 3 7 4" xfId="29043" xr:uid="{00000000-0005-0000-0000-00007B050000}"/>
    <cellStyle name="Normal 10 2 3 7 5" xfId="19474" xr:uid="{00000000-0005-0000-0000-00007C050000}"/>
    <cellStyle name="Normal 10 2 3 8" xfId="9905" xr:uid="{00000000-0005-0000-0000-00007D050000}"/>
    <cellStyle name="Normal 10 2 3 8 2" xfId="48179" xr:uid="{00000000-0005-0000-0000-00007E050000}"/>
    <cellStyle name="Normal 10 2 3 8 3" xfId="32079" xr:uid="{00000000-0005-0000-0000-00007F050000}"/>
    <cellStyle name="Normal 10 2 3 8 4" xfId="22510" xr:uid="{00000000-0005-0000-0000-000080050000}"/>
    <cellStyle name="Normal 10 2 3 9" xfId="3354" xr:uid="{00000000-0005-0000-0000-000081050000}"/>
    <cellStyle name="Normal 10 2 3 9 2" xfId="51195" xr:uid="{00000000-0005-0000-0000-000082050000}"/>
    <cellStyle name="Normal 10 2 3 9 3" xfId="35095" xr:uid="{00000000-0005-0000-0000-000083050000}"/>
    <cellStyle name="Normal 10 2 3 9 4" xfId="15959" xr:uid="{00000000-0005-0000-0000-000084050000}"/>
    <cellStyle name="Normal 10 2 4" xfId="185" xr:uid="{00000000-0005-0000-0000-000085050000}"/>
    <cellStyle name="Normal 10 2 4 10" xfId="26078" xr:uid="{00000000-0005-0000-0000-000086050000}"/>
    <cellStyle name="Normal 10 2 4 11" xfId="13014" xr:uid="{00000000-0005-0000-0000-000087050000}"/>
    <cellStyle name="Normal 10 2 4 2" xfId="362" xr:uid="{00000000-0005-0000-0000-000088050000}"/>
    <cellStyle name="Normal 10 2 4 2 2" xfId="2381" xr:uid="{00000000-0005-0000-0000-000089050000}"/>
    <cellStyle name="Normal 10 2 4 2 2 2" xfId="8915" xr:uid="{00000000-0005-0000-0000-00008A050000}"/>
    <cellStyle name="Normal 10 2 4 2 2 2 2" xfId="40656" xr:uid="{00000000-0005-0000-0000-00008B050000}"/>
    <cellStyle name="Normal 10 2 4 2 2 2 2 2" xfId="56756" xr:uid="{00000000-0005-0000-0000-00008C050000}"/>
    <cellStyle name="Normal 10 2 4 2 2 2 3" xfId="47189" xr:uid="{00000000-0005-0000-0000-00008D050000}"/>
    <cellStyle name="Normal 10 2 4 2 2 2 4" xfId="31089" xr:uid="{00000000-0005-0000-0000-00008E050000}"/>
    <cellStyle name="Normal 10 2 4 2 2 2 5" xfId="21520" xr:uid="{00000000-0005-0000-0000-00008F050000}"/>
    <cellStyle name="Normal 10 2 4 2 2 3" xfId="11951" xr:uid="{00000000-0005-0000-0000-000090050000}"/>
    <cellStyle name="Normal 10 2 4 2 2 3 2" xfId="50225" xr:uid="{00000000-0005-0000-0000-000091050000}"/>
    <cellStyle name="Normal 10 2 4 2 2 3 3" xfId="34125" xr:uid="{00000000-0005-0000-0000-000092050000}"/>
    <cellStyle name="Normal 10 2 4 2 2 3 4" xfId="24556" xr:uid="{00000000-0005-0000-0000-000093050000}"/>
    <cellStyle name="Normal 10 2 4 2 2 4" xfId="5879" xr:uid="{00000000-0005-0000-0000-000094050000}"/>
    <cellStyle name="Normal 10 2 4 2 2 4 2" xfId="53720" xr:uid="{00000000-0005-0000-0000-000095050000}"/>
    <cellStyle name="Normal 10 2 4 2 2 4 3" xfId="37620" xr:uid="{00000000-0005-0000-0000-000096050000}"/>
    <cellStyle name="Normal 10 2 4 2 2 4 4" xfId="18484" xr:uid="{00000000-0005-0000-0000-000097050000}"/>
    <cellStyle name="Normal 10 2 4 2 2 5" xfId="44153" xr:uid="{00000000-0005-0000-0000-000098050000}"/>
    <cellStyle name="Normal 10 2 4 2 2 6" xfId="28053" xr:uid="{00000000-0005-0000-0000-000099050000}"/>
    <cellStyle name="Normal 10 2 4 2 2 7" xfId="14989" xr:uid="{00000000-0005-0000-0000-00009A050000}"/>
    <cellStyle name="Normal 10 2 4 2 3" xfId="1593" xr:uid="{00000000-0005-0000-0000-00009B050000}"/>
    <cellStyle name="Normal 10 2 4 2 3 2" xfId="8127" xr:uid="{00000000-0005-0000-0000-00009C050000}"/>
    <cellStyle name="Normal 10 2 4 2 3 2 2" xfId="39868" xr:uid="{00000000-0005-0000-0000-00009D050000}"/>
    <cellStyle name="Normal 10 2 4 2 3 2 2 2" xfId="55968" xr:uid="{00000000-0005-0000-0000-00009E050000}"/>
    <cellStyle name="Normal 10 2 4 2 3 2 3" xfId="46401" xr:uid="{00000000-0005-0000-0000-00009F050000}"/>
    <cellStyle name="Normal 10 2 4 2 3 2 4" xfId="30301" xr:uid="{00000000-0005-0000-0000-0000A0050000}"/>
    <cellStyle name="Normal 10 2 4 2 3 2 5" xfId="20732" xr:uid="{00000000-0005-0000-0000-0000A1050000}"/>
    <cellStyle name="Normal 10 2 4 2 3 3" xfId="11163" xr:uid="{00000000-0005-0000-0000-0000A2050000}"/>
    <cellStyle name="Normal 10 2 4 2 3 3 2" xfId="49437" xr:uid="{00000000-0005-0000-0000-0000A3050000}"/>
    <cellStyle name="Normal 10 2 4 2 3 3 3" xfId="33337" xr:uid="{00000000-0005-0000-0000-0000A4050000}"/>
    <cellStyle name="Normal 10 2 4 2 3 3 4" xfId="23768" xr:uid="{00000000-0005-0000-0000-0000A5050000}"/>
    <cellStyle name="Normal 10 2 4 2 3 4" xfId="5091" xr:uid="{00000000-0005-0000-0000-0000A6050000}"/>
    <cellStyle name="Normal 10 2 4 2 3 4 2" xfId="52932" xr:uid="{00000000-0005-0000-0000-0000A7050000}"/>
    <cellStyle name="Normal 10 2 4 2 3 4 3" xfId="36832" xr:uid="{00000000-0005-0000-0000-0000A8050000}"/>
    <cellStyle name="Normal 10 2 4 2 3 4 4" xfId="17696" xr:uid="{00000000-0005-0000-0000-0000A9050000}"/>
    <cellStyle name="Normal 10 2 4 2 3 5" xfId="43365" xr:uid="{00000000-0005-0000-0000-0000AA050000}"/>
    <cellStyle name="Normal 10 2 4 2 3 6" xfId="27265" xr:uid="{00000000-0005-0000-0000-0000AB050000}"/>
    <cellStyle name="Normal 10 2 4 2 3 7" xfId="14201" xr:uid="{00000000-0005-0000-0000-0000AC050000}"/>
    <cellStyle name="Normal 10 2 4 2 4" xfId="7117" xr:uid="{00000000-0005-0000-0000-0000AD050000}"/>
    <cellStyle name="Normal 10 2 4 2 4 2" xfId="38858" xr:uid="{00000000-0005-0000-0000-0000AE050000}"/>
    <cellStyle name="Normal 10 2 4 2 4 2 2" xfId="54958" xr:uid="{00000000-0005-0000-0000-0000AF050000}"/>
    <cellStyle name="Normal 10 2 4 2 4 3" xfId="45391" xr:uid="{00000000-0005-0000-0000-0000B0050000}"/>
    <cellStyle name="Normal 10 2 4 2 4 4" xfId="29291" xr:uid="{00000000-0005-0000-0000-0000B1050000}"/>
    <cellStyle name="Normal 10 2 4 2 4 5" xfId="19722" xr:uid="{00000000-0005-0000-0000-0000B2050000}"/>
    <cellStyle name="Normal 10 2 4 2 5" xfId="10153" xr:uid="{00000000-0005-0000-0000-0000B3050000}"/>
    <cellStyle name="Normal 10 2 4 2 5 2" xfId="48427" xr:uid="{00000000-0005-0000-0000-0000B4050000}"/>
    <cellStyle name="Normal 10 2 4 2 5 3" xfId="32327" xr:uid="{00000000-0005-0000-0000-0000B5050000}"/>
    <cellStyle name="Normal 10 2 4 2 5 4" xfId="22758" xr:uid="{00000000-0005-0000-0000-0000B6050000}"/>
    <cellStyle name="Normal 10 2 4 2 6" xfId="4081" xr:uid="{00000000-0005-0000-0000-0000B7050000}"/>
    <cellStyle name="Normal 10 2 4 2 6 2" xfId="51922" xr:uid="{00000000-0005-0000-0000-0000B8050000}"/>
    <cellStyle name="Normal 10 2 4 2 6 3" xfId="35822" xr:uid="{00000000-0005-0000-0000-0000B9050000}"/>
    <cellStyle name="Normal 10 2 4 2 6 4" xfId="16686" xr:uid="{00000000-0005-0000-0000-0000BA050000}"/>
    <cellStyle name="Normal 10 2 4 2 7" xfId="42355" xr:uid="{00000000-0005-0000-0000-0000BB050000}"/>
    <cellStyle name="Normal 10 2 4 2 8" xfId="26255" xr:uid="{00000000-0005-0000-0000-0000BC050000}"/>
    <cellStyle name="Normal 10 2 4 2 9" xfId="13191" xr:uid="{00000000-0005-0000-0000-0000BD050000}"/>
    <cellStyle name="Normal 10 2 4 3" xfId="1002" xr:uid="{00000000-0005-0000-0000-0000BE050000}"/>
    <cellStyle name="Normal 10 2 4 3 2" xfId="3030" xr:uid="{00000000-0005-0000-0000-0000BF050000}"/>
    <cellStyle name="Normal 10 2 4 3 2 2" xfId="9562" xr:uid="{00000000-0005-0000-0000-0000C0050000}"/>
    <cellStyle name="Normal 10 2 4 3 2 2 2" xfId="41303" xr:uid="{00000000-0005-0000-0000-0000C1050000}"/>
    <cellStyle name="Normal 10 2 4 3 2 2 2 2" xfId="57403" xr:uid="{00000000-0005-0000-0000-0000C2050000}"/>
    <cellStyle name="Normal 10 2 4 3 2 2 3" xfId="47836" xr:uid="{00000000-0005-0000-0000-0000C3050000}"/>
    <cellStyle name="Normal 10 2 4 3 2 2 4" xfId="31736" xr:uid="{00000000-0005-0000-0000-0000C4050000}"/>
    <cellStyle name="Normal 10 2 4 3 2 2 5" xfId="22167" xr:uid="{00000000-0005-0000-0000-0000C5050000}"/>
    <cellStyle name="Normal 10 2 4 3 2 3" xfId="12598" xr:uid="{00000000-0005-0000-0000-0000C6050000}"/>
    <cellStyle name="Normal 10 2 4 3 2 3 2" xfId="50872" xr:uid="{00000000-0005-0000-0000-0000C7050000}"/>
    <cellStyle name="Normal 10 2 4 3 2 3 3" xfId="34772" xr:uid="{00000000-0005-0000-0000-0000C8050000}"/>
    <cellStyle name="Normal 10 2 4 3 2 3 4" xfId="25203" xr:uid="{00000000-0005-0000-0000-0000C9050000}"/>
    <cellStyle name="Normal 10 2 4 3 2 4" xfId="6526" xr:uid="{00000000-0005-0000-0000-0000CA050000}"/>
    <cellStyle name="Normal 10 2 4 3 2 4 2" xfId="54367" xr:uid="{00000000-0005-0000-0000-0000CB050000}"/>
    <cellStyle name="Normal 10 2 4 3 2 4 3" xfId="38267" xr:uid="{00000000-0005-0000-0000-0000CC050000}"/>
    <cellStyle name="Normal 10 2 4 3 2 4 4" xfId="19131" xr:uid="{00000000-0005-0000-0000-0000CD050000}"/>
    <cellStyle name="Normal 10 2 4 3 2 5" xfId="44800" xr:uid="{00000000-0005-0000-0000-0000CE050000}"/>
    <cellStyle name="Normal 10 2 4 3 2 6" xfId="28700" xr:uid="{00000000-0005-0000-0000-0000CF050000}"/>
    <cellStyle name="Normal 10 2 4 3 2 7" xfId="15636" xr:uid="{00000000-0005-0000-0000-0000D0050000}"/>
    <cellStyle name="Normal 10 2 4 3 3" xfId="2012" xr:uid="{00000000-0005-0000-0000-0000D1050000}"/>
    <cellStyle name="Normal 10 2 4 3 3 2" xfId="8546" xr:uid="{00000000-0005-0000-0000-0000D2050000}"/>
    <cellStyle name="Normal 10 2 4 3 3 2 2" xfId="40287" xr:uid="{00000000-0005-0000-0000-0000D3050000}"/>
    <cellStyle name="Normal 10 2 4 3 3 2 2 2" xfId="56387" xr:uid="{00000000-0005-0000-0000-0000D4050000}"/>
    <cellStyle name="Normal 10 2 4 3 3 2 3" xfId="46820" xr:uid="{00000000-0005-0000-0000-0000D5050000}"/>
    <cellStyle name="Normal 10 2 4 3 3 2 4" xfId="30720" xr:uid="{00000000-0005-0000-0000-0000D6050000}"/>
    <cellStyle name="Normal 10 2 4 3 3 2 5" xfId="21151" xr:uid="{00000000-0005-0000-0000-0000D7050000}"/>
    <cellStyle name="Normal 10 2 4 3 3 3" xfId="11582" xr:uid="{00000000-0005-0000-0000-0000D8050000}"/>
    <cellStyle name="Normal 10 2 4 3 3 3 2" xfId="49856" xr:uid="{00000000-0005-0000-0000-0000D9050000}"/>
    <cellStyle name="Normal 10 2 4 3 3 3 3" xfId="33756" xr:uid="{00000000-0005-0000-0000-0000DA050000}"/>
    <cellStyle name="Normal 10 2 4 3 3 3 4" xfId="24187" xr:uid="{00000000-0005-0000-0000-0000DB050000}"/>
    <cellStyle name="Normal 10 2 4 3 3 4" xfId="5510" xr:uid="{00000000-0005-0000-0000-0000DC050000}"/>
    <cellStyle name="Normal 10 2 4 3 3 4 2" xfId="53351" xr:uid="{00000000-0005-0000-0000-0000DD050000}"/>
    <cellStyle name="Normal 10 2 4 3 3 4 3" xfId="37251" xr:uid="{00000000-0005-0000-0000-0000DE050000}"/>
    <cellStyle name="Normal 10 2 4 3 3 4 4" xfId="18115" xr:uid="{00000000-0005-0000-0000-0000DF050000}"/>
    <cellStyle name="Normal 10 2 4 3 3 5" xfId="43784" xr:uid="{00000000-0005-0000-0000-0000E0050000}"/>
    <cellStyle name="Normal 10 2 4 3 3 6" xfId="27684" xr:uid="{00000000-0005-0000-0000-0000E1050000}"/>
    <cellStyle name="Normal 10 2 4 3 3 7" xfId="14620" xr:uid="{00000000-0005-0000-0000-0000E2050000}"/>
    <cellStyle name="Normal 10 2 4 3 4" xfId="7536" xr:uid="{00000000-0005-0000-0000-0000E3050000}"/>
    <cellStyle name="Normal 10 2 4 3 4 2" xfId="39277" xr:uid="{00000000-0005-0000-0000-0000E4050000}"/>
    <cellStyle name="Normal 10 2 4 3 4 2 2" xfId="55377" xr:uid="{00000000-0005-0000-0000-0000E5050000}"/>
    <cellStyle name="Normal 10 2 4 3 4 3" xfId="45810" xr:uid="{00000000-0005-0000-0000-0000E6050000}"/>
    <cellStyle name="Normal 10 2 4 3 4 4" xfId="29710" xr:uid="{00000000-0005-0000-0000-0000E7050000}"/>
    <cellStyle name="Normal 10 2 4 3 4 5" xfId="20141" xr:uid="{00000000-0005-0000-0000-0000E8050000}"/>
    <cellStyle name="Normal 10 2 4 3 5" xfId="10572" xr:uid="{00000000-0005-0000-0000-0000E9050000}"/>
    <cellStyle name="Normal 10 2 4 3 5 2" xfId="48846" xr:uid="{00000000-0005-0000-0000-0000EA050000}"/>
    <cellStyle name="Normal 10 2 4 3 5 3" xfId="32746" xr:uid="{00000000-0005-0000-0000-0000EB050000}"/>
    <cellStyle name="Normal 10 2 4 3 5 4" xfId="23177" xr:uid="{00000000-0005-0000-0000-0000EC050000}"/>
    <cellStyle name="Normal 10 2 4 3 6" xfId="4500" xr:uid="{00000000-0005-0000-0000-0000ED050000}"/>
    <cellStyle name="Normal 10 2 4 3 6 2" xfId="52341" xr:uid="{00000000-0005-0000-0000-0000EE050000}"/>
    <cellStyle name="Normal 10 2 4 3 6 3" xfId="36241" xr:uid="{00000000-0005-0000-0000-0000EF050000}"/>
    <cellStyle name="Normal 10 2 4 3 6 4" xfId="17105" xr:uid="{00000000-0005-0000-0000-0000F0050000}"/>
    <cellStyle name="Normal 10 2 4 3 7" xfId="42774" xr:uid="{00000000-0005-0000-0000-0000F1050000}"/>
    <cellStyle name="Normal 10 2 4 3 8" xfId="26674" xr:uid="{00000000-0005-0000-0000-0000F2050000}"/>
    <cellStyle name="Normal 10 2 4 3 9" xfId="13610" xr:uid="{00000000-0005-0000-0000-0000F3050000}"/>
    <cellStyle name="Normal 10 2 4 4" xfId="2204" xr:uid="{00000000-0005-0000-0000-0000F4050000}"/>
    <cellStyle name="Normal 10 2 4 4 2" xfId="8738" xr:uid="{00000000-0005-0000-0000-0000F5050000}"/>
    <cellStyle name="Normal 10 2 4 4 2 2" xfId="40479" xr:uid="{00000000-0005-0000-0000-0000F6050000}"/>
    <cellStyle name="Normal 10 2 4 4 2 2 2" xfId="56579" xr:uid="{00000000-0005-0000-0000-0000F7050000}"/>
    <cellStyle name="Normal 10 2 4 4 2 3" xfId="47012" xr:uid="{00000000-0005-0000-0000-0000F8050000}"/>
    <cellStyle name="Normal 10 2 4 4 2 4" xfId="30912" xr:uid="{00000000-0005-0000-0000-0000F9050000}"/>
    <cellStyle name="Normal 10 2 4 4 2 5" xfId="21343" xr:uid="{00000000-0005-0000-0000-0000FA050000}"/>
    <cellStyle name="Normal 10 2 4 4 3" xfId="11774" xr:uid="{00000000-0005-0000-0000-0000FB050000}"/>
    <cellStyle name="Normal 10 2 4 4 3 2" xfId="50048" xr:uid="{00000000-0005-0000-0000-0000FC050000}"/>
    <cellStyle name="Normal 10 2 4 4 3 3" xfId="33948" xr:uid="{00000000-0005-0000-0000-0000FD050000}"/>
    <cellStyle name="Normal 10 2 4 4 3 4" xfId="24379" xr:uid="{00000000-0005-0000-0000-0000FE050000}"/>
    <cellStyle name="Normal 10 2 4 4 4" xfId="5702" xr:uid="{00000000-0005-0000-0000-0000FF050000}"/>
    <cellStyle name="Normal 10 2 4 4 4 2" xfId="53543" xr:uid="{00000000-0005-0000-0000-000000060000}"/>
    <cellStyle name="Normal 10 2 4 4 4 3" xfId="37443" xr:uid="{00000000-0005-0000-0000-000001060000}"/>
    <cellStyle name="Normal 10 2 4 4 4 4" xfId="18307" xr:uid="{00000000-0005-0000-0000-000002060000}"/>
    <cellStyle name="Normal 10 2 4 4 5" xfId="43976" xr:uid="{00000000-0005-0000-0000-000003060000}"/>
    <cellStyle name="Normal 10 2 4 4 6" xfId="27876" xr:uid="{00000000-0005-0000-0000-000004060000}"/>
    <cellStyle name="Normal 10 2 4 4 7" xfId="14812" xr:uid="{00000000-0005-0000-0000-000005060000}"/>
    <cellStyle name="Normal 10 2 4 5" xfId="1416" xr:uid="{00000000-0005-0000-0000-000006060000}"/>
    <cellStyle name="Normal 10 2 4 5 2" xfId="7950" xr:uid="{00000000-0005-0000-0000-000007060000}"/>
    <cellStyle name="Normal 10 2 4 5 2 2" xfId="39691" xr:uid="{00000000-0005-0000-0000-000008060000}"/>
    <cellStyle name="Normal 10 2 4 5 2 2 2" xfId="55791" xr:uid="{00000000-0005-0000-0000-000009060000}"/>
    <cellStyle name="Normal 10 2 4 5 2 3" xfId="46224" xr:uid="{00000000-0005-0000-0000-00000A060000}"/>
    <cellStyle name="Normal 10 2 4 5 2 4" xfId="30124" xr:uid="{00000000-0005-0000-0000-00000B060000}"/>
    <cellStyle name="Normal 10 2 4 5 2 5" xfId="20555" xr:uid="{00000000-0005-0000-0000-00000C060000}"/>
    <cellStyle name="Normal 10 2 4 5 3" xfId="10986" xr:uid="{00000000-0005-0000-0000-00000D060000}"/>
    <cellStyle name="Normal 10 2 4 5 3 2" xfId="49260" xr:uid="{00000000-0005-0000-0000-00000E060000}"/>
    <cellStyle name="Normal 10 2 4 5 3 3" xfId="33160" xr:uid="{00000000-0005-0000-0000-00000F060000}"/>
    <cellStyle name="Normal 10 2 4 5 3 4" xfId="23591" xr:uid="{00000000-0005-0000-0000-000010060000}"/>
    <cellStyle name="Normal 10 2 4 5 4" xfId="4914" xr:uid="{00000000-0005-0000-0000-000011060000}"/>
    <cellStyle name="Normal 10 2 4 5 4 2" xfId="52755" xr:uid="{00000000-0005-0000-0000-000012060000}"/>
    <cellStyle name="Normal 10 2 4 5 4 3" xfId="36655" xr:uid="{00000000-0005-0000-0000-000013060000}"/>
    <cellStyle name="Normal 10 2 4 5 4 4" xfId="17519" xr:uid="{00000000-0005-0000-0000-000014060000}"/>
    <cellStyle name="Normal 10 2 4 5 5" xfId="43188" xr:uid="{00000000-0005-0000-0000-000015060000}"/>
    <cellStyle name="Normal 10 2 4 5 6" xfId="27088" xr:uid="{00000000-0005-0000-0000-000016060000}"/>
    <cellStyle name="Normal 10 2 4 5 7" xfId="14024" xr:uid="{00000000-0005-0000-0000-000017060000}"/>
    <cellStyle name="Normal 10 2 4 6" xfId="6940" xr:uid="{00000000-0005-0000-0000-000018060000}"/>
    <cellStyle name="Normal 10 2 4 6 2" xfId="38681" xr:uid="{00000000-0005-0000-0000-000019060000}"/>
    <cellStyle name="Normal 10 2 4 6 2 2" xfId="54781" xr:uid="{00000000-0005-0000-0000-00001A060000}"/>
    <cellStyle name="Normal 10 2 4 6 3" xfId="45214" xr:uid="{00000000-0005-0000-0000-00001B060000}"/>
    <cellStyle name="Normal 10 2 4 6 4" xfId="29114" xr:uid="{00000000-0005-0000-0000-00001C060000}"/>
    <cellStyle name="Normal 10 2 4 6 5" xfId="19545" xr:uid="{00000000-0005-0000-0000-00001D060000}"/>
    <cellStyle name="Normal 10 2 4 7" xfId="9976" xr:uid="{00000000-0005-0000-0000-00001E060000}"/>
    <cellStyle name="Normal 10 2 4 7 2" xfId="48250" xr:uid="{00000000-0005-0000-0000-00001F060000}"/>
    <cellStyle name="Normal 10 2 4 7 3" xfId="32150" xr:uid="{00000000-0005-0000-0000-000020060000}"/>
    <cellStyle name="Normal 10 2 4 7 4" xfId="22581" xr:uid="{00000000-0005-0000-0000-000021060000}"/>
    <cellStyle name="Normal 10 2 4 8" xfId="3904" xr:uid="{00000000-0005-0000-0000-000022060000}"/>
    <cellStyle name="Normal 10 2 4 8 2" xfId="51745" xr:uid="{00000000-0005-0000-0000-000023060000}"/>
    <cellStyle name="Normal 10 2 4 8 3" xfId="35645" xr:uid="{00000000-0005-0000-0000-000024060000}"/>
    <cellStyle name="Normal 10 2 4 8 4" xfId="16509" xr:uid="{00000000-0005-0000-0000-000025060000}"/>
    <cellStyle name="Normal 10 2 4 9" xfId="42178" xr:uid="{00000000-0005-0000-0000-000026060000}"/>
    <cellStyle name="Normal 10 2 5" xfId="256" xr:uid="{00000000-0005-0000-0000-000027060000}"/>
    <cellStyle name="Normal 10 2 5 2" xfId="2275" xr:uid="{00000000-0005-0000-0000-000028060000}"/>
    <cellStyle name="Normal 10 2 5 2 2" xfId="8809" xr:uid="{00000000-0005-0000-0000-000029060000}"/>
    <cellStyle name="Normal 10 2 5 2 2 2" xfId="40550" xr:uid="{00000000-0005-0000-0000-00002A060000}"/>
    <cellStyle name="Normal 10 2 5 2 2 2 2" xfId="56650" xr:uid="{00000000-0005-0000-0000-00002B060000}"/>
    <cellStyle name="Normal 10 2 5 2 2 3" xfId="47083" xr:uid="{00000000-0005-0000-0000-00002C060000}"/>
    <cellStyle name="Normal 10 2 5 2 2 4" xfId="30983" xr:uid="{00000000-0005-0000-0000-00002D060000}"/>
    <cellStyle name="Normal 10 2 5 2 2 5" xfId="21414" xr:uid="{00000000-0005-0000-0000-00002E060000}"/>
    <cellStyle name="Normal 10 2 5 2 3" xfId="11845" xr:uid="{00000000-0005-0000-0000-00002F060000}"/>
    <cellStyle name="Normal 10 2 5 2 3 2" xfId="50119" xr:uid="{00000000-0005-0000-0000-000030060000}"/>
    <cellStyle name="Normal 10 2 5 2 3 3" xfId="34019" xr:uid="{00000000-0005-0000-0000-000031060000}"/>
    <cellStyle name="Normal 10 2 5 2 3 4" xfId="24450" xr:uid="{00000000-0005-0000-0000-000032060000}"/>
    <cellStyle name="Normal 10 2 5 2 4" xfId="5773" xr:uid="{00000000-0005-0000-0000-000033060000}"/>
    <cellStyle name="Normal 10 2 5 2 4 2" xfId="53614" xr:uid="{00000000-0005-0000-0000-000034060000}"/>
    <cellStyle name="Normal 10 2 5 2 4 3" xfId="37514" xr:uid="{00000000-0005-0000-0000-000035060000}"/>
    <cellStyle name="Normal 10 2 5 2 4 4" xfId="18378" xr:uid="{00000000-0005-0000-0000-000036060000}"/>
    <cellStyle name="Normal 10 2 5 2 5" xfId="44047" xr:uid="{00000000-0005-0000-0000-000037060000}"/>
    <cellStyle name="Normal 10 2 5 2 6" xfId="27947" xr:uid="{00000000-0005-0000-0000-000038060000}"/>
    <cellStyle name="Normal 10 2 5 2 7" xfId="14883" xr:uid="{00000000-0005-0000-0000-000039060000}"/>
    <cellStyle name="Normal 10 2 5 3" xfId="1487" xr:uid="{00000000-0005-0000-0000-00003A060000}"/>
    <cellStyle name="Normal 10 2 5 3 2" xfId="8021" xr:uid="{00000000-0005-0000-0000-00003B060000}"/>
    <cellStyle name="Normal 10 2 5 3 2 2" xfId="39762" xr:uid="{00000000-0005-0000-0000-00003C060000}"/>
    <cellStyle name="Normal 10 2 5 3 2 2 2" xfId="55862" xr:uid="{00000000-0005-0000-0000-00003D060000}"/>
    <cellStyle name="Normal 10 2 5 3 2 3" xfId="46295" xr:uid="{00000000-0005-0000-0000-00003E060000}"/>
    <cellStyle name="Normal 10 2 5 3 2 4" xfId="30195" xr:uid="{00000000-0005-0000-0000-00003F060000}"/>
    <cellStyle name="Normal 10 2 5 3 2 5" xfId="20626" xr:uid="{00000000-0005-0000-0000-000040060000}"/>
    <cellStyle name="Normal 10 2 5 3 3" xfId="11057" xr:uid="{00000000-0005-0000-0000-000041060000}"/>
    <cellStyle name="Normal 10 2 5 3 3 2" xfId="49331" xr:uid="{00000000-0005-0000-0000-000042060000}"/>
    <cellStyle name="Normal 10 2 5 3 3 3" xfId="33231" xr:uid="{00000000-0005-0000-0000-000043060000}"/>
    <cellStyle name="Normal 10 2 5 3 3 4" xfId="23662" xr:uid="{00000000-0005-0000-0000-000044060000}"/>
    <cellStyle name="Normal 10 2 5 3 4" xfId="4985" xr:uid="{00000000-0005-0000-0000-000045060000}"/>
    <cellStyle name="Normal 10 2 5 3 4 2" xfId="52826" xr:uid="{00000000-0005-0000-0000-000046060000}"/>
    <cellStyle name="Normal 10 2 5 3 4 3" xfId="36726" xr:uid="{00000000-0005-0000-0000-000047060000}"/>
    <cellStyle name="Normal 10 2 5 3 4 4" xfId="17590" xr:uid="{00000000-0005-0000-0000-000048060000}"/>
    <cellStyle name="Normal 10 2 5 3 5" xfId="43259" xr:uid="{00000000-0005-0000-0000-000049060000}"/>
    <cellStyle name="Normal 10 2 5 3 6" xfId="27159" xr:uid="{00000000-0005-0000-0000-00004A060000}"/>
    <cellStyle name="Normal 10 2 5 3 7" xfId="14095" xr:uid="{00000000-0005-0000-0000-00004B060000}"/>
    <cellStyle name="Normal 10 2 5 4" xfId="7011" xr:uid="{00000000-0005-0000-0000-00004C060000}"/>
    <cellStyle name="Normal 10 2 5 4 2" xfId="38752" xr:uid="{00000000-0005-0000-0000-00004D060000}"/>
    <cellStyle name="Normal 10 2 5 4 2 2" xfId="54852" xr:uid="{00000000-0005-0000-0000-00004E060000}"/>
    <cellStyle name="Normal 10 2 5 4 3" xfId="45285" xr:uid="{00000000-0005-0000-0000-00004F060000}"/>
    <cellStyle name="Normal 10 2 5 4 4" xfId="29185" xr:uid="{00000000-0005-0000-0000-000050060000}"/>
    <cellStyle name="Normal 10 2 5 4 5" xfId="19616" xr:uid="{00000000-0005-0000-0000-000051060000}"/>
    <cellStyle name="Normal 10 2 5 5" xfId="10047" xr:uid="{00000000-0005-0000-0000-000052060000}"/>
    <cellStyle name="Normal 10 2 5 5 2" xfId="48321" xr:uid="{00000000-0005-0000-0000-000053060000}"/>
    <cellStyle name="Normal 10 2 5 5 3" xfId="32221" xr:uid="{00000000-0005-0000-0000-000054060000}"/>
    <cellStyle name="Normal 10 2 5 5 4" xfId="22652" xr:uid="{00000000-0005-0000-0000-000055060000}"/>
    <cellStyle name="Normal 10 2 5 6" xfId="3975" xr:uid="{00000000-0005-0000-0000-000056060000}"/>
    <cellStyle name="Normal 10 2 5 6 2" xfId="51816" xr:uid="{00000000-0005-0000-0000-000057060000}"/>
    <cellStyle name="Normal 10 2 5 6 3" xfId="35716" xr:uid="{00000000-0005-0000-0000-000058060000}"/>
    <cellStyle name="Normal 10 2 5 6 4" xfId="16580" xr:uid="{00000000-0005-0000-0000-000059060000}"/>
    <cellStyle name="Normal 10 2 5 7" xfId="42249" xr:uid="{00000000-0005-0000-0000-00005A060000}"/>
    <cellStyle name="Normal 10 2 5 8" xfId="26149" xr:uid="{00000000-0005-0000-0000-00005B060000}"/>
    <cellStyle name="Normal 10 2 5 9" xfId="13085" xr:uid="{00000000-0005-0000-0000-00005C060000}"/>
    <cellStyle name="Normal 10 2 6" xfId="531" xr:uid="{00000000-0005-0000-0000-00005D060000}"/>
    <cellStyle name="Normal 10 2 6 2" xfId="2561" xr:uid="{00000000-0005-0000-0000-00005E060000}"/>
    <cellStyle name="Normal 10 2 6 2 2" xfId="9093" xr:uid="{00000000-0005-0000-0000-00005F060000}"/>
    <cellStyle name="Normal 10 2 6 2 2 2" xfId="40834" xr:uid="{00000000-0005-0000-0000-000060060000}"/>
    <cellStyle name="Normal 10 2 6 2 2 2 2" xfId="56934" xr:uid="{00000000-0005-0000-0000-000061060000}"/>
    <cellStyle name="Normal 10 2 6 2 2 3" xfId="47367" xr:uid="{00000000-0005-0000-0000-000062060000}"/>
    <cellStyle name="Normal 10 2 6 2 2 4" xfId="31267" xr:uid="{00000000-0005-0000-0000-000063060000}"/>
    <cellStyle name="Normal 10 2 6 2 2 5" xfId="21698" xr:uid="{00000000-0005-0000-0000-000064060000}"/>
    <cellStyle name="Normal 10 2 6 2 3" xfId="12129" xr:uid="{00000000-0005-0000-0000-000065060000}"/>
    <cellStyle name="Normal 10 2 6 2 3 2" xfId="50403" xr:uid="{00000000-0005-0000-0000-000066060000}"/>
    <cellStyle name="Normal 10 2 6 2 3 3" xfId="34303" xr:uid="{00000000-0005-0000-0000-000067060000}"/>
    <cellStyle name="Normal 10 2 6 2 3 4" xfId="24734" xr:uid="{00000000-0005-0000-0000-000068060000}"/>
    <cellStyle name="Normal 10 2 6 2 4" xfId="6057" xr:uid="{00000000-0005-0000-0000-000069060000}"/>
    <cellStyle name="Normal 10 2 6 2 4 2" xfId="53898" xr:uid="{00000000-0005-0000-0000-00006A060000}"/>
    <cellStyle name="Normal 10 2 6 2 4 3" xfId="37798" xr:uid="{00000000-0005-0000-0000-00006B060000}"/>
    <cellStyle name="Normal 10 2 6 2 4 4" xfId="18662" xr:uid="{00000000-0005-0000-0000-00006C060000}"/>
    <cellStyle name="Normal 10 2 6 2 5" xfId="44331" xr:uid="{00000000-0005-0000-0000-00006D060000}"/>
    <cellStyle name="Normal 10 2 6 2 6" xfId="28231" xr:uid="{00000000-0005-0000-0000-00006E060000}"/>
    <cellStyle name="Normal 10 2 6 2 7" xfId="15167" xr:uid="{00000000-0005-0000-0000-00006F060000}"/>
    <cellStyle name="Normal 10 2 6 3" xfId="1310" xr:uid="{00000000-0005-0000-0000-000070060000}"/>
    <cellStyle name="Normal 10 2 6 3 2" xfId="7844" xr:uid="{00000000-0005-0000-0000-000071060000}"/>
    <cellStyle name="Normal 10 2 6 3 2 2" xfId="39585" xr:uid="{00000000-0005-0000-0000-000072060000}"/>
    <cellStyle name="Normal 10 2 6 3 2 2 2" xfId="55685" xr:uid="{00000000-0005-0000-0000-000073060000}"/>
    <cellStyle name="Normal 10 2 6 3 2 3" xfId="46118" xr:uid="{00000000-0005-0000-0000-000074060000}"/>
    <cellStyle name="Normal 10 2 6 3 2 4" xfId="30018" xr:uid="{00000000-0005-0000-0000-000075060000}"/>
    <cellStyle name="Normal 10 2 6 3 2 5" xfId="20449" xr:uid="{00000000-0005-0000-0000-000076060000}"/>
    <cellStyle name="Normal 10 2 6 3 3" xfId="10880" xr:uid="{00000000-0005-0000-0000-000077060000}"/>
    <cellStyle name="Normal 10 2 6 3 3 2" xfId="49154" xr:uid="{00000000-0005-0000-0000-000078060000}"/>
    <cellStyle name="Normal 10 2 6 3 3 3" xfId="33054" xr:uid="{00000000-0005-0000-0000-000079060000}"/>
    <cellStyle name="Normal 10 2 6 3 3 4" xfId="23485" xr:uid="{00000000-0005-0000-0000-00007A060000}"/>
    <cellStyle name="Normal 10 2 6 3 4" xfId="4808" xr:uid="{00000000-0005-0000-0000-00007B060000}"/>
    <cellStyle name="Normal 10 2 6 3 4 2" xfId="52649" xr:uid="{00000000-0005-0000-0000-00007C060000}"/>
    <cellStyle name="Normal 10 2 6 3 4 3" xfId="36549" xr:uid="{00000000-0005-0000-0000-00007D060000}"/>
    <cellStyle name="Normal 10 2 6 3 4 4" xfId="17413" xr:uid="{00000000-0005-0000-0000-00007E060000}"/>
    <cellStyle name="Normal 10 2 6 3 5" xfId="43082" xr:uid="{00000000-0005-0000-0000-00007F060000}"/>
    <cellStyle name="Normal 10 2 6 3 6" xfId="26982" xr:uid="{00000000-0005-0000-0000-000080060000}"/>
    <cellStyle name="Normal 10 2 6 3 7" xfId="13918" xr:uid="{00000000-0005-0000-0000-000081060000}"/>
    <cellStyle name="Normal 10 2 6 4" xfId="6834" xr:uid="{00000000-0005-0000-0000-000082060000}"/>
    <cellStyle name="Normal 10 2 6 4 2" xfId="38575" xr:uid="{00000000-0005-0000-0000-000083060000}"/>
    <cellStyle name="Normal 10 2 6 4 2 2" xfId="54675" xr:uid="{00000000-0005-0000-0000-000084060000}"/>
    <cellStyle name="Normal 10 2 6 4 3" xfId="45108" xr:uid="{00000000-0005-0000-0000-000085060000}"/>
    <cellStyle name="Normal 10 2 6 4 4" xfId="29008" xr:uid="{00000000-0005-0000-0000-000086060000}"/>
    <cellStyle name="Normal 10 2 6 4 5" xfId="19439" xr:uid="{00000000-0005-0000-0000-000087060000}"/>
    <cellStyle name="Normal 10 2 6 5" xfId="9870" xr:uid="{00000000-0005-0000-0000-000088060000}"/>
    <cellStyle name="Normal 10 2 6 5 2" xfId="48144" xr:uid="{00000000-0005-0000-0000-000089060000}"/>
    <cellStyle name="Normal 10 2 6 5 3" xfId="32044" xr:uid="{00000000-0005-0000-0000-00008A060000}"/>
    <cellStyle name="Normal 10 2 6 5 4" xfId="22475" xr:uid="{00000000-0005-0000-0000-00008B060000}"/>
    <cellStyle name="Normal 10 2 6 6" xfId="3798" xr:uid="{00000000-0005-0000-0000-00008C060000}"/>
    <cellStyle name="Normal 10 2 6 6 2" xfId="51639" xr:uid="{00000000-0005-0000-0000-00008D060000}"/>
    <cellStyle name="Normal 10 2 6 6 3" xfId="35539" xr:uid="{00000000-0005-0000-0000-00008E060000}"/>
    <cellStyle name="Normal 10 2 6 6 4" xfId="16403" xr:uid="{00000000-0005-0000-0000-00008F060000}"/>
    <cellStyle name="Normal 10 2 6 7" xfId="42072" xr:uid="{00000000-0005-0000-0000-000090060000}"/>
    <cellStyle name="Normal 10 2 6 8" xfId="25972" xr:uid="{00000000-0005-0000-0000-000091060000}"/>
    <cellStyle name="Normal 10 2 6 9" xfId="12908" xr:uid="{00000000-0005-0000-0000-000092060000}"/>
    <cellStyle name="Normal 10 2 7" xfId="761" xr:uid="{00000000-0005-0000-0000-000093060000}"/>
    <cellStyle name="Normal 10 2 7 2" xfId="2789" xr:uid="{00000000-0005-0000-0000-000094060000}"/>
    <cellStyle name="Normal 10 2 7 2 2" xfId="9321" xr:uid="{00000000-0005-0000-0000-000095060000}"/>
    <cellStyle name="Normal 10 2 7 2 2 2" xfId="41062" xr:uid="{00000000-0005-0000-0000-000096060000}"/>
    <cellStyle name="Normal 10 2 7 2 2 2 2" xfId="57162" xr:uid="{00000000-0005-0000-0000-000097060000}"/>
    <cellStyle name="Normal 10 2 7 2 2 3" xfId="47595" xr:uid="{00000000-0005-0000-0000-000098060000}"/>
    <cellStyle name="Normal 10 2 7 2 2 4" xfId="31495" xr:uid="{00000000-0005-0000-0000-000099060000}"/>
    <cellStyle name="Normal 10 2 7 2 2 5" xfId="21926" xr:uid="{00000000-0005-0000-0000-00009A060000}"/>
    <cellStyle name="Normal 10 2 7 2 3" xfId="12357" xr:uid="{00000000-0005-0000-0000-00009B060000}"/>
    <cellStyle name="Normal 10 2 7 2 3 2" xfId="50631" xr:uid="{00000000-0005-0000-0000-00009C060000}"/>
    <cellStyle name="Normal 10 2 7 2 3 3" xfId="34531" xr:uid="{00000000-0005-0000-0000-00009D060000}"/>
    <cellStyle name="Normal 10 2 7 2 3 4" xfId="24962" xr:uid="{00000000-0005-0000-0000-00009E060000}"/>
    <cellStyle name="Normal 10 2 7 2 4" xfId="6285" xr:uid="{00000000-0005-0000-0000-00009F060000}"/>
    <cellStyle name="Normal 10 2 7 2 4 2" xfId="54126" xr:uid="{00000000-0005-0000-0000-0000A0060000}"/>
    <cellStyle name="Normal 10 2 7 2 4 3" xfId="38026" xr:uid="{00000000-0005-0000-0000-0000A1060000}"/>
    <cellStyle name="Normal 10 2 7 2 4 4" xfId="18890" xr:uid="{00000000-0005-0000-0000-0000A2060000}"/>
    <cellStyle name="Normal 10 2 7 2 5" xfId="44559" xr:uid="{00000000-0005-0000-0000-0000A3060000}"/>
    <cellStyle name="Normal 10 2 7 2 6" xfId="28459" xr:uid="{00000000-0005-0000-0000-0000A4060000}"/>
    <cellStyle name="Normal 10 2 7 2 7" xfId="15395" xr:uid="{00000000-0005-0000-0000-0000A5060000}"/>
    <cellStyle name="Normal 10 2 7 3" xfId="1771" xr:uid="{00000000-0005-0000-0000-0000A6060000}"/>
    <cellStyle name="Normal 10 2 7 3 2" xfId="8305" xr:uid="{00000000-0005-0000-0000-0000A7060000}"/>
    <cellStyle name="Normal 10 2 7 3 2 2" xfId="40046" xr:uid="{00000000-0005-0000-0000-0000A8060000}"/>
    <cellStyle name="Normal 10 2 7 3 2 2 2" xfId="56146" xr:uid="{00000000-0005-0000-0000-0000A9060000}"/>
    <cellStyle name="Normal 10 2 7 3 2 3" xfId="46579" xr:uid="{00000000-0005-0000-0000-0000AA060000}"/>
    <cellStyle name="Normal 10 2 7 3 2 4" xfId="30479" xr:uid="{00000000-0005-0000-0000-0000AB060000}"/>
    <cellStyle name="Normal 10 2 7 3 2 5" xfId="20910" xr:uid="{00000000-0005-0000-0000-0000AC060000}"/>
    <cellStyle name="Normal 10 2 7 3 3" xfId="11341" xr:uid="{00000000-0005-0000-0000-0000AD060000}"/>
    <cellStyle name="Normal 10 2 7 3 3 2" xfId="49615" xr:uid="{00000000-0005-0000-0000-0000AE060000}"/>
    <cellStyle name="Normal 10 2 7 3 3 3" xfId="33515" xr:uid="{00000000-0005-0000-0000-0000AF060000}"/>
    <cellStyle name="Normal 10 2 7 3 3 4" xfId="23946" xr:uid="{00000000-0005-0000-0000-0000B0060000}"/>
    <cellStyle name="Normal 10 2 7 3 4" xfId="5269" xr:uid="{00000000-0005-0000-0000-0000B1060000}"/>
    <cellStyle name="Normal 10 2 7 3 4 2" xfId="53110" xr:uid="{00000000-0005-0000-0000-0000B2060000}"/>
    <cellStyle name="Normal 10 2 7 3 4 3" xfId="37010" xr:uid="{00000000-0005-0000-0000-0000B3060000}"/>
    <cellStyle name="Normal 10 2 7 3 4 4" xfId="17874" xr:uid="{00000000-0005-0000-0000-0000B4060000}"/>
    <cellStyle name="Normal 10 2 7 3 5" xfId="43543" xr:uid="{00000000-0005-0000-0000-0000B5060000}"/>
    <cellStyle name="Normal 10 2 7 3 6" xfId="27443" xr:uid="{00000000-0005-0000-0000-0000B6060000}"/>
    <cellStyle name="Normal 10 2 7 3 7" xfId="14379" xr:uid="{00000000-0005-0000-0000-0000B7060000}"/>
    <cellStyle name="Normal 10 2 7 4" xfId="7295" xr:uid="{00000000-0005-0000-0000-0000B8060000}"/>
    <cellStyle name="Normal 10 2 7 4 2" xfId="39036" xr:uid="{00000000-0005-0000-0000-0000B9060000}"/>
    <cellStyle name="Normal 10 2 7 4 2 2" xfId="55136" xr:uid="{00000000-0005-0000-0000-0000BA060000}"/>
    <cellStyle name="Normal 10 2 7 4 3" xfId="45569" xr:uid="{00000000-0005-0000-0000-0000BB060000}"/>
    <cellStyle name="Normal 10 2 7 4 4" xfId="29469" xr:uid="{00000000-0005-0000-0000-0000BC060000}"/>
    <cellStyle name="Normal 10 2 7 4 5" xfId="19900" xr:uid="{00000000-0005-0000-0000-0000BD060000}"/>
    <cellStyle name="Normal 10 2 7 5" xfId="10331" xr:uid="{00000000-0005-0000-0000-0000BE060000}"/>
    <cellStyle name="Normal 10 2 7 5 2" xfId="48605" xr:uid="{00000000-0005-0000-0000-0000BF060000}"/>
    <cellStyle name="Normal 10 2 7 5 3" xfId="32505" xr:uid="{00000000-0005-0000-0000-0000C0060000}"/>
    <cellStyle name="Normal 10 2 7 5 4" xfId="22936" xr:uid="{00000000-0005-0000-0000-0000C1060000}"/>
    <cellStyle name="Normal 10 2 7 6" xfId="4259" xr:uid="{00000000-0005-0000-0000-0000C2060000}"/>
    <cellStyle name="Normal 10 2 7 6 2" xfId="52100" xr:uid="{00000000-0005-0000-0000-0000C3060000}"/>
    <cellStyle name="Normal 10 2 7 6 3" xfId="36000" xr:uid="{00000000-0005-0000-0000-0000C4060000}"/>
    <cellStyle name="Normal 10 2 7 6 4" xfId="16864" xr:uid="{00000000-0005-0000-0000-0000C5060000}"/>
    <cellStyle name="Normal 10 2 7 7" xfId="42533" xr:uid="{00000000-0005-0000-0000-0000C6060000}"/>
    <cellStyle name="Normal 10 2 7 8" xfId="26433" xr:uid="{00000000-0005-0000-0000-0000C7060000}"/>
    <cellStyle name="Normal 10 2 7 9" xfId="13369" xr:uid="{00000000-0005-0000-0000-0000C8060000}"/>
    <cellStyle name="Normal 10 2 8" xfId="2098" xr:uid="{00000000-0005-0000-0000-0000C9060000}"/>
    <cellStyle name="Normal 10 2 8 2" xfId="8632" xr:uid="{00000000-0005-0000-0000-0000CA060000}"/>
    <cellStyle name="Normal 10 2 8 2 2" xfId="40373" xr:uid="{00000000-0005-0000-0000-0000CB060000}"/>
    <cellStyle name="Normal 10 2 8 2 2 2" xfId="56473" xr:uid="{00000000-0005-0000-0000-0000CC060000}"/>
    <cellStyle name="Normal 10 2 8 2 3" xfId="46906" xr:uid="{00000000-0005-0000-0000-0000CD060000}"/>
    <cellStyle name="Normal 10 2 8 2 4" xfId="30806" xr:uid="{00000000-0005-0000-0000-0000CE060000}"/>
    <cellStyle name="Normal 10 2 8 2 5" xfId="21237" xr:uid="{00000000-0005-0000-0000-0000CF060000}"/>
    <cellStyle name="Normal 10 2 8 3" xfId="11668" xr:uid="{00000000-0005-0000-0000-0000D0060000}"/>
    <cellStyle name="Normal 10 2 8 3 2" xfId="49942" xr:uid="{00000000-0005-0000-0000-0000D1060000}"/>
    <cellStyle name="Normal 10 2 8 3 3" xfId="33842" xr:uid="{00000000-0005-0000-0000-0000D2060000}"/>
    <cellStyle name="Normal 10 2 8 3 4" xfId="24273" xr:uid="{00000000-0005-0000-0000-0000D3060000}"/>
    <cellStyle name="Normal 10 2 8 4" xfId="5596" xr:uid="{00000000-0005-0000-0000-0000D4060000}"/>
    <cellStyle name="Normal 10 2 8 4 2" xfId="53437" xr:uid="{00000000-0005-0000-0000-0000D5060000}"/>
    <cellStyle name="Normal 10 2 8 4 3" xfId="37337" xr:uid="{00000000-0005-0000-0000-0000D6060000}"/>
    <cellStyle name="Normal 10 2 8 4 4" xfId="18201" xr:uid="{00000000-0005-0000-0000-0000D7060000}"/>
    <cellStyle name="Normal 10 2 8 5" xfId="43870" xr:uid="{00000000-0005-0000-0000-0000D8060000}"/>
    <cellStyle name="Normal 10 2 8 6" xfId="27770" xr:uid="{00000000-0005-0000-0000-0000D9060000}"/>
    <cellStyle name="Normal 10 2 8 7" xfId="14706" xr:uid="{00000000-0005-0000-0000-0000DA060000}"/>
    <cellStyle name="Normal 10 2 9" xfId="1088" xr:uid="{00000000-0005-0000-0000-0000DB060000}"/>
    <cellStyle name="Normal 10 2 9 2" xfId="7622" xr:uid="{00000000-0005-0000-0000-0000DC060000}"/>
    <cellStyle name="Normal 10 2 9 2 2" xfId="39363" xr:uid="{00000000-0005-0000-0000-0000DD060000}"/>
    <cellStyle name="Normal 10 2 9 2 2 2" xfId="55463" xr:uid="{00000000-0005-0000-0000-0000DE060000}"/>
    <cellStyle name="Normal 10 2 9 2 3" xfId="45896" xr:uid="{00000000-0005-0000-0000-0000DF060000}"/>
    <cellStyle name="Normal 10 2 9 2 4" xfId="29796" xr:uid="{00000000-0005-0000-0000-0000E0060000}"/>
    <cellStyle name="Normal 10 2 9 2 5" xfId="20227" xr:uid="{00000000-0005-0000-0000-0000E1060000}"/>
    <cellStyle name="Normal 10 2 9 3" xfId="10658" xr:uid="{00000000-0005-0000-0000-0000E2060000}"/>
    <cellStyle name="Normal 10 2 9 3 2" xfId="48932" xr:uid="{00000000-0005-0000-0000-0000E3060000}"/>
    <cellStyle name="Normal 10 2 9 3 3" xfId="32832" xr:uid="{00000000-0005-0000-0000-0000E4060000}"/>
    <cellStyle name="Normal 10 2 9 3 4" xfId="23263" xr:uid="{00000000-0005-0000-0000-0000E5060000}"/>
    <cellStyle name="Normal 10 2 9 4" xfId="4586" xr:uid="{00000000-0005-0000-0000-0000E6060000}"/>
    <cellStyle name="Normal 10 2 9 4 2" xfId="52427" xr:uid="{00000000-0005-0000-0000-0000E7060000}"/>
    <cellStyle name="Normal 10 2 9 4 3" xfId="36327" xr:uid="{00000000-0005-0000-0000-0000E8060000}"/>
    <cellStyle name="Normal 10 2 9 4 4" xfId="17191" xr:uid="{00000000-0005-0000-0000-0000E9060000}"/>
    <cellStyle name="Normal 10 2 9 5" xfId="42860" xr:uid="{00000000-0005-0000-0000-0000EA060000}"/>
    <cellStyle name="Normal 10 2 9 6" xfId="26760" xr:uid="{00000000-0005-0000-0000-0000EB060000}"/>
    <cellStyle name="Normal 10 2 9 7" xfId="13696" xr:uid="{00000000-0005-0000-0000-0000EC060000}"/>
    <cellStyle name="Normal 10 20" xfId="9630" xr:uid="{00000000-0005-0000-0000-0000ED060000}"/>
    <cellStyle name="Normal 10 20 2" xfId="47904" xr:uid="{00000000-0005-0000-0000-0000EE060000}"/>
    <cellStyle name="Normal 10 20 3" xfId="31804" xr:uid="{00000000-0005-0000-0000-0000EF060000}"/>
    <cellStyle name="Normal 10 20 4" xfId="22235" xr:uid="{00000000-0005-0000-0000-0000F0060000}"/>
    <cellStyle name="Normal 10 21" xfId="3098" xr:uid="{00000000-0005-0000-0000-0000F1060000}"/>
    <cellStyle name="Normal 10 21 2" xfId="50940" xr:uid="{00000000-0005-0000-0000-0000F2060000}"/>
    <cellStyle name="Normal 10 21 3" xfId="34840" xr:uid="{00000000-0005-0000-0000-0000F3060000}"/>
    <cellStyle name="Normal 10 21 4" xfId="15704" xr:uid="{00000000-0005-0000-0000-0000F4060000}"/>
    <cellStyle name="Normal 10 22" xfId="41373" xr:uid="{00000000-0005-0000-0000-0000F5060000}"/>
    <cellStyle name="Normal 10 23" xfId="25273" xr:uid="{00000000-0005-0000-0000-0000F6060000}"/>
    <cellStyle name="Normal 10 24" xfId="12668" xr:uid="{00000000-0005-0000-0000-0000F7060000}"/>
    <cellStyle name="Normal 10 3" xfId="128" xr:uid="{00000000-0005-0000-0000-0000F8060000}"/>
    <cellStyle name="Normal 10 3 10" xfId="6664" xr:uid="{00000000-0005-0000-0000-0000F9060000}"/>
    <cellStyle name="Normal 10 3 10 2" xfId="38405" xr:uid="{00000000-0005-0000-0000-0000FA060000}"/>
    <cellStyle name="Normal 10 3 10 2 2" xfId="54505" xr:uid="{00000000-0005-0000-0000-0000FB060000}"/>
    <cellStyle name="Normal 10 3 10 3" xfId="44938" xr:uid="{00000000-0005-0000-0000-0000FC060000}"/>
    <cellStyle name="Normal 10 3 10 4" xfId="28838" xr:uid="{00000000-0005-0000-0000-0000FD060000}"/>
    <cellStyle name="Normal 10 3 10 5" xfId="19269" xr:uid="{00000000-0005-0000-0000-0000FE060000}"/>
    <cellStyle name="Normal 10 3 11" xfId="9700" xr:uid="{00000000-0005-0000-0000-0000FF060000}"/>
    <cellStyle name="Normal 10 3 11 2" xfId="47974" xr:uid="{00000000-0005-0000-0000-000000070000}"/>
    <cellStyle name="Normal 10 3 11 3" xfId="31874" xr:uid="{00000000-0005-0000-0000-000001070000}"/>
    <cellStyle name="Normal 10 3 11 4" xfId="22305" xr:uid="{00000000-0005-0000-0000-000002070000}"/>
    <cellStyle name="Normal 10 3 12" xfId="3168" xr:uid="{00000000-0005-0000-0000-000003070000}"/>
    <cellStyle name="Normal 10 3 12 2" xfId="51010" xr:uid="{00000000-0005-0000-0000-000004070000}"/>
    <cellStyle name="Normal 10 3 12 3" xfId="34910" xr:uid="{00000000-0005-0000-0000-000005070000}"/>
    <cellStyle name="Normal 10 3 12 4" xfId="15774" xr:uid="{00000000-0005-0000-0000-000006070000}"/>
    <cellStyle name="Normal 10 3 13" xfId="41443" xr:uid="{00000000-0005-0000-0000-000007070000}"/>
    <cellStyle name="Normal 10 3 14" xfId="25343" xr:uid="{00000000-0005-0000-0000-000008070000}"/>
    <cellStyle name="Normal 10 3 15" xfId="12738" xr:uid="{00000000-0005-0000-0000-000009070000}"/>
    <cellStyle name="Normal 10 3 16" xfId="440" xr:uid="{00000000-0005-0000-0000-00000A070000}"/>
    <cellStyle name="Normal 10 3 2" xfId="203" xr:uid="{00000000-0005-0000-0000-00000B070000}"/>
    <cellStyle name="Normal 10 3 2 10" xfId="41680" xr:uid="{00000000-0005-0000-0000-00000C070000}"/>
    <cellStyle name="Normal 10 3 2 11" xfId="25580" xr:uid="{00000000-0005-0000-0000-00000D070000}"/>
    <cellStyle name="Normal 10 3 2 12" xfId="13032" xr:uid="{00000000-0005-0000-0000-00000E070000}"/>
    <cellStyle name="Normal 10 3 2 2" xfId="380" xr:uid="{00000000-0005-0000-0000-00000F070000}"/>
    <cellStyle name="Normal 10 3 2 2 2" xfId="2399" xr:uid="{00000000-0005-0000-0000-000010070000}"/>
    <cellStyle name="Normal 10 3 2 2 2 2" xfId="8933" xr:uid="{00000000-0005-0000-0000-000011070000}"/>
    <cellStyle name="Normal 10 3 2 2 2 2 2" xfId="40674" xr:uid="{00000000-0005-0000-0000-000012070000}"/>
    <cellStyle name="Normal 10 3 2 2 2 2 2 2" xfId="56774" xr:uid="{00000000-0005-0000-0000-000013070000}"/>
    <cellStyle name="Normal 10 3 2 2 2 2 3" xfId="47207" xr:uid="{00000000-0005-0000-0000-000014070000}"/>
    <cellStyle name="Normal 10 3 2 2 2 2 4" xfId="31107" xr:uid="{00000000-0005-0000-0000-000015070000}"/>
    <cellStyle name="Normal 10 3 2 2 2 2 5" xfId="21538" xr:uid="{00000000-0005-0000-0000-000016070000}"/>
    <cellStyle name="Normal 10 3 2 2 2 3" xfId="11969" xr:uid="{00000000-0005-0000-0000-000017070000}"/>
    <cellStyle name="Normal 10 3 2 2 2 3 2" xfId="50243" xr:uid="{00000000-0005-0000-0000-000018070000}"/>
    <cellStyle name="Normal 10 3 2 2 2 3 3" xfId="34143" xr:uid="{00000000-0005-0000-0000-000019070000}"/>
    <cellStyle name="Normal 10 3 2 2 2 3 4" xfId="24574" xr:uid="{00000000-0005-0000-0000-00001A070000}"/>
    <cellStyle name="Normal 10 3 2 2 2 4" xfId="5897" xr:uid="{00000000-0005-0000-0000-00001B070000}"/>
    <cellStyle name="Normal 10 3 2 2 2 4 2" xfId="53738" xr:uid="{00000000-0005-0000-0000-00001C070000}"/>
    <cellStyle name="Normal 10 3 2 2 2 4 3" xfId="37638" xr:uid="{00000000-0005-0000-0000-00001D070000}"/>
    <cellStyle name="Normal 10 3 2 2 2 4 4" xfId="18502" xr:uid="{00000000-0005-0000-0000-00001E070000}"/>
    <cellStyle name="Normal 10 3 2 2 2 5" xfId="44171" xr:uid="{00000000-0005-0000-0000-00001F070000}"/>
    <cellStyle name="Normal 10 3 2 2 2 6" xfId="28071" xr:uid="{00000000-0005-0000-0000-000020070000}"/>
    <cellStyle name="Normal 10 3 2 2 2 7" xfId="15007" xr:uid="{00000000-0005-0000-0000-000021070000}"/>
    <cellStyle name="Normal 10 3 2 2 3" xfId="1611" xr:uid="{00000000-0005-0000-0000-000022070000}"/>
    <cellStyle name="Normal 10 3 2 2 3 2" xfId="8145" xr:uid="{00000000-0005-0000-0000-000023070000}"/>
    <cellStyle name="Normal 10 3 2 2 3 2 2" xfId="39886" xr:uid="{00000000-0005-0000-0000-000024070000}"/>
    <cellStyle name="Normal 10 3 2 2 3 2 2 2" xfId="55986" xr:uid="{00000000-0005-0000-0000-000025070000}"/>
    <cellStyle name="Normal 10 3 2 2 3 2 3" xfId="46419" xr:uid="{00000000-0005-0000-0000-000026070000}"/>
    <cellStyle name="Normal 10 3 2 2 3 2 4" xfId="30319" xr:uid="{00000000-0005-0000-0000-000027070000}"/>
    <cellStyle name="Normal 10 3 2 2 3 2 5" xfId="20750" xr:uid="{00000000-0005-0000-0000-000028070000}"/>
    <cellStyle name="Normal 10 3 2 2 3 3" xfId="11181" xr:uid="{00000000-0005-0000-0000-000029070000}"/>
    <cellStyle name="Normal 10 3 2 2 3 3 2" xfId="49455" xr:uid="{00000000-0005-0000-0000-00002A070000}"/>
    <cellStyle name="Normal 10 3 2 2 3 3 3" xfId="33355" xr:uid="{00000000-0005-0000-0000-00002B070000}"/>
    <cellStyle name="Normal 10 3 2 2 3 3 4" xfId="23786" xr:uid="{00000000-0005-0000-0000-00002C070000}"/>
    <cellStyle name="Normal 10 3 2 2 3 4" xfId="5109" xr:uid="{00000000-0005-0000-0000-00002D070000}"/>
    <cellStyle name="Normal 10 3 2 2 3 4 2" xfId="52950" xr:uid="{00000000-0005-0000-0000-00002E070000}"/>
    <cellStyle name="Normal 10 3 2 2 3 4 3" xfId="36850" xr:uid="{00000000-0005-0000-0000-00002F070000}"/>
    <cellStyle name="Normal 10 3 2 2 3 4 4" xfId="17714" xr:uid="{00000000-0005-0000-0000-000030070000}"/>
    <cellStyle name="Normal 10 3 2 2 3 5" xfId="43383" xr:uid="{00000000-0005-0000-0000-000031070000}"/>
    <cellStyle name="Normal 10 3 2 2 3 6" xfId="27283" xr:uid="{00000000-0005-0000-0000-000032070000}"/>
    <cellStyle name="Normal 10 3 2 2 3 7" xfId="14219" xr:uid="{00000000-0005-0000-0000-000033070000}"/>
    <cellStyle name="Normal 10 3 2 2 4" xfId="7135" xr:uid="{00000000-0005-0000-0000-000034070000}"/>
    <cellStyle name="Normal 10 3 2 2 4 2" xfId="38876" xr:uid="{00000000-0005-0000-0000-000035070000}"/>
    <cellStyle name="Normal 10 3 2 2 4 2 2" xfId="54976" xr:uid="{00000000-0005-0000-0000-000036070000}"/>
    <cellStyle name="Normal 10 3 2 2 4 3" xfId="45409" xr:uid="{00000000-0005-0000-0000-000037070000}"/>
    <cellStyle name="Normal 10 3 2 2 4 4" xfId="29309" xr:uid="{00000000-0005-0000-0000-000038070000}"/>
    <cellStyle name="Normal 10 3 2 2 4 5" xfId="19740" xr:uid="{00000000-0005-0000-0000-000039070000}"/>
    <cellStyle name="Normal 10 3 2 2 5" xfId="10171" xr:uid="{00000000-0005-0000-0000-00003A070000}"/>
    <cellStyle name="Normal 10 3 2 2 5 2" xfId="48445" xr:uid="{00000000-0005-0000-0000-00003B070000}"/>
    <cellStyle name="Normal 10 3 2 2 5 3" xfId="32345" xr:uid="{00000000-0005-0000-0000-00003C070000}"/>
    <cellStyle name="Normal 10 3 2 2 5 4" xfId="22776" xr:uid="{00000000-0005-0000-0000-00003D070000}"/>
    <cellStyle name="Normal 10 3 2 2 6" xfId="4099" xr:uid="{00000000-0005-0000-0000-00003E070000}"/>
    <cellStyle name="Normal 10 3 2 2 6 2" xfId="51940" xr:uid="{00000000-0005-0000-0000-00003F070000}"/>
    <cellStyle name="Normal 10 3 2 2 6 3" xfId="35840" xr:uid="{00000000-0005-0000-0000-000040070000}"/>
    <cellStyle name="Normal 10 3 2 2 6 4" xfId="16704" xr:uid="{00000000-0005-0000-0000-000041070000}"/>
    <cellStyle name="Normal 10 3 2 2 7" xfId="42373" xr:uid="{00000000-0005-0000-0000-000042070000}"/>
    <cellStyle name="Normal 10 3 2 2 8" xfId="26273" xr:uid="{00000000-0005-0000-0000-000043070000}"/>
    <cellStyle name="Normal 10 3 2 2 9" xfId="13209" xr:uid="{00000000-0005-0000-0000-000044070000}"/>
    <cellStyle name="Normal 10 3 2 3" xfId="1019" xr:uid="{00000000-0005-0000-0000-000045070000}"/>
    <cellStyle name="Normal 10 3 2 3 2" xfId="3047" xr:uid="{00000000-0005-0000-0000-000046070000}"/>
    <cellStyle name="Normal 10 3 2 3 2 2" xfId="9579" xr:uid="{00000000-0005-0000-0000-000047070000}"/>
    <cellStyle name="Normal 10 3 2 3 2 2 2" xfId="41320" xr:uid="{00000000-0005-0000-0000-000048070000}"/>
    <cellStyle name="Normal 10 3 2 3 2 2 2 2" xfId="57420" xr:uid="{00000000-0005-0000-0000-000049070000}"/>
    <cellStyle name="Normal 10 3 2 3 2 2 3" xfId="47853" xr:uid="{00000000-0005-0000-0000-00004A070000}"/>
    <cellStyle name="Normal 10 3 2 3 2 2 4" xfId="31753" xr:uid="{00000000-0005-0000-0000-00004B070000}"/>
    <cellStyle name="Normal 10 3 2 3 2 2 5" xfId="22184" xr:uid="{00000000-0005-0000-0000-00004C070000}"/>
    <cellStyle name="Normal 10 3 2 3 2 3" xfId="12615" xr:uid="{00000000-0005-0000-0000-00004D070000}"/>
    <cellStyle name="Normal 10 3 2 3 2 3 2" xfId="50889" xr:uid="{00000000-0005-0000-0000-00004E070000}"/>
    <cellStyle name="Normal 10 3 2 3 2 3 3" xfId="34789" xr:uid="{00000000-0005-0000-0000-00004F070000}"/>
    <cellStyle name="Normal 10 3 2 3 2 3 4" xfId="25220" xr:uid="{00000000-0005-0000-0000-000050070000}"/>
    <cellStyle name="Normal 10 3 2 3 2 4" xfId="6543" xr:uid="{00000000-0005-0000-0000-000051070000}"/>
    <cellStyle name="Normal 10 3 2 3 2 4 2" xfId="54384" xr:uid="{00000000-0005-0000-0000-000052070000}"/>
    <cellStyle name="Normal 10 3 2 3 2 4 3" xfId="38284" xr:uid="{00000000-0005-0000-0000-000053070000}"/>
    <cellStyle name="Normal 10 3 2 3 2 4 4" xfId="19148" xr:uid="{00000000-0005-0000-0000-000054070000}"/>
    <cellStyle name="Normal 10 3 2 3 2 5" xfId="44817" xr:uid="{00000000-0005-0000-0000-000055070000}"/>
    <cellStyle name="Normal 10 3 2 3 2 6" xfId="28717" xr:uid="{00000000-0005-0000-0000-000056070000}"/>
    <cellStyle name="Normal 10 3 2 3 2 7" xfId="15653" xr:uid="{00000000-0005-0000-0000-000057070000}"/>
    <cellStyle name="Normal 10 3 2 3 3" xfId="2029" xr:uid="{00000000-0005-0000-0000-000058070000}"/>
    <cellStyle name="Normal 10 3 2 3 3 2" xfId="8563" xr:uid="{00000000-0005-0000-0000-000059070000}"/>
    <cellStyle name="Normal 10 3 2 3 3 2 2" xfId="40304" xr:uid="{00000000-0005-0000-0000-00005A070000}"/>
    <cellStyle name="Normal 10 3 2 3 3 2 2 2" xfId="56404" xr:uid="{00000000-0005-0000-0000-00005B070000}"/>
    <cellStyle name="Normal 10 3 2 3 3 2 3" xfId="46837" xr:uid="{00000000-0005-0000-0000-00005C070000}"/>
    <cellStyle name="Normal 10 3 2 3 3 2 4" xfId="30737" xr:uid="{00000000-0005-0000-0000-00005D070000}"/>
    <cellStyle name="Normal 10 3 2 3 3 2 5" xfId="21168" xr:uid="{00000000-0005-0000-0000-00005E070000}"/>
    <cellStyle name="Normal 10 3 2 3 3 3" xfId="11599" xr:uid="{00000000-0005-0000-0000-00005F070000}"/>
    <cellStyle name="Normal 10 3 2 3 3 3 2" xfId="49873" xr:uid="{00000000-0005-0000-0000-000060070000}"/>
    <cellStyle name="Normal 10 3 2 3 3 3 3" xfId="33773" xr:uid="{00000000-0005-0000-0000-000061070000}"/>
    <cellStyle name="Normal 10 3 2 3 3 3 4" xfId="24204" xr:uid="{00000000-0005-0000-0000-000062070000}"/>
    <cellStyle name="Normal 10 3 2 3 3 4" xfId="5527" xr:uid="{00000000-0005-0000-0000-000063070000}"/>
    <cellStyle name="Normal 10 3 2 3 3 4 2" xfId="53368" xr:uid="{00000000-0005-0000-0000-000064070000}"/>
    <cellStyle name="Normal 10 3 2 3 3 4 3" xfId="37268" xr:uid="{00000000-0005-0000-0000-000065070000}"/>
    <cellStyle name="Normal 10 3 2 3 3 4 4" xfId="18132" xr:uid="{00000000-0005-0000-0000-000066070000}"/>
    <cellStyle name="Normal 10 3 2 3 3 5" xfId="43801" xr:uid="{00000000-0005-0000-0000-000067070000}"/>
    <cellStyle name="Normal 10 3 2 3 3 6" xfId="27701" xr:uid="{00000000-0005-0000-0000-000068070000}"/>
    <cellStyle name="Normal 10 3 2 3 3 7" xfId="14637" xr:uid="{00000000-0005-0000-0000-000069070000}"/>
    <cellStyle name="Normal 10 3 2 3 4" xfId="7553" xr:uid="{00000000-0005-0000-0000-00006A070000}"/>
    <cellStyle name="Normal 10 3 2 3 4 2" xfId="39294" xr:uid="{00000000-0005-0000-0000-00006B070000}"/>
    <cellStyle name="Normal 10 3 2 3 4 2 2" xfId="55394" xr:uid="{00000000-0005-0000-0000-00006C070000}"/>
    <cellStyle name="Normal 10 3 2 3 4 3" xfId="45827" xr:uid="{00000000-0005-0000-0000-00006D070000}"/>
    <cellStyle name="Normal 10 3 2 3 4 4" xfId="29727" xr:uid="{00000000-0005-0000-0000-00006E070000}"/>
    <cellStyle name="Normal 10 3 2 3 4 5" xfId="20158" xr:uid="{00000000-0005-0000-0000-00006F070000}"/>
    <cellStyle name="Normal 10 3 2 3 5" xfId="10589" xr:uid="{00000000-0005-0000-0000-000070070000}"/>
    <cellStyle name="Normal 10 3 2 3 5 2" xfId="48863" xr:uid="{00000000-0005-0000-0000-000071070000}"/>
    <cellStyle name="Normal 10 3 2 3 5 3" xfId="32763" xr:uid="{00000000-0005-0000-0000-000072070000}"/>
    <cellStyle name="Normal 10 3 2 3 5 4" xfId="23194" xr:uid="{00000000-0005-0000-0000-000073070000}"/>
    <cellStyle name="Normal 10 3 2 3 6" xfId="4517" xr:uid="{00000000-0005-0000-0000-000074070000}"/>
    <cellStyle name="Normal 10 3 2 3 6 2" xfId="52358" xr:uid="{00000000-0005-0000-0000-000075070000}"/>
    <cellStyle name="Normal 10 3 2 3 6 3" xfId="36258" xr:uid="{00000000-0005-0000-0000-000076070000}"/>
    <cellStyle name="Normal 10 3 2 3 6 4" xfId="17122" xr:uid="{00000000-0005-0000-0000-000077070000}"/>
    <cellStyle name="Normal 10 3 2 3 7" xfId="42791" xr:uid="{00000000-0005-0000-0000-000078070000}"/>
    <cellStyle name="Normal 10 3 2 3 8" xfId="26691" xr:uid="{00000000-0005-0000-0000-000079070000}"/>
    <cellStyle name="Normal 10 3 2 3 9" xfId="13627" xr:uid="{00000000-0005-0000-0000-00007A070000}"/>
    <cellStyle name="Normal 10 3 2 4" xfId="2222" xr:uid="{00000000-0005-0000-0000-00007B070000}"/>
    <cellStyle name="Normal 10 3 2 4 2" xfId="8756" xr:uid="{00000000-0005-0000-0000-00007C070000}"/>
    <cellStyle name="Normal 10 3 2 4 2 2" xfId="40497" xr:uid="{00000000-0005-0000-0000-00007D070000}"/>
    <cellStyle name="Normal 10 3 2 4 2 2 2" xfId="56597" xr:uid="{00000000-0005-0000-0000-00007E070000}"/>
    <cellStyle name="Normal 10 3 2 4 2 3" xfId="47030" xr:uid="{00000000-0005-0000-0000-00007F070000}"/>
    <cellStyle name="Normal 10 3 2 4 2 4" xfId="30930" xr:uid="{00000000-0005-0000-0000-000080070000}"/>
    <cellStyle name="Normal 10 3 2 4 2 5" xfId="21361" xr:uid="{00000000-0005-0000-0000-000081070000}"/>
    <cellStyle name="Normal 10 3 2 4 3" xfId="11792" xr:uid="{00000000-0005-0000-0000-000082070000}"/>
    <cellStyle name="Normal 10 3 2 4 3 2" xfId="50066" xr:uid="{00000000-0005-0000-0000-000083070000}"/>
    <cellStyle name="Normal 10 3 2 4 3 3" xfId="33966" xr:uid="{00000000-0005-0000-0000-000084070000}"/>
    <cellStyle name="Normal 10 3 2 4 3 4" xfId="24397" xr:uid="{00000000-0005-0000-0000-000085070000}"/>
    <cellStyle name="Normal 10 3 2 4 4" xfId="5720" xr:uid="{00000000-0005-0000-0000-000086070000}"/>
    <cellStyle name="Normal 10 3 2 4 4 2" xfId="53561" xr:uid="{00000000-0005-0000-0000-000087070000}"/>
    <cellStyle name="Normal 10 3 2 4 4 3" xfId="37461" xr:uid="{00000000-0005-0000-0000-000088070000}"/>
    <cellStyle name="Normal 10 3 2 4 4 4" xfId="18325" xr:uid="{00000000-0005-0000-0000-000089070000}"/>
    <cellStyle name="Normal 10 3 2 4 5" xfId="43994" xr:uid="{00000000-0005-0000-0000-00008A070000}"/>
    <cellStyle name="Normal 10 3 2 4 6" xfId="27894" xr:uid="{00000000-0005-0000-0000-00008B070000}"/>
    <cellStyle name="Normal 10 3 2 4 7" xfId="14830" xr:uid="{00000000-0005-0000-0000-00008C070000}"/>
    <cellStyle name="Normal 10 3 2 5" xfId="1434" xr:uid="{00000000-0005-0000-0000-00008D070000}"/>
    <cellStyle name="Normal 10 3 2 5 2" xfId="7968" xr:uid="{00000000-0005-0000-0000-00008E070000}"/>
    <cellStyle name="Normal 10 3 2 5 2 2" xfId="39709" xr:uid="{00000000-0005-0000-0000-00008F070000}"/>
    <cellStyle name="Normal 10 3 2 5 2 2 2" xfId="55809" xr:uid="{00000000-0005-0000-0000-000090070000}"/>
    <cellStyle name="Normal 10 3 2 5 2 3" xfId="46242" xr:uid="{00000000-0005-0000-0000-000091070000}"/>
    <cellStyle name="Normal 10 3 2 5 2 4" xfId="30142" xr:uid="{00000000-0005-0000-0000-000092070000}"/>
    <cellStyle name="Normal 10 3 2 5 2 5" xfId="20573" xr:uid="{00000000-0005-0000-0000-000093070000}"/>
    <cellStyle name="Normal 10 3 2 5 3" xfId="11004" xr:uid="{00000000-0005-0000-0000-000094070000}"/>
    <cellStyle name="Normal 10 3 2 5 3 2" xfId="49278" xr:uid="{00000000-0005-0000-0000-000095070000}"/>
    <cellStyle name="Normal 10 3 2 5 3 3" xfId="33178" xr:uid="{00000000-0005-0000-0000-000096070000}"/>
    <cellStyle name="Normal 10 3 2 5 3 4" xfId="23609" xr:uid="{00000000-0005-0000-0000-000097070000}"/>
    <cellStyle name="Normal 10 3 2 5 4" xfId="4932" xr:uid="{00000000-0005-0000-0000-000098070000}"/>
    <cellStyle name="Normal 10 3 2 5 4 2" xfId="52773" xr:uid="{00000000-0005-0000-0000-000099070000}"/>
    <cellStyle name="Normal 10 3 2 5 4 3" xfId="36673" xr:uid="{00000000-0005-0000-0000-00009A070000}"/>
    <cellStyle name="Normal 10 3 2 5 4 4" xfId="17537" xr:uid="{00000000-0005-0000-0000-00009B070000}"/>
    <cellStyle name="Normal 10 3 2 5 5" xfId="43206" xr:uid="{00000000-0005-0000-0000-00009C070000}"/>
    <cellStyle name="Normal 10 3 2 5 6" xfId="27106" xr:uid="{00000000-0005-0000-0000-00009D070000}"/>
    <cellStyle name="Normal 10 3 2 5 7" xfId="14042" xr:uid="{00000000-0005-0000-0000-00009E070000}"/>
    <cellStyle name="Normal 10 3 2 6" xfId="3922" xr:uid="{00000000-0005-0000-0000-00009F070000}"/>
    <cellStyle name="Normal 10 3 2 6 2" xfId="35663" xr:uid="{00000000-0005-0000-0000-0000A0070000}"/>
    <cellStyle name="Normal 10 3 2 6 2 2" xfId="51763" xr:uid="{00000000-0005-0000-0000-0000A1070000}"/>
    <cellStyle name="Normal 10 3 2 6 3" xfId="42196" xr:uid="{00000000-0005-0000-0000-0000A2070000}"/>
    <cellStyle name="Normal 10 3 2 6 4" xfId="26096" xr:uid="{00000000-0005-0000-0000-0000A3070000}"/>
    <cellStyle name="Normal 10 3 2 6 5" xfId="16527" xr:uid="{00000000-0005-0000-0000-0000A4070000}"/>
    <cellStyle name="Normal 10 3 2 7" xfId="6958" xr:uid="{00000000-0005-0000-0000-0000A5070000}"/>
    <cellStyle name="Normal 10 3 2 7 2" xfId="38699" xr:uid="{00000000-0005-0000-0000-0000A6070000}"/>
    <cellStyle name="Normal 10 3 2 7 2 2" xfId="54799" xr:uid="{00000000-0005-0000-0000-0000A7070000}"/>
    <cellStyle name="Normal 10 3 2 7 3" xfId="45232" xr:uid="{00000000-0005-0000-0000-0000A8070000}"/>
    <cellStyle name="Normal 10 3 2 7 4" xfId="29132" xr:uid="{00000000-0005-0000-0000-0000A9070000}"/>
    <cellStyle name="Normal 10 3 2 7 5" xfId="19563" xr:uid="{00000000-0005-0000-0000-0000AA070000}"/>
    <cellStyle name="Normal 10 3 2 8" xfId="9994" xr:uid="{00000000-0005-0000-0000-0000AB070000}"/>
    <cellStyle name="Normal 10 3 2 8 2" xfId="48268" xr:uid="{00000000-0005-0000-0000-0000AC070000}"/>
    <cellStyle name="Normal 10 3 2 8 3" xfId="32168" xr:uid="{00000000-0005-0000-0000-0000AD070000}"/>
    <cellStyle name="Normal 10 3 2 8 4" xfId="22599" xr:uid="{00000000-0005-0000-0000-0000AE070000}"/>
    <cellStyle name="Normal 10 3 2 9" xfId="3406" xr:uid="{00000000-0005-0000-0000-0000AF070000}"/>
    <cellStyle name="Normal 10 3 2 9 2" xfId="51247" xr:uid="{00000000-0005-0000-0000-0000B0070000}"/>
    <cellStyle name="Normal 10 3 2 9 3" xfId="35147" xr:uid="{00000000-0005-0000-0000-0000B1070000}"/>
    <cellStyle name="Normal 10 3 2 9 4" xfId="16011" xr:uid="{00000000-0005-0000-0000-0000B2070000}"/>
    <cellStyle name="Normal 10 3 3" xfId="309" xr:uid="{00000000-0005-0000-0000-0000B3070000}"/>
    <cellStyle name="Normal 10 3 3 2" xfId="2328" xr:uid="{00000000-0005-0000-0000-0000B4070000}"/>
    <cellStyle name="Normal 10 3 3 2 2" xfId="8862" xr:uid="{00000000-0005-0000-0000-0000B5070000}"/>
    <cellStyle name="Normal 10 3 3 2 2 2" xfId="40603" xr:uid="{00000000-0005-0000-0000-0000B6070000}"/>
    <cellStyle name="Normal 10 3 3 2 2 2 2" xfId="56703" xr:uid="{00000000-0005-0000-0000-0000B7070000}"/>
    <cellStyle name="Normal 10 3 3 2 2 3" xfId="47136" xr:uid="{00000000-0005-0000-0000-0000B8070000}"/>
    <cellStyle name="Normal 10 3 3 2 2 4" xfId="31036" xr:uid="{00000000-0005-0000-0000-0000B9070000}"/>
    <cellStyle name="Normal 10 3 3 2 2 5" xfId="21467" xr:uid="{00000000-0005-0000-0000-0000BA070000}"/>
    <cellStyle name="Normal 10 3 3 2 3" xfId="11898" xr:uid="{00000000-0005-0000-0000-0000BB070000}"/>
    <cellStyle name="Normal 10 3 3 2 3 2" xfId="50172" xr:uid="{00000000-0005-0000-0000-0000BC070000}"/>
    <cellStyle name="Normal 10 3 3 2 3 3" xfId="34072" xr:uid="{00000000-0005-0000-0000-0000BD070000}"/>
    <cellStyle name="Normal 10 3 3 2 3 4" xfId="24503" xr:uid="{00000000-0005-0000-0000-0000BE070000}"/>
    <cellStyle name="Normal 10 3 3 2 4" xfId="5826" xr:uid="{00000000-0005-0000-0000-0000BF070000}"/>
    <cellStyle name="Normal 10 3 3 2 4 2" xfId="53667" xr:uid="{00000000-0005-0000-0000-0000C0070000}"/>
    <cellStyle name="Normal 10 3 3 2 4 3" xfId="37567" xr:uid="{00000000-0005-0000-0000-0000C1070000}"/>
    <cellStyle name="Normal 10 3 3 2 4 4" xfId="18431" xr:uid="{00000000-0005-0000-0000-0000C2070000}"/>
    <cellStyle name="Normal 10 3 3 2 5" xfId="44100" xr:uid="{00000000-0005-0000-0000-0000C3070000}"/>
    <cellStyle name="Normal 10 3 3 2 6" xfId="28000" xr:uid="{00000000-0005-0000-0000-0000C4070000}"/>
    <cellStyle name="Normal 10 3 3 2 7" xfId="14936" xr:uid="{00000000-0005-0000-0000-0000C5070000}"/>
    <cellStyle name="Normal 10 3 3 3" xfId="1540" xr:uid="{00000000-0005-0000-0000-0000C6070000}"/>
    <cellStyle name="Normal 10 3 3 3 2" xfId="8074" xr:uid="{00000000-0005-0000-0000-0000C7070000}"/>
    <cellStyle name="Normal 10 3 3 3 2 2" xfId="39815" xr:uid="{00000000-0005-0000-0000-0000C8070000}"/>
    <cellStyle name="Normal 10 3 3 3 2 2 2" xfId="55915" xr:uid="{00000000-0005-0000-0000-0000C9070000}"/>
    <cellStyle name="Normal 10 3 3 3 2 3" xfId="46348" xr:uid="{00000000-0005-0000-0000-0000CA070000}"/>
    <cellStyle name="Normal 10 3 3 3 2 4" xfId="30248" xr:uid="{00000000-0005-0000-0000-0000CB070000}"/>
    <cellStyle name="Normal 10 3 3 3 2 5" xfId="20679" xr:uid="{00000000-0005-0000-0000-0000CC070000}"/>
    <cellStyle name="Normal 10 3 3 3 3" xfId="11110" xr:uid="{00000000-0005-0000-0000-0000CD070000}"/>
    <cellStyle name="Normal 10 3 3 3 3 2" xfId="49384" xr:uid="{00000000-0005-0000-0000-0000CE070000}"/>
    <cellStyle name="Normal 10 3 3 3 3 3" xfId="33284" xr:uid="{00000000-0005-0000-0000-0000CF070000}"/>
    <cellStyle name="Normal 10 3 3 3 3 4" xfId="23715" xr:uid="{00000000-0005-0000-0000-0000D0070000}"/>
    <cellStyle name="Normal 10 3 3 3 4" xfId="5038" xr:uid="{00000000-0005-0000-0000-0000D1070000}"/>
    <cellStyle name="Normal 10 3 3 3 4 2" xfId="52879" xr:uid="{00000000-0005-0000-0000-0000D2070000}"/>
    <cellStyle name="Normal 10 3 3 3 4 3" xfId="36779" xr:uid="{00000000-0005-0000-0000-0000D3070000}"/>
    <cellStyle name="Normal 10 3 3 3 4 4" xfId="17643" xr:uid="{00000000-0005-0000-0000-0000D4070000}"/>
    <cellStyle name="Normal 10 3 3 3 5" xfId="43312" xr:uid="{00000000-0005-0000-0000-0000D5070000}"/>
    <cellStyle name="Normal 10 3 3 3 6" xfId="27212" xr:uid="{00000000-0005-0000-0000-0000D6070000}"/>
    <cellStyle name="Normal 10 3 3 3 7" xfId="14148" xr:uid="{00000000-0005-0000-0000-0000D7070000}"/>
    <cellStyle name="Normal 10 3 3 4" xfId="7064" xr:uid="{00000000-0005-0000-0000-0000D8070000}"/>
    <cellStyle name="Normal 10 3 3 4 2" xfId="38805" xr:uid="{00000000-0005-0000-0000-0000D9070000}"/>
    <cellStyle name="Normal 10 3 3 4 2 2" xfId="54905" xr:uid="{00000000-0005-0000-0000-0000DA070000}"/>
    <cellStyle name="Normal 10 3 3 4 3" xfId="45338" xr:uid="{00000000-0005-0000-0000-0000DB070000}"/>
    <cellStyle name="Normal 10 3 3 4 4" xfId="29238" xr:uid="{00000000-0005-0000-0000-0000DC070000}"/>
    <cellStyle name="Normal 10 3 3 4 5" xfId="19669" xr:uid="{00000000-0005-0000-0000-0000DD070000}"/>
    <cellStyle name="Normal 10 3 3 5" xfId="10100" xr:uid="{00000000-0005-0000-0000-0000DE070000}"/>
    <cellStyle name="Normal 10 3 3 5 2" xfId="48374" xr:uid="{00000000-0005-0000-0000-0000DF070000}"/>
    <cellStyle name="Normal 10 3 3 5 3" xfId="32274" xr:uid="{00000000-0005-0000-0000-0000E0070000}"/>
    <cellStyle name="Normal 10 3 3 5 4" xfId="22705" xr:uid="{00000000-0005-0000-0000-0000E1070000}"/>
    <cellStyle name="Normal 10 3 3 6" xfId="4028" xr:uid="{00000000-0005-0000-0000-0000E2070000}"/>
    <cellStyle name="Normal 10 3 3 6 2" xfId="51869" xr:uid="{00000000-0005-0000-0000-0000E3070000}"/>
    <cellStyle name="Normal 10 3 3 6 3" xfId="35769" xr:uid="{00000000-0005-0000-0000-0000E4070000}"/>
    <cellStyle name="Normal 10 3 3 6 4" xfId="16633" xr:uid="{00000000-0005-0000-0000-0000E5070000}"/>
    <cellStyle name="Normal 10 3 3 7" xfId="42302" xr:uid="{00000000-0005-0000-0000-0000E6070000}"/>
    <cellStyle name="Normal 10 3 3 8" xfId="26202" xr:uid="{00000000-0005-0000-0000-0000E7070000}"/>
    <cellStyle name="Normal 10 3 3 9" xfId="13138" xr:uid="{00000000-0005-0000-0000-0000E8070000}"/>
    <cellStyle name="Normal 10 3 4" xfId="567" xr:uid="{00000000-0005-0000-0000-0000E9070000}"/>
    <cellStyle name="Normal 10 3 4 2" xfId="2596" xr:uid="{00000000-0005-0000-0000-0000EA070000}"/>
    <cellStyle name="Normal 10 3 4 2 2" xfId="9128" xr:uid="{00000000-0005-0000-0000-0000EB070000}"/>
    <cellStyle name="Normal 10 3 4 2 2 2" xfId="40869" xr:uid="{00000000-0005-0000-0000-0000EC070000}"/>
    <cellStyle name="Normal 10 3 4 2 2 2 2" xfId="56969" xr:uid="{00000000-0005-0000-0000-0000ED070000}"/>
    <cellStyle name="Normal 10 3 4 2 2 3" xfId="47402" xr:uid="{00000000-0005-0000-0000-0000EE070000}"/>
    <cellStyle name="Normal 10 3 4 2 2 4" xfId="31302" xr:uid="{00000000-0005-0000-0000-0000EF070000}"/>
    <cellStyle name="Normal 10 3 4 2 2 5" xfId="21733" xr:uid="{00000000-0005-0000-0000-0000F0070000}"/>
    <cellStyle name="Normal 10 3 4 2 3" xfId="12164" xr:uid="{00000000-0005-0000-0000-0000F1070000}"/>
    <cellStyle name="Normal 10 3 4 2 3 2" xfId="50438" xr:uid="{00000000-0005-0000-0000-0000F2070000}"/>
    <cellStyle name="Normal 10 3 4 2 3 3" xfId="34338" xr:uid="{00000000-0005-0000-0000-0000F3070000}"/>
    <cellStyle name="Normal 10 3 4 2 3 4" xfId="24769" xr:uid="{00000000-0005-0000-0000-0000F4070000}"/>
    <cellStyle name="Normal 10 3 4 2 4" xfId="6092" xr:uid="{00000000-0005-0000-0000-0000F5070000}"/>
    <cellStyle name="Normal 10 3 4 2 4 2" xfId="53933" xr:uid="{00000000-0005-0000-0000-0000F6070000}"/>
    <cellStyle name="Normal 10 3 4 2 4 3" xfId="37833" xr:uid="{00000000-0005-0000-0000-0000F7070000}"/>
    <cellStyle name="Normal 10 3 4 2 4 4" xfId="18697" xr:uid="{00000000-0005-0000-0000-0000F8070000}"/>
    <cellStyle name="Normal 10 3 4 2 5" xfId="44366" xr:uid="{00000000-0005-0000-0000-0000F9070000}"/>
    <cellStyle name="Normal 10 3 4 2 6" xfId="28266" xr:uid="{00000000-0005-0000-0000-0000FA070000}"/>
    <cellStyle name="Normal 10 3 4 2 7" xfId="15202" xr:uid="{00000000-0005-0000-0000-0000FB070000}"/>
    <cellStyle name="Normal 10 3 4 3" xfId="1363" xr:uid="{00000000-0005-0000-0000-0000FC070000}"/>
    <cellStyle name="Normal 10 3 4 3 2" xfId="7897" xr:uid="{00000000-0005-0000-0000-0000FD070000}"/>
    <cellStyle name="Normal 10 3 4 3 2 2" xfId="39638" xr:uid="{00000000-0005-0000-0000-0000FE070000}"/>
    <cellStyle name="Normal 10 3 4 3 2 2 2" xfId="55738" xr:uid="{00000000-0005-0000-0000-0000FF070000}"/>
    <cellStyle name="Normal 10 3 4 3 2 3" xfId="46171" xr:uid="{00000000-0005-0000-0000-000000080000}"/>
    <cellStyle name="Normal 10 3 4 3 2 4" xfId="30071" xr:uid="{00000000-0005-0000-0000-000001080000}"/>
    <cellStyle name="Normal 10 3 4 3 2 5" xfId="20502" xr:uid="{00000000-0005-0000-0000-000002080000}"/>
    <cellStyle name="Normal 10 3 4 3 3" xfId="10933" xr:uid="{00000000-0005-0000-0000-000003080000}"/>
    <cellStyle name="Normal 10 3 4 3 3 2" xfId="49207" xr:uid="{00000000-0005-0000-0000-000004080000}"/>
    <cellStyle name="Normal 10 3 4 3 3 3" xfId="33107" xr:uid="{00000000-0005-0000-0000-000005080000}"/>
    <cellStyle name="Normal 10 3 4 3 3 4" xfId="23538" xr:uid="{00000000-0005-0000-0000-000006080000}"/>
    <cellStyle name="Normal 10 3 4 3 4" xfId="4861" xr:uid="{00000000-0005-0000-0000-000007080000}"/>
    <cellStyle name="Normal 10 3 4 3 4 2" xfId="52702" xr:uid="{00000000-0005-0000-0000-000008080000}"/>
    <cellStyle name="Normal 10 3 4 3 4 3" xfId="36602" xr:uid="{00000000-0005-0000-0000-000009080000}"/>
    <cellStyle name="Normal 10 3 4 3 4 4" xfId="17466" xr:uid="{00000000-0005-0000-0000-00000A080000}"/>
    <cellStyle name="Normal 10 3 4 3 5" xfId="43135" xr:uid="{00000000-0005-0000-0000-00000B080000}"/>
    <cellStyle name="Normal 10 3 4 3 6" xfId="27035" xr:uid="{00000000-0005-0000-0000-00000C080000}"/>
    <cellStyle name="Normal 10 3 4 3 7" xfId="13971" xr:uid="{00000000-0005-0000-0000-00000D080000}"/>
    <cellStyle name="Normal 10 3 4 4" xfId="6887" xr:uid="{00000000-0005-0000-0000-00000E080000}"/>
    <cellStyle name="Normal 10 3 4 4 2" xfId="38628" xr:uid="{00000000-0005-0000-0000-00000F080000}"/>
    <cellStyle name="Normal 10 3 4 4 2 2" xfId="54728" xr:uid="{00000000-0005-0000-0000-000010080000}"/>
    <cellStyle name="Normal 10 3 4 4 3" xfId="45161" xr:uid="{00000000-0005-0000-0000-000011080000}"/>
    <cellStyle name="Normal 10 3 4 4 4" xfId="29061" xr:uid="{00000000-0005-0000-0000-000012080000}"/>
    <cellStyle name="Normal 10 3 4 4 5" xfId="19492" xr:uid="{00000000-0005-0000-0000-000013080000}"/>
    <cellStyle name="Normal 10 3 4 5" xfId="9923" xr:uid="{00000000-0005-0000-0000-000014080000}"/>
    <cellStyle name="Normal 10 3 4 5 2" xfId="48197" xr:uid="{00000000-0005-0000-0000-000015080000}"/>
    <cellStyle name="Normal 10 3 4 5 3" xfId="32097" xr:uid="{00000000-0005-0000-0000-000016080000}"/>
    <cellStyle name="Normal 10 3 4 5 4" xfId="22528" xr:uid="{00000000-0005-0000-0000-000017080000}"/>
    <cellStyle name="Normal 10 3 4 6" xfId="3851" xr:uid="{00000000-0005-0000-0000-000018080000}"/>
    <cellStyle name="Normal 10 3 4 6 2" xfId="51692" xr:uid="{00000000-0005-0000-0000-000019080000}"/>
    <cellStyle name="Normal 10 3 4 6 3" xfId="35592" xr:uid="{00000000-0005-0000-0000-00001A080000}"/>
    <cellStyle name="Normal 10 3 4 6 4" xfId="16456" xr:uid="{00000000-0005-0000-0000-00001B080000}"/>
    <cellStyle name="Normal 10 3 4 7" xfId="42125" xr:uid="{00000000-0005-0000-0000-00001C080000}"/>
    <cellStyle name="Normal 10 3 4 8" xfId="26025" xr:uid="{00000000-0005-0000-0000-00001D080000}"/>
    <cellStyle name="Normal 10 3 4 9" xfId="12961" xr:uid="{00000000-0005-0000-0000-00001E080000}"/>
    <cellStyle name="Normal 10 3 5" xfId="813" xr:uid="{00000000-0005-0000-0000-00001F080000}"/>
    <cellStyle name="Normal 10 3 5 2" xfId="2841" xr:uid="{00000000-0005-0000-0000-000020080000}"/>
    <cellStyle name="Normal 10 3 5 2 2" xfId="9373" xr:uid="{00000000-0005-0000-0000-000021080000}"/>
    <cellStyle name="Normal 10 3 5 2 2 2" xfId="41114" xr:uid="{00000000-0005-0000-0000-000022080000}"/>
    <cellStyle name="Normal 10 3 5 2 2 2 2" xfId="57214" xr:uid="{00000000-0005-0000-0000-000023080000}"/>
    <cellStyle name="Normal 10 3 5 2 2 3" xfId="47647" xr:uid="{00000000-0005-0000-0000-000024080000}"/>
    <cellStyle name="Normal 10 3 5 2 2 4" xfId="31547" xr:uid="{00000000-0005-0000-0000-000025080000}"/>
    <cellStyle name="Normal 10 3 5 2 2 5" xfId="21978" xr:uid="{00000000-0005-0000-0000-000026080000}"/>
    <cellStyle name="Normal 10 3 5 2 3" xfId="12409" xr:uid="{00000000-0005-0000-0000-000027080000}"/>
    <cellStyle name="Normal 10 3 5 2 3 2" xfId="50683" xr:uid="{00000000-0005-0000-0000-000028080000}"/>
    <cellStyle name="Normal 10 3 5 2 3 3" xfId="34583" xr:uid="{00000000-0005-0000-0000-000029080000}"/>
    <cellStyle name="Normal 10 3 5 2 3 4" xfId="25014" xr:uid="{00000000-0005-0000-0000-00002A080000}"/>
    <cellStyle name="Normal 10 3 5 2 4" xfId="6337" xr:uid="{00000000-0005-0000-0000-00002B080000}"/>
    <cellStyle name="Normal 10 3 5 2 4 2" xfId="54178" xr:uid="{00000000-0005-0000-0000-00002C080000}"/>
    <cellStyle name="Normal 10 3 5 2 4 3" xfId="38078" xr:uid="{00000000-0005-0000-0000-00002D080000}"/>
    <cellStyle name="Normal 10 3 5 2 4 4" xfId="18942" xr:uid="{00000000-0005-0000-0000-00002E080000}"/>
    <cellStyle name="Normal 10 3 5 2 5" xfId="44611" xr:uid="{00000000-0005-0000-0000-00002F080000}"/>
    <cellStyle name="Normal 10 3 5 2 6" xfId="28511" xr:uid="{00000000-0005-0000-0000-000030080000}"/>
    <cellStyle name="Normal 10 3 5 2 7" xfId="15447" xr:uid="{00000000-0005-0000-0000-000031080000}"/>
    <cellStyle name="Normal 10 3 5 3" xfId="1823" xr:uid="{00000000-0005-0000-0000-000032080000}"/>
    <cellStyle name="Normal 10 3 5 3 2" xfId="8357" xr:uid="{00000000-0005-0000-0000-000033080000}"/>
    <cellStyle name="Normal 10 3 5 3 2 2" xfId="40098" xr:uid="{00000000-0005-0000-0000-000034080000}"/>
    <cellStyle name="Normal 10 3 5 3 2 2 2" xfId="56198" xr:uid="{00000000-0005-0000-0000-000035080000}"/>
    <cellStyle name="Normal 10 3 5 3 2 3" xfId="46631" xr:uid="{00000000-0005-0000-0000-000036080000}"/>
    <cellStyle name="Normal 10 3 5 3 2 4" xfId="30531" xr:uid="{00000000-0005-0000-0000-000037080000}"/>
    <cellStyle name="Normal 10 3 5 3 2 5" xfId="20962" xr:uid="{00000000-0005-0000-0000-000038080000}"/>
    <cellStyle name="Normal 10 3 5 3 3" xfId="11393" xr:uid="{00000000-0005-0000-0000-000039080000}"/>
    <cellStyle name="Normal 10 3 5 3 3 2" xfId="49667" xr:uid="{00000000-0005-0000-0000-00003A080000}"/>
    <cellStyle name="Normal 10 3 5 3 3 3" xfId="33567" xr:uid="{00000000-0005-0000-0000-00003B080000}"/>
    <cellStyle name="Normal 10 3 5 3 3 4" xfId="23998" xr:uid="{00000000-0005-0000-0000-00003C080000}"/>
    <cellStyle name="Normal 10 3 5 3 4" xfId="5321" xr:uid="{00000000-0005-0000-0000-00003D080000}"/>
    <cellStyle name="Normal 10 3 5 3 4 2" xfId="53162" xr:uid="{00000000-0005-0000-0000-00003E080000}"/>
    <cellStyle name="Normal 10 3 5 3 4 3" xfId="37062" xr:uid="{00000000-0005-0000-0000-00003F080000}"/>
    <cellStyle name="Normal 10 3 5 3 4 4" xfId="17926" xr:uid="{00000000-0005-0000-0000-000040080000}"/>
    <cellStyle name="Normal 10 3 5 3 5" xfId="43595" xr:uid="{00000000-0005-0000-0000-000041080000}"/>
    <cellStyle name="Normal 10 3 5 3 6" xfId="27495" xr:uid="{00000000-0005-0000-0000-000042080000}"/>
    <cellStyle name="Normal 10 3 5 3 7" xfId="14431" xr:uid="{00000000-0005-0000-0000-000043080000}"/>
    <cellStyle name="Normal 10 3 5 4" xfId="7347" xr:uid="{00000000-0005-0000-0000-000044080000}"/>
    <cellStyle name="Normal 10 3 5 4 2" xfId="39088" xr:uid="{00000000-0005-0000-0000-000045080000}"/>
    <cellStyle name="Normal 10 3 5 4 2 2" xfId="55188" xr:uid="{00000000-0005-0000-0000-000046080000}"/>
    <cellStyle name="Normal 10 3 5 4 3" xfId="45621" xr:uid="{00000000-0005-0000-0000-000047080000}"/>
    <cellStyle name="Normal 10 3 5 4 4" xfId="29521" xr:uid="{00000000-0005-0000-0000-000048080000}"/>
    <cellStyle name="Normal 10 3 5 4 5" xfId="19952" xr:uid="{00000000-0005-0000-0000-000049080000}"/>
    <cellStyle name="Normal 10 3 5 5" xfId="10383" xr:uid="{00000000-0005-0000-0000-00004A080000}"/>
    <cellStyle name="Normal 10 3 5 5 2" xfId="48657" xr:uid="{00000000-0005-0000-0000-00004B080000}"/>
    <cellStyle name="Normal 10 3 5 5 3" xfId="32557" xr:uid="{00000000-0005-0000-0000-00004C080000}"/>
    <cellStyle name="Normal 10 3 5 5 4" xfId="22988" xr:uid="{00000000-0005-0000-0000-00004D080000}"/>
    <cellStyle name="Normal 10 3 5 6" xfId="4311" xr:uid="{00000000-0005-0000-0000-00004E080000}"/>
    <cellStyle name="Normal 10 3 5 6 2" xfId="52152" xr:uid="{00000000-0005-0000-0000-00004F080000}"/>
    <cellStyle name="Normal 10 3 5 6 3" xfId="36052" xr:uid="{00000000-0005-0000-0000-000050080000}"/>
    <cellStyle name="Normal 10 3 5 6 4" xfId="16916" xr:uid="{00000000-0005-0000-0000-000051080000}"/>
    <cellStyle name="Normal 10 3 5 7" xfId="42585" xr:uid="{00000000-0005-0000-0000-000052080000}"/>
    <cellStyle name="Normal 10 3 5 8" xfId="26485" xr:uid="{00000000-0005-0000-0000-000053080000}"/>
    <cellStyle name="Normal 10 3 5 9" xfId="13421" xr:uid="{00000000-0005-0000-0000-000054080000}"/>
    <cellStyle name="Normal 10 3 6" xfId="655" xr:uid="{00000000-0005-0000-0000-000055080000}"/>
    <cellStyle name="Normal 10 3 6 2" xfId="2683" xr:uid="{00000000-0005-0000-0000-000056080000}"/>
    <cellStyle name="Normal 10 3 6 2 2" xfId="9215" xr:uid="{00000000-0005-0000-0000-000057080000}"/>
    <cellStyle name="Normal 10 3 6 2 2 2" xfId="40956" xr:uid="{00000000-0005-0000-0000-000058080000}"/>
    <cellStyle name="Normal 10 3 6 2 2 2 2" xfId="57056" xr:uid="{00000000-0005-0000-0000-000059080000}"/>
    <cellStyle name="Normal 10 3 6 2 2 3" xfId="47489" xr:uid="{00000000-0005-0000-0000-00005A080000}"/>
    <cellStyle name="Normal 10 3 6 2 2 4" xfId="31389" xr:uid="{00000000-0005-0000-0000-00005B080000}"/>
    <cellStyle name="Normal 10 3 6 2 2 5" xfId="21820" xr:uid="{00000000-0005-0000-0000-00005C080000}"/>
    <cellStyle name="Normal 10 3 6 2 3" xfId="12251" xr:uid="{00000000-0005-0000-0000-00005D080000}"/>
    <cellStyle name="Normal 10 3 6 2 3 2" xfId="50525" xr:uid="{00000000-0005-0000-0000-00005E080000}"/>
    <cellStyle name="Normal 10 3 6 2 3 3" xfId="34425" xr:uid="{00000000-0005-0000-0000-00005F080000}"/>
    <cellStyle name="Normal 10 3 6 2 3 4" xfId="24856" xr:uid="{00000000-0005-0000-0000-000060080000}"/>
    <cellStyle name="Normal 10 3 6 2 4" xfId="6179" xr:uid="{00000000-0005-0000-0000-000061080000}"/>
    <cellStyle name="Normal 10 3 6 2 4 2" xfId="54020" xr:uid="{00000000-0005-0000-0000-000062080000}"/>
    <cellStyle name="Normal 10 3 6 2 4 3" xfId="37920" xr:uid="{00000000-0005-0000-0000-000063080000}"/>
    <cellStyle name="Normal 10 3 6 2 4 4" xfId="18784" xr:uid="{00000000-0005-0000-0000-000064080000}"/>
    <cellStyle name="Normal 10 3 6 2 5" xfId="44453" xr:uid="{00000000-0005-0000-0000-000065080000}"/>
    <cellStyle name="Normal 10 3 6 2 6" xfId="28353" xr:uid="{00000000-0005-0000-0000-000066080000}"/>
    <cellStyle name="Normal 10 3 6 2 7" xfId="15289" xr:uid="{00000000-0005-0000-0000-000067080000}"/>
    <cellStyle name="Normal 10 3 6 3" xfId="1665" xr:uid="{00000000-0005-0000-0000-000068080000}"/>
    <cellStyle name="Normal 10 3 6 3 2" xfId="8199" xr:uid="{00000000-0005-0000-0000-000069080000}"/>
    <cellStyle name="Normal 10 3 6 3 2 2" xfId="39940" xr:uid="{00000000-0005-0000-0000-00006A080000}"/>
    <cellStyle name="Normal 10 3 6 3 2 2 2" xfId="56040" xr:uid="{00000000-0005-0000-0000-00006B080000}"/>
    <cellStyle name="Normal 10 3 6 3 2 3" xfId="46473" xr:uid="{00000000-0005-0000-0000-00006C080000}"/>
    <cellStyle name="Normal 10 3 6 3 2 4" xfId="30373" xr:uid="{00000000-0005-0000-0000-00006D080000}"/>
    <cellStyle name="Normal 10 3 6 3 2 5" xfId="20804" xr:uid="{00000000-0005-0000-0000-00006E080000}"/>
    <cellStyle name="Normal 10 3 6 3 3" xfId="11235" xr:uid="{00000000-0005-0000-0000-00006F080000}"/>
    <cellStyle name="Normal 10 3 6 3 3 2" xfId="49509" xr:uid="{00000000-0005-0000-0000-000070080000}"/>
    <cellStyle name="Normal 10 3 6 3 3 3" xfId="33409" xr:uid="{00000000-0005-0000-0000-000071080000}"/>
    <cellStyle name="Normal 10 3 6 3 3 4" xfId="23840" xr:uid="{00000000-0005-0000-0000-000072080000}"/>
    <cellStyle name="Normal 10 3 6 3 4" xfId="5163" xr:uid="{00000000-0005-0000-0000-000073080000}"/>
    <cellStyle name="Normal 10 3 6 3 4 2" xfId="53004" xr:uid="{00000000-0005-0000-0000-000074080000}"/>
    <cellStyle name="Normal 10 3 6 3 4 3" xfId="36904" xr:uid="{00000000-0005-0000-0000-000075080000}"/>
    <cellStyle name="Normal 10 3 6 3 4 4" xfId="17768" xr:uid="{00000000-0005-0000-0000-000076080000}"/>
    <cellStyle name="Normal 10 3 6 3 5" xfId="43437" xr:uid="{00000000-0005-0000-0000-000077080000}"/>
    <cellStyle name="Normal 10 3 6 3 6" xfId="27337" xr:uid="{00000000-0005-0000-0000-000078080000}"/>
    <cellStyle name="Normal 10 3 6 3 7" xfId="14273" xr:uid="{00000000-0005-0000-0000-000079080000}"/>
    <cellStyle name="Normal 10 3 6 4" xfId="7189" xr:uid="{00000000-0005-0000-0000-00007A080000}"/>
    <cellStyle name="Normal 10 3 6 4 2" xfId="38930" xr:uid="{00000000-0005-0000-0000-00007B080000}"/>
    <cellStyle name="Normal 10 3 6 4 2 2" xfId="55030" xr:uid="{00000000-0005-0000-0000-00007C080000}"/>
    <cellStyle name="Normal 10 3 6 4 3" xfId="45463" xr:uid="{00000000-0005-0000-0000-00007D080000}"/>
    <cellStyle name="Normal 10 3 6 4 4" xfId="29363" xr:uid="{00000000-0005-0000-0000-00007E080000}"/>
    <cellStyle name="Normal 10 3 6 4 5" xfId="19794" xr:uid="{00000000-0005-0000-0000-00007F080000}"/>
    <cellStyle name="Normal 10 3 6 5" xfId="10225" xr:uid="{00000000-0005-0000-0000-000080080000}"/>
    <cellStyle name="Normal 10 3 6 5 2" xfId="48499" xr:uid="{00000000-0005-0000-0000-000081080000}"/>
    <cellStyle name="Normal 10 3 6 5 3" xfId="32399" xr:uid="{00000000-0005-0000-0000-000082080000}"/>
    <cellStyle name="Normal 10 3 6 5 4" xfId="22830" xr:uid="{00000000-0005-0000-0000-000083080000}"/>
    <cellStyle name="Normal 10 3 6 6" xfId="4153" xr:uid="{00000000-0005-0000-0000-000084080000}"/>
    <cellStyle name="Normal 10 3 6 6 2" xfId="51994" xr:uid="{00000000-0005-0000-0000-000085080000}"/>
    <cellStyle name="Normal 10 3 6 6 3" xfId="35894" xr:uid="{00000000-0005-0000-0000-000086080000}"/>
    <cellStyle name="Normal 10 3 6 6 4" xfId="16758" xr:uid="{00000000-0005-0000-0000-000087080000}"/>
    <cellStyle name="Normal 10 3 6 7" xfId="42427" xr:uid="{00000000-0005-0000-0000-000088080000}"/>
    <cellStyle name="Normal 10 3 6 8" xfId="26327" xr:uid="{00000000-0005-0000-0000-000089080000}"/>
    <cellStyle name="Normal 10 3 6 9" xfId="13263" xr:uid="{00000000-0005-0000-0000-00008A080000}"/>
    <cellStyle name="Normal 10 3 7" xfId="2151" xr:uid="{00000000-0005-0000-0000-00008B080000}"/>
    <cellStyle name="Normal 10 3 7 2" xfId="2455" xr:uid="{00000000-0005-0000-0000-00008C080000}"/>
    <cellStyle name="Normal 10 3 7 2 2" xfId="8987" xr:uid="{00000000-0005-0000-0000-00008D080000}"/>
    <cellStyle name="Normal 10 3 7 2 2 2" xfId="40728" xr:uid="{00000000-0005-0000-0000-00008E080000}"/>
    <cellStyle name="Normal 10 3 7 2 2 2 2" xfId="56828" xr:uid="{00000000-0005-0000-0000-00008F080000}"/>
    <cellStyle name="Normal 10 3 7 2 2 3" xfId="47261" xr:uid="{00000000-0005-0000-0000-000090080000}"/>
    <cellStyle name="Normal 10 3 7 2 2 4" xfId="31161" xr:uid="{00000000-0005-0000-0000-000091080000}"/>
    <cellStyle name="Normal 10 3 7 2 2 5" xfId="21592" xr:uid="{00000000-0005-0000-0000-000092080000}"/>
    <cellStyle name="Normal 10 3 7 2 3" xfId="12023" xr:uid="{00000000-0005-0000-0000-000093080000}"/>
    <cellStyle name="Normal 10 3 7 2 3 2" xfId="50297" xr:uid="{00000000-0005-0000-0000-000094080000}"/>
    <cellStyle name="Normal 10 3 7 2 3 3" xfId="34197" xr:uid="{00000000-0005-0000-0000-000095080000}"/>
    <cellStyle name="Normal 10 3 7 2 3 4" xfId="24628" xr:uid="{00000000-0005-0000-0000-000096080000}"/>
    <cellStyle name="Normal 10 3 7 2 4" xfId="5951" xr:uid="{00000000-0005-0000-0000-000097080000}"/>
    <cellStyle name="Normal 10 3 7 2 4 2" xfId="53792" xr:uid="{00000000-0005-0000-0000-000098080000}"/>
    <cellStyle name="Normal 10 3 7 2 4 3" xfId="37692" xr:uid="{00000000-0005-0000-0000-000099080000}"/>
    <cellStyle name="Normal 10 3 7 2 4 4" xfId="18556" xr:uid="{00000000-0005-0000-0000-00009A080000}"/>
    <cellStyle name="Normal 10 3 7 2 5" xfId="44225" xr:uid="{00000000-0005-0000-0000-00009B080000}"/>
    <cellStyle name="Normal 10 3 7 2 6" xfId="28125" xr:uid="{00000000-0005-0000-0000-00009C080000}"/>
    <cellStyle name="Normal 10 3 7 2 7" xfId="15061" xr:uid="{00000000-0005-0000-0000-00009D080000}"/>
    <cellStyle name="Normal 10 3 7 3" xfId="8685" xr:uid="{00000000-0005-0000-0000-00009E080000}"/>
    <cellStyle name="Normal 10 3 7 3 2" xfId="40426" xr:uid="{00000000-0005-0000-0000-00009F080000}"/>
    <cellStyle name="Normal 10 3 7 3 2 2" xfId="56526" xr:uid="{00000000-0005-0000-0000-0000A0080000}"/>
    <cellStyle name="Normal 10 3 7 3 3" xfId="46959" xr:uid="{00000000-0005-0000-0000-0000A1080000}"/>
    <cellStyle name="Normal 10 3 7 3 4" xfId="30859" xr:uid="{00000000-0005-0000-0000-0000A2080000}"/>
    <cellStyle name="Normal 10 3 7 3 5" xfId="21290" xr:uid="{00000000-0005-0000-0000-0000A3080000}"/>
    <cellStyle name="Normal 10 3 7 4" xfId="11721" xr:uid="{00000000-0005-0000-0000-0000A4080000}"/>
    <cellStyle name="Normal 10 3 7 4 2" xfId="49995" xr:uid="{00000000-0005-0000-0000-0000A5080000}"/>
    <cellStyle name="Normal 10 3 7 4 3" xfId="33895" xr:uid="{00000000-0005-0000-0000-0000A6080000}"/>
    <cellStyle name="Normal 10 3 7 4 4" xfId="24326" xr:uid="{00000000-0005-0000-0000-0000A7080000}"/>
    <cellStyle name="Normal 10 3 7 5" xfId="5649" xr:uid="{00000000-0005-0000-0000-0000A8080000}"/>
    <cellStyle name="Normal 10 3 7 5 2" xfId="53490" xr:uid="{00000000-0005-0000-0000-0000A9080000}"/>
    <cellStyle name="Normal 10 3 7 5 3" xfId="37390" xr:uid="{00000000-0005-0000-0000-0000AA080000}"/>
    <cellStyle name="Normal 10 3 7 5 4" xfId="18254" xr:uid="{00000000-0005-0000-0000-0000AB080000}"/>
    <cellStyle name="Normal 10 3 7 6" xfId="43923" xr:uid="{00000000-0005-0000-0000-0000AC080000}"/>
    <cellStyle name="Normal 10 3 7 7" xfId="27823" xr:uid="{00000000-0005-0000-0000-0000AD080000}"/>
    <cellStyle name="Normal 10 3 7 8" xfId="14759" xr:uid="{00000000-0005-0000-0000-0000AE080000}"/>
    <cellStyle name="Normal 10 3 8" xfId="1140" xr:uid="{00000000-0005-0000-0000-0000AF080000}"/>
    <cellStyle name="Normal 10 3 8 2" xfId="7674" xr:uid="{00000000-0005-0000-0000-0000B0080000}"/>
    <cellStyle name="Normal 10 3 8 2 2" xfId="39415" xr:uid="{00000000-0005-0000-0000-0000B1080000}"/>
    <cellStyle name="Normal 10 3 8 2 2 2" xfId="55515" xr:uid="{00000000-0005-0000-0000-0000B2080000}"/>
    <cellStyle name="Normal 10 3 8 2 3" xfId="45948" xr:uid="{00000000-0005-0000-0000-0000B3080000}"/>
    <cellStyle name="Normal 10 3 8 2 4" xfId="29848" xr:uid="{00000000-0005-0000-0000-0000B4080000}"/>
    <cellStyle name="Normal 10 3 8 2 5" xfId="20279" xr:uid="{00000000-0005-0000-0000-0000B5080000}"/>
    <cellStyle name="Normal 10 3 8 3" xfId="10710" xr:uid="{00000000-0005-0000-0000-0000B6080000}"/>
    <cellStyle name="Normal 10 3 8 3 2" xfId="48984" xr:uid="{00000000-0005-0000-0000-0000B7080000}"/>
    <cellStyle name="Normal 10 3 8 3 3" xfId="32884" xr:uid="{00000000-0005-0000-0000-0000B8080000}"/>
    <cellStyle name="Normal 10 3 8 3 4" xfId="23315" xr:uid="{00000000-0005-0000-0000-0000B9080000}"/>
    <cellStyle name="Normal 10 3 8 4" xfId="4638" xr:uid="{00000000-0005-0000-0000-0000BA080000}"/>
    <cellStyle name="Normal 10 3 8 4 2" xfId="52479" xr:uid="{00000000-0005-0000-0000-0000BB080000}"/>
    <cellStyle name="Normal 10 3 8 4 3" xfId="36379" xr:uid="{00000000-0005-0000-0000-0000BC080000}"/>
    <cellStyle name="Normal 10 3 8 4 4" xfId="17243" xr:uid="{00000000-0005-0000-0000-0000BD080000}"/>
    <cellStyle name="Normal 10 3 8 5" xfId="42912" xr:uid="{00000000-0005-0000-0000-0000BE080000}"/>
    <cellStyle name="Normal 10 3 8 6" xfId="26812" xr:uid="{00000000-0005-0000-0000-0000BF080000}"/>
    <cellStyle name="Normal 10 3 8 7" xfId="13748" xr:uid="{00000000-0005-0000-0000-0000C0080000}"/>
    <cellStyle name="Normal 10 3 9" xfId="3628" xr:uid="{00000000-0005-0000-0000-0000C1080000}"/>
    <cellStyle name="Normal 10 3 9 2" xfId="35369" xr:uid="{00000000-0005-0000-0000-0000C2080000}"/>
    <cellStyle name="Normal 10 3 9 2 2" xfId="51469" xr:uid="{00000000-0005-0000-0000-0000C3080000}"/>
    <cellStyle name="Normal 10 3 9 3" xfId="41902" xr:uid="{00000000-0005-0000-0000-0000C4080000}"/>
    <cellStyle name="Normal 10 3 9 4" xfId="25802" xr:uid="{00000000-0005-0000-0000-0000C5080000}"/>
    <cellStyle name="Normal 10 3 9 5" xfId="16233" xr:uid="{00000000-0005-0000-0000-0000C6080000}"/>
    <cellStyle name="Normal 10 4" xfId="92" xr:uid="{00000000-0005-0000-0000-0000C7080000}"/>
    <cellStyle name="Normal 10 4 10" xfId="6681" xr:uid="{00000000-0005-0000-0000-0000C8080000}"/>
    <cellStyle name="Normal 10 4 10 2" xfId="38422" xr:uid="{00000000-0005-0000-0000-0000C9080000}"/>
    <cellStyle name="Normal 10 4 10 2 2" xfId="54522" xr:uid="{00000000-0005-0000-0000-0000CA080000}"/>
    <cellStyle name="Normal 10 4 10 3" xfId="44955" xr:uid="{00000000-0005-0000-0000-0000CB080000}"/>
    <cellStyle name="Normal 10 4 10 4" xfId="28855" xr:uid="{00000000-0005-0000-0000-0000CC080000}"/>
    <cellStyle name="Normal 10 4 10 5" xfId="19286" xr:uid="{00000000-0005-0000-0000-0000CD080000}"/>
    <cellStyle name="Normal 10 4 11" xfId="9717" xr:uid="{00000000-0005-0000-0000-0000CE080000}"/>
    <cellStyle name="Normal 10 4 11 2" xfId="47991" xr:uid="{00000000-0005-0000-0000-0000CF080000}"/>
    <cellStyle name="Normal 10 4 11 3" xfId="31891" xr:uid="{00000000-0005-0000-0000-0000D0080000}"/>
    <cellStyle name="Normal 10 4 11 4" xfId="22322" xr:uid="{00000000-0005-0000-0000-0000D1080000}"/>
    <cellStyle name="Normal 10 4 12" xfId="3185" xr:uid="{00000000-0005-0000-0000-0000D2080000}"/>
    <cellStyle name="Normal 10 4 12 2" xfId="51027" xr:uid="{00000000-0005-0000-0000-0000D3080000}"/>
    <cellStyle name="Normal 10 4 12 3" xfId="34927" xr:uid="{00000000-0005-0000-0000-0000D4080000}"/>
    <cellStyle name="Normal 10 4 12 4" xfId="15791" xr:uid="{00000000-0005-0000-0000-0000D5080000}"/>
    <cellStyle name="Normal 10 4 13" xfId="41460" xr:uid="{00000000-0005-0000-0000-0000D6080000}"/>
    <cellStyle name="Normal 10 4 14" xfId="25360" xr:uid="{00000000-0005-0000-0000-0000D7080000}"/>
    <cellStyle name="Normal 10 4 15" xfId="12755" xr:uid="{00000000-0005-0000-0000-0000D8080000}"/>
    <cellStyle name="Normal 10 4 16" xfId="441" xr:uid="{00000000-0005-0000-0000-0000D9080000}"/>
    <cellStyle name="Normal 10 4 2" xfId="273" xr:uid="{00000000-0005-0000-0000-0000DA080000}"/>
    <cellStyle name="Normal 10 4 2 10" xfId="25597" xr:uid="{00000000-0005-0000-0000-0000DB080000}"/>
    <cellStyle name="Normal 10 4 2 11" xfId="13102" xr:uid="{00000000-0005-0000-0000-0000DC080000}"/>
    <cellStyle name="Normal 10 4 2 2" xfId="1053" xr:uid="{00000000-0005-0000-0000-0000DD080000}"/>
    <cellStyle name="Normal 10 4 2 2 2" xfId="3081" xr:uid="{00000000-0005-0000-0000-0000DE080000}"/>
    <cellStyle name="Normal 10 4 2 2 2 2" xfId="9613" xr:uid="{00000000-0005-0000-0000-0000DF080000}"/>
    <cellStyle name="Normal 10 4 2 2 2 2 2" xfId="41354" xr:uid="{00000000-0005-0000-0000-0000E0080000}"/>
    <cellStyle name="Normal 10 4 2 2 2 2 2 2" xfId="57454" xr:uid="{00000000-0005-0000-0000-0000E1080000}"/>
    <cellStyle name="Normal 10 4 2 2 2 2 3" xfId="47887" xr:uid="{00000000-0005-0000-0000-0000E2080000}"/>
    <cellStyle name="Normal 10 4 2 2 2 2 4" xfId="31787" xr:uid="{00000000-0005-0000-0000-0000E3080000}"/>
    <cellStyle name="Normal 10 4 2 2 2 2 5" xfId="22218" xr:uid="{00000000-0005-0000-0000-0000E4080000}"/>
    <cellStyle name="Normal 10 4 2 2 2 3" xfId="12649" xr:uid="{00000000-0005-0000-0000-0000E5080000}"/>
    <cellStyle name="Normal 10 4 2 2 2 3 2" xfId="50923" xr:uid="{00000000-0005-0000-0000-0000E6080000}"/>
    <cellStyle name="Normal 10 4 2 2 2 3 3" xfId="34823" xr:uid="{00000000-0005-0000-0000-0000E7080000}"/>
    <cellStyle name="Normal 10 4 2 2 2 3 4" xfId="25254" xr:uid="{00000000-0005-0000-0000-0000E8080000}"/>
    <cellStyle name="Normal 10 4 2 2 2 4" xfId="6577" xr:uid="{00000000-0005-0000-0000-0000E9080000}"/>
    <cellStyle name="Normal 10 4 2 2 2 4 2" xfId="54418" xr:uid="{00000000-0005-0000-0000-0000EA080000}"/>
    <cellStyle name="Normal 10 4 2 2 2 4 3" xfId="38318" xr:uid="{00000000-0005-0000-0000-0000EB080000}"/>
    <cellStyle name="Normal 10 4 2 2 2 4 4" xfId="19182" xr:uid="{00000000-0005-0000-0000-0000EC080000}"/>
    <cellStyle name="Normal 10 4 2 2 2 5" xfId="44851" xr:uid="{00000000-0005-0000-0000-0000ED080000}"/>
    <cellStyle name="Normal 10 4 2 2 2 6" xfId="28751" xr:uid="{00000000-0005-0000-0000-0000EE080000}"/>
    <cellStyle name="Normal 10 4 2 2 2 7" xfId="15687" xr:uid="{00000000-0005-0000-0000-0000EF080000}"/>
    <cellStyle name="Normal 10 4 2 2 3" xfId="2063" xr:uid="{00000000-0005-0000-0000-0000F0080000}"/>
    <cellStyle name="Normal 10 4 2 2 3 2" xfId="8597" xr:uid="{00000000-0005-0000-0000-0000F1080000}"/>
    <cellStyle name="Normal 10 4 2 2 3 2 2" xfId="40338" xr:uid="{00000000-0005-0000-0000-0000F2080000}"/>
    <cellStyle name="Normal 10 4 2 2 3 2 2 2" xfId="56438" xr:uid="{00000000-0005-0000-0000-0000F3080000}"/>
    <cellStyle name="Normal 10 4 2 2 3 2 3" xfId="46871" xr:uid="{00000000-0005-0000-0000-0000F4080000}"/>
    <cellStyle name="Normal 10 4 2 2 3 2 4" xfId="30771" xr:uid="{00000000-0005-0000-0000-0000F5080000}"/>
    <cellStyle name="Normal 10 4 2 2 3 2 5" xfId="21202" xr:uid="{00000000-0005-0000-0000-0000F6080000}"/>
    <cellStyle name="Normal 10 4 2 2 3 3" xfId="11633" xr:uid="{00000000-0005-0000-0000-0000F7080000}"/>
    <cellStyle name="Normal 10 4 2 2 3 3 2" xfId="49907" xr:uid="{00000000-0005-0000-0000-0000F8080000}"/>
    <cellStyle name="Normal 10 4 2 2 3 3 3" xfId="33807" xr:uid="{00000000-0005-0000-0000-0000F9080000}"/>
    <cellStyle name="Normal 10 4 2 2 3 3 4" xfId="24238" xr:uid="{00000000-0005-0000-0000-0000FA080000}"/>
    <cellStyle name="Normal 10 4 2 2 3 4" xfId="5561" xr:uid="{00000000-0005-0000-0000-0000FB080000}"/>
    <cellStyle name="Normal 10 4 2 2 3 4 2" xfId="53402" xr:uid="{00000000-0005-0000-0000-0000FC080000}"/>
    <cellStyle name="Normal 10 4 2 2 3 4 3" xfId="37302" xr:uid="{00000000-0005-0000-0000-0000FD080000}"/>
    <cellStyle name="Normal 10 4 2 2 3 4 4" xfId="18166" xr:uid="{00000000-0005-0000-0000-0000FE080000}"/>
    <cellStyle name="Normal 10 4 2 2 3 5" xfId="43835" xr:uid="{00000000-0005-0000-0000-0000FF080000}"/>
    <cellStyle name="Normal 10 4 2 2 3 6" xfId="27735" xr:uid="{00000000-0005-0000-0000-000000090000}"/>
    <cellStyle name="Normal 10 4 2 2 3 7" xfId="14671" xr:uid="{00000000-0005-0000-0000-000001090000}"/>
    <cellStyle name="Normal 10 4 2 2 4" xfId="7587" xr:uid="{00000000-0005-0000-0000-000002090000}"/>
    <cellStyle name="Normal 10 4 2 2 4 2" xfId="39328" xr:uid="{00000000-0005-0000-0000-000003090000}"/>
    <cellStyle name="Normal 10 4 2 2 4 2 2" xfId="55428" xr:uid="{00000000-0005-0000-0000-000004090000}"/>
    <cellStyle name="Normal 10 4 2 2 4 3" xfId="45861" xr:uid="{00000000-0005-0000-0000-000005090000}"/>
    <cellStyle name="Normal 10 4 2 2 4 4" xfId="29761" xr:uid="{00000000-0005-0000-0000-000006090000}"/>
    <cellStyle name="Normal 10 4 2 2 4 5" xfId="20192" xr:uid="{00000000-0005-0000-0000-000007090000}"/>
    <cellStyle name="Normal 10 4 2 2 5" xfId="10623" xr:uid="{00000000-0005-0000-0000-000008090000}"/>
    <cellStyle name="Normal 10 4 2 2 5 2" xfId="48897" xr:uid="{00000000-0005-0000-0000-000009090000}"/>
    <cellStyle name="Normal 10 4 2 2 5 3" xfId="32797" xr:uid="{00000000-0005-0000-0000-00000A090000}"/>
    <cellStyle name="Normal 10 4 2 2 5 4" xfId="23228" xr:uid="{00000000-0005-0000-0000-00000B090000}"/>
    <cellStyle name="Normal 10 4 2 2 6" xfId="4551" xr:uid="{00000000-0005-0000-0000-00000C090000}"/>
    <cellStyle name="Normal 10 4 2 2 6 2" xfId="52392" xr:uid="{00000000-0005-0000-0000-00000D090000}"/>
    <cellStyle name="Normal 10 4 2 2 6 3" xfId="36292" xr:uid="{00000000-0005-0000-0000-00000E090000}"/>
    <cellStyle name="Normal 10 4 2 2 6 4" xfId="17156" xr:uid="{00000000-0005-0000-0000-00000F090000}"/>
    <cellStyle name="Normal 10 4 2 2 7" xfId="42825" xr:uid="{00000000-0005-0000-0000-000010090000}"/>
    <cellStyle name="Normal 10 4 2 2 8" xfId="26725" xr:uid="{00000000-0005-0000-0000-000011090000}"/>
    <cellStyle name="Normal 10 4 2 2 9" xfId="13661" xr:uid="{00000000-0005-0000-0000-000012090000}"/>
    <cellStyle name="Normal 10 4 2 3" xfId="2292" xr:uid="{00000000-0005-0000-0000-000013090000}"/>
    <cellStyle name="Normal 10 4 2 3 2" xfId="8826" xr:uid="{00000000-0005-0000-0000-000014090000}"/>
    <cellStyle name="Normal 10 4 2 3 2 2" xfId="40567" xr:uid="{00000000-0005-0000-0000-000015090000}"/>
    <cellStyle name="Normal 10 4 2 3 2 2 2" xfId="56667" xr:uid="{00000000-0005-0000-0000-000016090000}"/>
    <cellStyle name="Normal 10 4 2 3 2 3" xfId="47100" xr:uid="{00000000-0005-0000-0000-000017090000}"/>
    <cellStyle name="Normal 10 4 2 3 2 4" xfId="31000" xr:uid="{00000000-0005-0000-0000-000018090000}"/>
    <cellStyle name="Normal 10 4 2 3 2 5" xfId="21431" xr:uid="{00000000-0005-0000-0000-000019090000}"/>
    <cellStyle name="Normal 10 4 2 3 3" xfId="11862" xr:uid="{00000000-0005-0000-0000-00001A090000}"/>
    <cellStyle name="Normal 10 4 2 3 3 2" xfId="50136" xr:uid="{00000000-0005-0000-0000-00001B090000}"/>
    <cellStyle name="Normal 10 4 2 3 3 3" xfId="34036" xr:uid="{00000000-0005-0000-0000-00001C090000}"/>
    <cellStyle name="Normal 10 4 2 3 3 4" xfId="24467" xr:uid="{00000000-0005-0000-0000-00001D090000}"/>
    <cellStyle name="Normal 10 4 2 3 4" xfId="5790" xr:uid="{00000000-0005-0000-0000-00001E090000}"/>
    <cellStyle name="Normal 10 4 2 3 4 2" xfId="53631" xr:uid="{00000000-0005-0000-0000-00001F090000}"/>
    <cellStyle name="Normal 10 4 2 3 4 3" xfId="37531" xr:uid="{00000000-0005-0000-0000-000020090000}"/>
    <cellStyle name="Normal 10 4 2 3 4 4" xfId="18395" xr:uid="{00000000-0005-0000-0000-000021090000}"/>
    <cellStyle name="Normal 10 4 2 3 5" xfId="44064" xr:uid="{00000000-0005-0000-0000-000022090000}"/>
    <cellStyle name="Normal 10 4 2 3 6" xfId="27964" xr:uid="{00000000-0005-0000-0000-000023090000}"/>
    <cellStyle name="Normal 10 4 2 3 7" xfId="14900" xr:uid="{00000000-0005-0000-0000-000024090000}"/>
    <cellStyle name="Normal 10 4 2 4" xfId="1504" xr:uid="{00000000-0005-0000-0000-000025090000}"/>
    <cellStyle name="Normal 10 4 2 4 2" xfId="8038" xr:uid="{00000000-0005-0000-0000-000026090000}"/>
    <cellStyle name="Normal 10 4 2 4 2 2" xfId="39779" xr:uid="{00000000-0005-0000-0000-000027090000}"/>
    <cellStyle name="Normal 10 4 2 4 2 2 2" xfId="55879" xr:uid="{00000000-0005-0000-0000-000028090000}"/>
    <cellStyle name="Normal 10 4 2 4 2 3" xfId="46312" xr:uid="{00000000-0005-0000-0000-000029090000}"/>
    <cellStyle name="Normal 10 4 2 4 2 4" xfId="30212" xr:uid="{00000000-0005-0000-0000-00002A090000}"/>
    <cellStyle name="Normal 10 4 2 4 2 5" xfId="20643" xr:uid="{00000000-0005-0000-0000-00002B090000}"/>
    <cellStyle name="Normal 10 4 2 4 3" xfId="11074" xr:uid="{00000000-0005-0000-0000-00002C090000}"/>
    <cellStyle name="Normal 10 4 2 4 3 2" xfId="49348" xr:uid="{00000000-0005-0000-0000-00002D090000}"/>
    <cellStyle name="Normal 10 4 2 4 3 3" xfId="33248" xr:uid="{00000000-0005-0000-0000-00002E090000}"/>
    <cellStyle name="Normal 10 4 2 4 3 4" xfId="23679" xr:uid="{00000000-0005-0000-0000-00002F090000}"/>
    <cellStyle name="Normal 10 4 2 4 4" xfId="5002" xr:uid="{00000000-0005-0000-0000-000030090000}"/>
    <cellStyle name="Normal 10 4 2 4 4 2" xfId="52843" xr:uid="{00000000-0005-0000-0000-000031090000}"/>
    <cellStyle name="Normal 10 4 2 4 4 3" xfId="36743" xr:uid="{00000000-0005-0000-0000-000032090000}"/>
    <cellStyle name="Normal 10 4 2 4 4 4" xfId="17607" xr:uid="{00000000-0005-0000-0000-000033090000}"/>
    <cellStyle name="Normal 10 4 2 4 5" xfId="43276" xr:uid="{00000000-0005-0000-0000-000034090000}"/>
    <cellStyle name="Normal 10 4 2 4 6" xfId="27176" xr:uid="{00000000-0005-0000-0000-000035090000}"/>
    <cellStyle name="Normal 10 4 2 4 7" xfId="14112" xr:uid="{00000000-0005-0000-0000-000036090000}"/>
    <cellStyle name="Normal 10 4 2 5" xfId="3992" xr:uid="{00000000-0005-0000-0000-000037090000}"/>
    <cellStyle name="Normal 10 4 2 5 2" xfId="35733" xr:uid="{00000000-0005-0000-0000-000038090000}"/>
    <cellStyle name="Normal 10 4 2 5 2 2" xfId="51833" xr:uid="{00000000-0005-0000-0000-000039090000}"/>
    <cellStyle name="Normal 10 4 2 5 3" xfId="42266" xr:uid="{00000000-0005-0000-0000-00003A090000}"/>
    <cellStyle name="Normal 10 4 2 5 4" xfId="26166" xr:uid="{00000000-0005-0000-0000-00003B090000}"/>
    <cellStyle name="Normal 10 4 2 5 5" xfId="16597" xr:uid="{00000000-0005-0000-0000-00003C090000}"/>
    <cellStyle name="Normal 10 4 2 6" xfId="7028" xr:uid="{00000000-0005-0000-0000-00003D090000}"/>
    <cellStyle name="Normal 10 4 2 6 2" xfId="38769" xr:uid="{00000000-0005-0000-0000-00003E090000}"/>
    <cellStyle name="Normal 10 4 2 6 2 2" xfId="54869" xr:uid="{00000000-0005-0000-0000-00003F090000}"/>
    <cellStyle name="Normal 10 4 2 6 3" xfId="45302" xr:uid="{00000000-0005-0000-0000-000040090000}"/>
    <cellStyle name="Normal 10 4 2 6 4" xfId="29202" xr:uid="{00000000-0005-0000-0000-000041090000}"/>
    <cellStyle name="Normal 10 4 2 6 5" xfId="19633" xr:uid="{00000000-0005-0000-0000-000042090000}"/>
    <cellStyle name="Normal 10 4 2 7" xfId="10064" xr:uid="{00000000-0005-0000-0000-000043090000}"/>
    <cellStyle name="Normal 10 4 2 7 2" xfId="48338" xr:uid="{00000000-0005-0000-0000-000044090000}"/>
    <cellStyle name="Normal 10 4 2 7 3" xfId="32238" xr:uid="{00000000-0005-0000-0000-000045090000}"/>
    <cellStyle name="Normal 10 4 2 7 4" xfId="22669" xr:uid="{00000000-0005-0000-0000-000046090000}"/>
    <cellStyle name="Normal 10 4 2 8" xfId="3423" xr:uid="{00000000-0005-0000-0000-000047090000}"/>
    <cellStyle name="Normal 10 4 2 8 2" xfId="51264" xr:uid="{00000000-0005-0000-0000-000048090000}"/>
    <cellStyle name="Normal 10 4 2 8 3" xfId="35164" xr:uid="{00000000-0005-0000-0000-000049090000}"/>
    <cellStyle name="Normal 10 4 2 8 4" xfId="16028" xr:uid="{00000000-0005-0000-0000-00004A090000}"/>
    <cellStyle name="Normal 10 4 2 9" xfId="41697" xr:uid="{00000000-0005-0000-0000-00004B090000}"/>
    <cellStyle name="Normal 10 4 3" xfId="548" xr:uid="{00000000-0005-0000-0000-00004C090000}"/>
    <cellStyle name="Normal 10 4 3 2" xfId="2578" xr:uid="{00000000-0005-0000-0000-00004D090000}"/>
    <cellStyle name="Normal 10 4 3 2 2" xfId="9110" xr:uid="{00000000-0005-0000-0000-00004E090000}"/>
    <cellStyle name="Normal 10 4 3 2 2 2" xfId="40851" xr:uid="{00000000-0005-0000-0000-00004F090000}"/>
    <cellStyle name="Normal 10 4 3 2 2 2 2" xfId="56951" xr:uid="{00000000-0005-0000-0000-000050090000}"/>
    <cellStyle name="Normal 10 4 3 2 2 3" xfId="47384" xr:uid="{00000000-0005-0000-0000-000051090000}"/>
    <cellStyle name="Normal 10 4 3 2 2 4" xfId="31284" xr:uid="{00000000-0005-0000-0000-000052090000}"/>
    <cellStyle name="Normal 10 4 3 2 2 5" xfId="21715" xr:uid="{00000000-0005-0000-0000-000053090000}"/>
    <cellStyle name="Normal 10 4 3 2 3" xfId="12146" xr:uid="{00000000-0005-0000-0000-000054090000}"/>
    <cellStyle name="Normal 10 4 3 2 3 2" xfId="50420" xr:uid="{00000000-0005-0000-0000-000055090000}"/>
    <cellStyle name="Normal 10 4 3 2 3 3" xfId="34320" xr:uid="{00000000-0005-0000-0000-000056090000}"/>
    <cellStyle name="Normal 10 4 3 2 3 4" xfId="24751" xr:uid="{00000000-0005-0000-0000-000057090000}"/>
    <cellStyle name="Normal 10 4 3 2 4" xfId="6074" xr:uid="{00000000-0005-0000-0000-000058090000}"/>
    <cellStyle name="Normal 10 4 3 2 4 2" xfId="53915" xr:uid="{00000000-0005-0000-0000-000059090000}"/>
    <cellStyle name="Normal 10 4 3 2 4 3" xfId="37815" xr:uid="{00000000-0005-0000-0000-00005A090000}"/>
    <cellStyle name="Normal 10 4 3 2 4 4" xfId="18679" xr:uid="{00000000-0005-0000-0000-00005B090000}"/>
    <cellStyle name="Normal 10 4 3 2 5" xfId="44348" xr:uid="{00000000-0005-0000-0000-00005C090000}"/>
    <cellStyle name="Normal 10 4 3 2 6" xfId="28248" xr:uid="{00000000-0005-0000-0000-00005D090000}"/>
    <cellStyle name="Normal 10 4 3 2 7" xfId="15184" xr:uid="{00000000-0005-0000-0000-00005E090000}"/>
    <cellStyle name="Normal 10 4 3 3" xfId="1327" xr:uid="{00000000-0005-0000-0000-00005F090000}"/>
    <cellStyle name="Normal 10 4 3 3 2" xfId="7861" xr:uid="{00000000-0005-0000-0000-000060090000}"/>
    <cellStyle name="Normal 10 4 3 3 2 2" xfId="39602" xr:uid="{00000000-0005-0000-0000-000061090000}"/>
    <cellStyle name="Normal 10 4 3 3 2 2 2" xfId="55702" xr:uid="{00000000-0005-0000-0000-000062090000}"/>
    <cellStyle name="Normal 10 4 3 3 2 3" xfId="46135" xr:uid="{00000000-0005-0000-0000-000063090000}"/>
    <cellStyle name="Normal 10 4 3 3 2 4" xfId="30035" xr:uid="{00000000-0005-0000-0000-000064090000}"/>
    <cellStyle name="Normal 10 4 3 3 2 5" xfId="20466" xr:uid="{00000000-0005-0000-0000-000065090000}"/>
    <cellStyle name="Normal 10 4 3 3 3" xfId="10897" xr:uid="{00000000-0005-0000-0000-000066090000}"/>
    <cellStyle name="Normal 10 4 3 3 3 2" xfId="49171" xr:uid="{00000000-0005-0000-0000-000067090000}"/>
    <cellStyle name="Normal 10 4 3 3 3 3" xfId="33071" xr:uid="{00000000-0005-0000-0000-000068090000}"/>
    <cellStyle name="Normal 10 4 3 3 3 4" xfId="23502" xr:uid="{00000000-0005-0000-0000-000069090000}"/>
    <cellStyle name="Normal 10 4 3 3 4" xfId="4825" xr:uid="{00000000-0005-0000-0000-00006A090000}"/>
    <cellStyle name="Normal 10 4 3 3 4 2" xfId="52666" xr:uid="{00000000-0005-0000-0000-00006B090000}"/>
    <cellStyle name="Normal 10 4 3 3 4 3" xfId="36566" xr:uid="{00000000-0005-0000-0000-00006C090000}"/>
    <cellStyle name="Normal 10 4 3 3 4 4" xfId="17430" xr:uid="{00000000-0005-0000-0000-00006D090000}"/>
    <cellStyle name="Normal 10 4 3 3 5" xfId="43099" xr:uid="{00000000-0005-0000-0000-00006E090000}"/>
    <cellStyle name="Normal 10 4 3 3 6" xfId="26999" xr:uid="{00000000-0005-0000-0000-00006F090000}"/>
    <cellStyle name="Normal 10 4 3 3 7" xfId="13935" xr:uid="{00000000-0005-0000-0000-000070090000}"/>
    <cellStyle name="Normal 10 4 3 4" xfId="6851" xr:uid="{00000000-0005-0000-0000-000071090000}"/>
    <cellStyle name="Normal 10 4 3 4 2" xfId="38592" xr:uid="{00000000-0005-0000-0000-000072090000}"/>
    <cellStyle name="Normal 10 4 3 4 2 2" xfId="54692" xr:uid="{00000000-0005-0000-0000-000073090000}"/>
    <cellStyle name="Normal 10 4 3 4 3" xfId="45125" xr:uid="{00000000-0005-0000-0000-000074090000}"/>
    <cellStyle name="Normal 10 4 3 4 4" xfId="29025" xr:uid="{00000000-0005-0000-0000-000075090000}"/>
    <cellStyle name="Normal 10 4 3 4 5" xfId="19456" xr:uid="{00000000-0005-0000-0000-000076090000}"/>
    <cellStyle name="Normal 10 4 3 5" xfId="9887" xr:uid="{00000000-0005-0000-0000-000077090000}"/>
    <cellStyle name="Normal 10 4 3 5 2" xfId="48161" xr:uid="{00000000-0005-0000-0000-000078090000}"/>
    <cellStyle name="Normal 10 4 3 5 3" xfId="32061" xr:uid="{00000000-0005-0000-0000-000079090000}"/>
    <cellStyle name="Normal 10 4 3 5 4" xfId="22492" xr:uid="{00000000-0005-0000-0000-00007A090000}"/>
    <cellStyle name="Normal 10 4 3 6" xfId="3815" xr:uid="{00000000-0005-0000-0000-00007B090000}"/>
    <cellStyle name="Normal 10 4 3 6 2" xfId="51656" xr:uid="{00000000-0005-0000-0000-00007C090000}"/>
    <cellStyle name="Normal 10 4 3 6 3" xfId="35556" xr:uid="{00000000-0005-0000-0000-00007D090000}"/>
    <cellStyle name="Normal 10 4 3 6 4" xfId="16420" xr:uid="{00000000-0005-0000-0000-00007E090000}"/>
    <cellStyle name="Normal 10 4 3 7" xfId="42089" xr:uid="{00000000-0005-0000-0000-00007F090000}"/>
    <cellStyle name="Normal 10 4 3 8" xfId="25989" xr:uid="{00000000-0005-0000-0000-000080090000}"/>
    <cellStyle name="Normal 10 4 3 9" xfId="12925" xr:uid="{00000000-0005-0000-0000-000081090000}"/>
    <cellStyle name="Normal 10 4 4" xfId="830" xr:uid="{00000000-0005-0000-0000-000082090000}"/>
    <cellStyle name="Normal 10 4 4 2" xfId="2858" xr:uid="{00000000-0005-0000-0000-000083090000}"/>
    <cellStyle name="Normal 10 4 4 2 2" xfId="9390" xr:uid="{00000000-0005-0000-0000-000084090000}"/>
    <cellStyle name="Normal 10 4 4 2 2 2" xfId="41131" xr:uid="{00000000-0005-0000-0000-000085090000}"/>
    <cellStyle name="Normal 10 4 4 2 2 2 2" xfId="57231" xr:uid="{00000000-0005-0000-0000-000086090000}"/>
    <cellStyle name="Normal 10 4 4 2 2 3" xfId="47664" xr:uid="{00000000-0005-0000-0000-000087090000}"/>
    <cellStyle name="Normal 10 4 4 2 2 4" xfId="31564" xr:uid="{00000000-0005-0000-0000-000088090000}"/>
    <cellStyle name="Normal 10 4 4 2 2 5" xfId="21995" xr:uid="{00000000-0005-0000-0000-000089090000}"/>
    <cellStyle name="Normal 10 4 4 2 3" xfId="12426" xr:uid="{00000000-0005-0000-0000-00008A090000}"/>
    <cellStyle name="Normal 10 4 4 2 3 2" xfId="50700" xr:uid="{00000000-0005-0000-0000-00008B090000}"/>
    <cellStyle name="Normal 10 4 4 2 3 3" xfId="34600" xr:uid="{00000000-0005-0000-0000-00008C090000}"/>
    <cellStyle name="Normal 10 4 4 2 3 4" xfId="25031" xr:uid="{00000000-0005-0000-0000-00008D090000}"/>
    <cellStyle name="Normal 10 4 4 2 4" xfId="6354" xr:uid="{00000000-0005-0000-0000-00008E090000}"/>
    <cellStyle name="Normal 10 4 4 2 4 2" xfId="54195" xr:uid="{00000000-0005-0000-0000-00008F090000}"/>
    <cellStyle name="Normal 10 4 4 2 4 3" xfId="38095" xr:uid="{00000000-0005-0000-0000-000090090000}"/>
    <cellStyle name="Normal 10 4 4 2 4 4" xfId="18959" xr:uid="{00000000-0005-0000-0000-000091090000}"/>
    <cellStyle name="Normal 10 4 4 2 5" xfId="44628" xr:uid="{00000000-0005-0000-0000-000092090000}"/>
    <cellStyle name="Normal 10 4 4 2 6" xfId="28528" xr:uid="{00000000-0005-0000-0000-000093090000}"/>
    <cellStyle name="Normal 10 4 4 2 7" xfId="15464" xr:uid="{00000000-0005-0000-0000-000094090000}"/>
    <cellStyle name="Normal 10 4 4 3" xfId="1840" xr:uid="{00000000-0005-0000-0000-000095090000}"/>
    <cellStyle name="Normal 10 4 4 3 2" xfId="8374" xr:uid="{00000000-0005-0000-0000-000096090000}"/>
    <cellStyle name="Normal 10 4 4 3 2 2" xfId="40115" xr:uid="{00000000-0005-0000-0000-000097090000}"/>
    <cellStyle name="Normal 10 4 4 3 2 2 2" xfId="56215" xr:uid="{00000000-0005-0000-0000-000098090000}"/>
    <cellStyle name="Normal 10 4 4 3 2 3" xfId="46648" xr:uid="{00000000-0005-0000-0000-000099090000}"/>
    <cellStyle name="Normal 10 4 4 3 2 4" xfId="30548" xr:uid="{00000000-0005-0000-0000-00009A090000}"/>
    <cellStyle name="Normal 10 4 4 3 2 5" xfId="20979" xr:uid="{00000000-0005-0000-0000-00009B090000}"/>
    <cellStyle name="Normal 10 4 4 3 3" xfId="11410" xr:uid="{00000000-0005-0000-0000-00009C090000}"/>
    <cellStyle name="Normal 10 4 4 3 3 2" xfId="49684" xr:uid="{00000000-0005-0000-0000-00009D090000}"/>
    <cellStyle name="Normal 10 4 4 3 3 3" xfId="33584" xr:uid="{00000000-0005-0000-0000-00009E090000}"/>
    <cellStyle name="Normal 10 4 4 3 3 4" xfId="24015" xr:uid="{00000000-0005-0000-0000-00009F090000}"/>
    <cellStyle name="Normal 10 4 4 3 4" xfId="5338" xr:uid="{00000000-0005-0000-0000-0000A0090000}"/>
    <cellStyle name="Normal 10 4 4 3 4 2" xfId="53179" xr:uid="{00000000-0005-0000-0000-0000A1090000}"/>
    <cellStyle name="Normal 10 4 4 3 4 3" xfId="37079" xr:uid="{00000000-0005-0000-0000-0000A2090000}"/>
    <cellStyle name="Normal 10 4 4 3 4 4" xfId="17943" xr:uid="{00000000-0005-0000-0000-0000A3090000}"/>
    <cellStyle name="Normal 10 4 4 3 5" xfId="43612" xr:uid="{00000000-0005-0000-0000-0000A4090000}"/>
    <cellStyle name="Normal 10 4 4 3 6" xfId="27512" xr:uid="{00000000-0005-0000-0000-0000A5090000}"/>
    <cellStyle name="Normal 10 4 4 3 7" xfId="14448" xr:uid="{00000000-0005-0000-0000-0000A6090000}"/>
    <cellStyle name="Normal 10 4 4 4" xfId="7364" xr:uid="{00000000-0005-0000-0000-0000A7090000}"/>
    <cellStyle name="Normal 10 4 4 4 2" xfId="39105" xr:uid="{00000000-0005-0000-0000-0000A8090000}"/>
    <cellStyle name="Normal 10 4 4 4 2 2" xfId="55205" xr:uid="{00000000-0005-0000-0000-0000A9090000}"/>
    <cellStyle name="Normal 10 4 4 4 3" xfId="45638" xr:uid="{00000000-0005-0000-0000-0000AA090000}"/>
    <cellStyle name="Normal 10 4 4 4 4" xfId="29538" xr:uid="{00000000-0005-0000-0000-0000AB090000}"/>
    <cellStyle name="Normal 10 4 4 4 5" xfId="19969" xr:uid="{00000000-0005-0000-0000-0000AC090000}"/>
    <cellStyle name="Normal 10 4 4 5" xfId="10400" xr:uid="{00000000-0005-0000-0000-0000AD090000}"/>
    <cellStyle name="Normal 10 4 4 5 2" xfId="48674" xr:uid="{00000000-0005-0000-0000-0000AE090000}"/>
    <cellStyle name="Normal 10 4 4 5 3" xfId="32574" xr:uid="{00000000-0005-0000-0000-0000AF090000}"/>
    <cellStyle name="Normal 10 4 4 5 4" xfId="23005" xr:uid="{00000000-0005-0000-0000-0000B0090000}"/>
    <cellStyle name="Normal 10 4 4 6" xfId="4328" xr:uid="{00000000-0005-0000-0000-0000B1090000}"/>
    <cellStyle name="Normal 10 4 4 6 2" xfId="52169" xr:uid="{00000000-0005-0000-0000-0000B2090000}"/>
    <cellStyle name="Normal 10 4 4 6 3" xfId="36069" xr:uid="{00000000-0005-0000-0000-0000B3090000}"/>
    <cellStyle name="Normal 10 4 4 6 4" xfId="16933" xr:uid="{00000000-0005-0000-0000-0000B4090000}"/>
    <cellStyle name="Normal 10 4 4 7" xfId="42602" xr:uid="{00000000-0005-0000-0000-0000B5090000}"/>
    <cellStyle name="Normal 10 4 4 8" xfId="26502" xr:uid="{00000000-0005-0000-0000-0000B6090000}"/>
    <cellStyle name="Normal 10 4 4 9" xfId="13438" xr:uid="{00000000-0005-0000-0000-0000B7090000}"/>
    <cellStyle name="Normal 10 4 5" xfId="656" xr:uid="{00000000-0005-0000-0000-0000B8090000}"/>
    <cellStyle name="Normal 10 4 5 2" xfId="2684" xr:uid="{00000000-0005-0000-0000-0000B9090000}"/>
    <cellStyle name="Normal 10 4 5 2 2" xfId="9216" xr:uid="{00000000-0005-0000-0000-0000BA090000}"/>
    <cellStyle name="Normal 10 4 5 2 2 2" xfId="40957" xr:uid="{00000000-0005-0000-0000-0000BB090000}"/>
    <cellStyle name="Normal 10 4 5 2 2 2 2" xfId="57057" xr:uid="{00000000-0005-0000-0000-0000BC090000}"/>
    <cellStyle name="Normal 10 4 5 2 2 3" xfId="47490" xr:uid="{00000000-0005-0000-0000-0000BD090000}"/>
    <cellStyle name="Normal 10 4 5 2 2 4" xfId="31390" xr:uid="{00000000-0005-0000-0000-0000BE090000}"/>
    <cellStyle name="Normal 10 4 5 2 2 5" xfId="21821" xr:uid="{00000000-0005-0000-0000-0000BF090000}"/>
    <cellStyle name="Normal 10 4 5 2 3" xfId="12252" xr:uid="{00000000-0005-0000-0000-0000C0090000}"/>
    <cellStyle name="Normal 10 4 5 2 3 2" xfId="50526" xr:uid="{00000000-0005-0000-0000-0000C1090000}"/>
    <cellStyle name="Normal 10 4 5 2 3 3" xfId="34426" xr:uid="{00000000-0005-0000-0000-0000C2090000}"/>
    <cellStyle name="Normal 10 4 5 2 3 4" xfId="24857" xr:uid="{00000000-0005-0000-0000-0000C3090000}"/>
    <cellStyle name="Normal 10 4 5 2 4" xfId="6180" xr:uid="{00000000-0005-0000-0000-0000C4090000}"/>
    <cellStyle name="Normal 10 4 5 2 4 2" xfId="54021" xr:uid="{00000000-0005-0000-0000-0000C5090000}"/>
    <cellStyle name="Normal 10 4 5 2 4 3" xfId="37921" xr:uid="{00000000-0005-0000-0000-0000C6090000}"/>
    <cellStyle name="Normal 10 4 5 2 4 4" xfId="18785" xr:uid="{00000000-0005-0000-0000-0000C7090000}"/>
    <cellStyle name="Normal 10 4 5 2 5" xfId="44454" xr:uid="{00000000-0005-0000-0000-0000C8090000}"/>
    <cellStyle name="Normal 10 4 5 2 6" xfId="28354" xr:uid="{00000000-0005-0000-0000-0000C9090000}"/>
    <cellStyle name="Normal 10 4 5 2 7" xfId="15290" xr:uid="{00000000-0005-0000-0000-0000CA090000}"/>
    <cellStyle name="Normal 10 4 5 3" xfId="1666" xr:uid="{00000000-0005-0000-0000-0000CB090000}"/>
    <cellStyle name="Normal 10 4 5 3 2" xfId="8200" xr:uid="{00000000-0005-0000-0000-0000CC090000}"/>
    <cellStyle name="Normal 10 4 5 3 2 2" xfId="39941" xr:uid="{00000000-0005-0000-0000-0000CD090000}"/>
    <cellStyle name="Normal 10 4 5 3 2 2 2" xfId="56041" xr:uid="{00000000-0005-0000-0000-0000CE090000}"/>
    <cellStyle name="Normal 10 4 5 3 2 3" xfId="46474" xr:uid="{00000000-0005-0000-0000-0000CF090000}"/>
    <cellStyle name="Normal 10 4 5 3 2 4" xfId="30374" xr:uid="{00000000-0005-0000-0000-0000D0090000}"/>
    <cellStyle name="Normal 10 4 5 3 2 5" xfId="20805" xr:uid="{00000000-0005-0000-0000-0000D1090000}"/>
    <cellStyle name="Normal 10 4 5 3 3" xfId="11236" xr:uid="{00000000-0005-0000-0000-0000D2090000}"/>
    <cellStyle name="Normal 10 4 5 3 3 2" xfId="49510" xr:uid="{00000000-0005-0000-0000-0000D3090000}"/>
    <cellStyle name="Normal 10 4 5 3 3 3" xfId="33410" xr:uid="{00000000-0005-0000-0000-0000D4090000}"/>
    <cellStyle name="Normal 10 4 5 3 3 4" xfId="23841" xr:uid="{00000000-0005-0000-0000-0000D5090000}"/>
    <cellStyle name="Normal 10 4 5 3 4" xfId="5164" xr:uid="{00000000-0005-0000-0000-0000D6090000}"/>
    <cellStyle name="Normal 10 4 5 3 4 2" xfId="53005" xr:uid="{00000000-0005-0000-0000-0000D7090000}"/>
    <cellStyle name="Normal 10 4 5 3 4 3" xfId="36905" xr:uid="{00000000-0005-0000-0000-0000D8090000}"/>
    <cellStyle name="Normal 10 4 5 3 4 4" xfId="17769" xr:uid="{00000000-0005-0000-0000-0000D9090000}"/>
    <cellStyle name="Normal 10 4 5 3 5" xfId="43438" xr:uid="{00000000-0005-0000-0000-0000DA090000}"/>
    <cellStyle name="Normal 10 4 5 3 6" xfId="27338" xr:uid="{00000000-0005-0000-0000-0000DB090000}"/>
    <cellStyle name="Normal 10 4 5 3 7" xfId="14274" xr:uid="{00000000-0005-0000-0000-0000DC090000}"/>
    <cellStyle name="Normal 10 4 5 4" xfId="7190" xr:uid="{00000000-0005-0000-0000-0000DD090000}"/>
    <cellStyle name="Normal 10 4 5 4 2" xfId="38931" xr:uid="{00000000-0005-0000-0000-0000DE090000}"/>
    <cellStyle name="Normal 10 4 5 4 2 2" xfId="55031" xr:uid="{00000000-0005-0000-0000-0000DF090000}"/>
    <cellStyle name="Normal 10 4 5 4 3" xfId="45464" xr:uid="{00000000-0005-0000-0000-0000E0090000}"/>
    <cellStyle name="Normal 10 4 5 4 4" xfId="29364" xr:uid="{00000000-0005-0000-0000-0000E1090000}"/>
    <cellStyle name="Normal 10 4 5 4 5" xfId="19795" xr:uid="{00000000-0005-0000-0000-0000E2090000}"/>
    <cellStyle name="Normal 10 4 5 5" xfId="10226" xr:uid="{00000000-0005-0000-0000-0000E3090000}"/>
    <cellStyle name="Normal 10 4 5 5 2" xfId="48500" xr:uid="{00000000-0005-0000-0000-0000E4090000}"/>
    <cellStyle name="Normal 10 4 5 5 3" xfId="32400" xr:uid="{00000000-0005-0000-0000-0000E5090000}"/>
    <cellStyle name="Normal 10 4 5 5 4" xfId="22831" xr:uid="{00000000-0005-0000-0000-0000E6090000}"/>
    <cellStyle name="Normal 10 4 5 6" xfId="4154" xr:uid="{00000000-0005-0000-0000-0000E7090000}"/>
    <cellStyle name="Normal 10 4 5 6 2" xfId="51995" xr:uid="{00000000-0005-0000-0000-0000E8090000}"/>
    <cellStyle name="Normal 10 4 5 6 3" xfId="35895" xr:uid="{00000000-0005-0000-0000-0000E9090000}"/>
    <cellStyle name="Normal 10 4 5 6 4" xfId="16759" xr:uid="{00000000-0005-0000-0000-0000EA090000}"/>
    <cellStyle name="Normal 10 4 5 7" xfId="42428" xr:uid="{00000000-0005-0000-0000-0000EB090000}"/>
    <cellStyle name="Normal 10 4 5 8" xfId="26328" xr:uid="{00000000-0005-0000-0000-0000EC090000}"/>
    <cellStyle name="Normal 10 4 5 9" xfId="13264" xr:uid="{00000000-0005-0000-0000-0000ED090000}"/>
    <cellStyle name="Normal 10 4 6" xfId="2115" xr:uid="{00000000-0005-0000-0000-0000EE090000}"/>
    <cellStyle name="Normal 10 4 6 2" xfId="8649" xr:uid="{00000000-0005-0000-0000-0000EF090000}"/>
    <cellStyle name="Normal 10 4 6 2 2" xfId="40390" xr:uid="{00000000-0005-0000-0000-0000F0090000}"/>
    <cellStyle name="Normal 10 4 6 2 2 2" xfId="56490" xr:uid="{00000000-0005-0000-0000-0000F1090000}"/>
    <cellStyle name="Normal 10 4 6 2 3" xfId="46923" xr:uid="{00000000-0005-0000-0000-0000F2090000}"/>
    <cellStyle name="Normal 10 4 6 2 4" xfId="30823" xr:uid="{00000000-0005-0000-0000-0000F3090000}"/>
    <cellStyle name="Normal 10 4 6 2 5" xfId="21254" xr:uid="{00000000-0005-0000-0000-0000F4090000}"/>
    <cellStyle name="Normal 10 4 6 3" xfId="11685" xr:uid="{00000000-0005-0000-0000-0000F5090000}"/>
    <cellStyle name="Normal 10 4 6 3 2" xfId="49959" xr:uid="{00000000-0005-0000-0000-0000F6090000}"/>
    <cellStyle name="Normal 10 4 6 3 3" xfId="33859" xr:uid="{00000000-0005-0000-0000-0000F7090000}"/>
    <cellStyle name="Normal 10 4 6 3 4" xfId="24290" xr:uid="{00000000-0005-0000-0000-0000F8090000}"/>
    <cellStyle name="Normal 10 4 6 4" xfId="5613" xr:uid="{00000000-0005-0000-0000-0000F9090000}"/>
    <cellStyle name="Normal 10 4 6 4 2" xfId="53454" xr:uid="{00000000-0005-0000-0000-0000FA090000}"/>
    <cellStyle name="Normal 10 4 6 4 3" xfId="37354" xr:uid="{00000000-0005-0000-0000-0000FB090000}"/>
    <cellStyle name="Normal 10 4 6 4 4" xfId="18218" xr:uid="{00000000-0005-0000-0000-0000FC090000}"/>
    <cellStyle name="Normal 10 4 6 5" xfId="43887" xr:uid="{00000000-0005-0000-0000-0000FD090000}"/>
    <cellStyle name="Normal 10 4 6 6" xfId="27787" xr:uid="{00000000-0005-0000-0000-0000FE090000}"/>
    <cellStyle name="Normal 10 4 6 7" xfId="14723" xr:uid="{00000000-0005-0000-0000-0000FF090000}"/>
    <cellStyle name="Normal 10 4 7" xfId="2456" xr:uid="{00000000-0005-0000-0000-0000000A0000}"/>
    <cellStyle name="Normal 10 4 7 2" xfId="8988" xr:uid="{00000000-0005-0000-0000-0000010A0000}"/>
    <cellStyle name="Normal 10 4 7 2 2" xfId="40729" xr:uid="{00000000-0005-0000-0000-0000020A0000}"/>
    <cellStyle name="Normal 10 4 7 2 2 2" xfId="56829" xr:uid="{00000000-0005-0000-0000-0000030A0000}"/>
    <cellStyle name="Normal 10 4 7 2 3" xfId="47262" xr:uid="{00000000-0005-0000-0000-0000040A0000}"/>
    <cellStyle name="Normal 10 4 7 2 4" xfId="31162" xr:uid="{00000000-0005-0000-0000-0000050A0000}"/>
    <cellStyle name="Normal 10 4 7 2 5" xfId="21593" xr:uid="{00000000-0005-0000-0000-0000060A0000}"/>
    <cellStyle name="Normal 10 4 7 3" xfId="12024" xr:uid="{00000000-0005-0000-0000-0000070A0000}"/>
    <cellStyle name="Normal 10 4 7 3 2" xfId="50298" xr:uid="{00000000-0005-0000-0000-0000080A0000}"/>
    <cellStyle name="Normal 10 4 7 3 3" xfId="34198" xr:uid="{00000000-0005-0000-0000-0000090A0000}"/>
    <cellStyle name="Normal 10 4 7 3 4" xfId="24629" xr:uid="{00000000-0005-0000-0000-00000A0A0000}"/>
    <cellStyle name="Normal 10 4 7 4" xfId="5952" xr:uid="{00000000-0005-0000-0000-00000B0A0000}"/>
    <cellStyle name="Normal 10 4 7 4 2" xfId="53793" xr:uid="{00000000-0005-0000-0000-00000C0A0000}"/>
    <cellStyle name="Normal 10 4 7 4 3" xfId="37693" xr:uid="{00000000-0005-0000-0000-00000D0A0000}"/>
    <cellStyle name="Normal 10 4 7 4 4" xfId="18557" xr:uid="{00000000-0005-0000-0000-00000E0A0000}"/>
    <cellStyle name="Normal 10 4 7 5" xfId="44226" xr:uid="{00000000-0005-0000-0000-00000F0A0000}"/>
    <cellStyle name="Normal 10 4 7 6" xfId="28126" xr:uid="{00000000-0005-0000-0000-0000100A0000}"/>
    <cellStyle name="Normal 10 4 7 7" xfId="15062" xr:uid="{00000000-0005-0000-0000-0000110A0000}"/>
    <cellStyle name="Normal 10 4 8" xfId="1157" xr:uid="{00000000-0005-0000-0000-0000120A0000}"/>
    <cellStyle name="Normal 10 4 8 2" xfId="7691" xr:uid="{00000000-0005-0000-0000-0000130A0000}"/>
    <cellStyle name="Normal 10 4 8 2 2" xfId="39432" xr:uid="{00000000-0005-0000-0000-0000140A0000}"/>
    <cellStyle name="Normal 10 4 8 2 2 2" xfId="55532" xr:uid="{00000000-0005-0000-0000-0000150A0000}"/>
    <cellStyle name="Normal 10 4 8 2 3" xfId="45965" xr:uid="{00000000-0005-0000-0000-0000160A0000}"/>
    <cellStyle name="Normal 10 4 8 2 4" xfId="29865" xr:uid="{00000000-0005-0000-0000-0000170A0000}"/>
    <cellStyle name="Normal 10 4 8 2 5" xfId="20296" xr:uid="{00000000-0005-0000-0000-0000180A0000}"/>
    <cellStyle name="Normal 10 4 8 3" xfId="10727" xr:uid="{00000000-0005-0000-0000-0000190A0000}"/>
    <cellStyle name="Normal 10 4 8 3 2" xfId="49001" xr:uid="{00000000-0005-0000-0000-00001A0A0000}"/>
    <cellStyle name="Normal 10 4 8 3 3" xfId="32901" xr:uid="{00000000-0005-0000-0000-00001B0A0000}"/>
    <cellStyle name="Normal 10 4 8 3 4" xfId="23332" xr:uid="{00000000-0005-0000-0000-00001C0A0000}"/>
    <cellStyle name="Normal 10 4 8 4" xfId="4655" xr:uid="{00000000-0005-0000-0000-00001D0A0000}"/>
    <cellStyle name="Normal 10 4 8 4 2" xfId="52496" xr:uid="{00000000-0005-0000-0000-00001E0A0000}"/>
    <cellStyle name="Normal 10 4 8 4 3" xfId="36396" xr:uid="{00000000-0005-0000-0000-00001F0A0000}"/>
    <cellStyle name="Normal 10 4 8 4 4" xfId="17260" xr:uid="{00000000-0005-0000-0000-0000200A0000}"/>
    <cellStyle name="Normal 10 4 8 5" xfId="42929" xr:uid="{00000000-0005-0000-0000-0000210A0000}"/>
    <cellStyle name="Normal 10 4 8 6" xfId="26829" xr:uid="{00000000-0005-0000-0000-0000220A0000}"/>
    <cellStyle name="Normal 10 4 8 7" xfId="13765" xr:uid="{00000000-0005-0000-0000-0000230A0000}"/>
    <cellStyle name="Normal 10 4 9" xfId="3645" xr:uid="{00000000-0005-0000-0000-0000240A0000}"/>
    <cellStyle name="Normal 10 4 9 2" xfId="35386" xr:uid="{00000000-0005-0000-0000-0000250A0000}"/>
    <cellStyle name="Normal 10 4 9 2 2" xfId="51486" xr:uid="{00000000-0005-0000-0000-0000260A0000}"/>
    <cellStyle name="Normal 10 4 9 3" xfId="41919" xr:uid="{00000000-0005-0000-0000-0000270A0000}"/>
    <cellStyle name="Normal 10 4 9 4" xfId="25819" xr:uid="{00000000-0005-0000-0000-0000280A0000}"/>
    <cellStyle name="Normal 10 4 9 5" xfId="16250" xr:uid="{00000000-0005-0000-0000-0000290A0000}"/>
    <cellStyle name="Normal 10 5" xfId="167" xr:uid="{00000000-0005-0000-0000-00002A0A0000}"/>
    <cellStyle name="Normal 10 5 10" xfId="6698" xr:uid="{00000000-0005-0000-0000-00002B0A0000}"/>
    <cellStyle name="Normal 10 5 10 2" xfId="38439" xr:uid="{00000000-0005-0000-0000-00002C0A0000}"/>
    <cellStyle name="Normal 10 5 10 2 2" xfId="54539" xr:uid="{00000000-0005-0000-0000-00002D0A0000}"/>
    <cellStyle name="Normal 10 5 10 3" xfId="44972" xr:uid="{00000000-0005-0000-0000-00002E0A0000}"/>
    <cellStyle name="Normal 10 5 10 4" xfId="28872" xr:uid="{00000000-0005-0000-0000-00002F0A0000}"/>
    <cellStyle name="Normal 10 5 10 5" xfId="19303" xr:uid="{00000000-0005-0000-0000-0000300A0000}"/>
    <cellStyle name="Normal 10 5 11" xfId="9734" xr:uid="{00000000-0005-0000-0000-0000310A0000}"/>
    <cellStyle name="Normal 10 5 11 2" xfId="48008" xr:uid="{00000000-0005-0000-0000-0000320A0000}"/>
    <cellStyle name="Normal 10 5 11 3" xfId="31908" xr:uid="{00000000-0005-0000-0000-0000330A0000}"/>
    <cellStyle name="Normal 10 5 11 4" xfId="22339" xr:uid="{00000000-0005-0000-0000-0000340A0000}"/>
    <cellStyle name="Normal 10 5 12" xfId="3202" xr:uid="{00000000-0005-0000-0000-0000350A0000}"/>
    <cellStyle name="Normal 10 5 12 2" xfId="51044" xr:uid="{00000000-0005-0000-0000-0000360A0000}"/>
    <cellStyle name="Normal 10 5 12 3" xfId="34944" xr:uid="{00000000-0005-0000-0000-0000370A0000}"/>
    <cellStyle name="Normal 10 5 12 4" xfId="15808" xr:uid="{00000000-0005-0000-0000-0000380A0000}"/>
    <cellStyle name="Normal 10 5 13" xfId="41477" xr:uid="{00000000-0005-0000-0000-0000390A0000}"/>
    <cellStyle name="Normal 10 5 14" xfId="25377" xr:uid="{00000000-0005-0000-0000-00003A0A0000}"/>
    <cellStyle name="Normal 10 5 15" xfId="12772" xr:uid="{00000000-0005-0000-0000-00003B0A0000}"/>
    <cellStyle name="Normal 10 5 16" xfId="442" xr:uid="{00000000-0005-0000-0000-00003C0A0000}"/>
    <cellStyle name="Normal 10 5 2" xfId="344" xr:uid="{00000000-0005-0000-0000-00003D0A0000}"/>
    <cellStyle name="Normal 10 5 2 10" xfId="13173" xr:uid="{00000000-0005-0000-0000-00003E0A0000}"/>
    <cellStyle name="Normal 10 5 2 2" xfId="2363" xr:uid="{00000000-0005-0000-0000-00003F0A0000}"/>
    <cellStyle name="Normal 10 5 2 2 2" xfId="8897" xr:uid="{00000000-0005-0000-0000-0000400A0000}"/>
    <cellStyle name="Normal 10 5 2 2 2 2" xfId="40638" xr:uid="{00000000-0005-0000-0000-0000410A0000}"/>
    <cellStyle name="Normal 10 5 2 2 2 2 2" xfId="56738" xr:uid="{00000000-0005-0000-0000-0000420A0000}"/>
    <cellStyle name="Normal 10 5 2 2 2 3" xfId="47171" xr:uid="{00000000-0005-0000-0000-0000430A0000}"/>
    <cellStyle name="Normal 10 5 2 2 2 4" xfId="31071" xr:uid="{00000000-0005-0000-0000-0000440A0000}"/>
    <cellStyle name="Normal 10 5 2 2 2 5" xfId="21502" xr:uid="{00000000-0005-0000-0000-0000450A0000}"/>
    <cellStyle name="Normal 10 5 2 2 3" xfId="11933" xr:uid="{00000000-0005-0000-0000-0000460A0000}"/>
    <cellStyle name="Normal 10 5 2 2 3 2" xfId="50207" xr:uid="{00000000-0005-0000-0000-0000470A0000}"/>
    <cellStyle name="Normal 10 5 2 2 3 3" xfId="34107" xr:uid="{00000000-0005-0000-0000-0000480A0000}"/>
    <cellStyle name="Normal 10 5 2 2 3 4" xfId="24538" xr:uid="{00000000-0005-0000-0000-0000490A0000}"/>
    <cellStyle name="Normal 10 5 2 2 4" xfId="5861" xr:uid="{00000000-0005-0000-0000-00004A0A0000}"/>
    <cellStyle name="Normal 10 5 2 2 4 2" xfId="53702" xr:uid="{00000000-0005-0000-0000-00004B0A0000}"/>
    <cellStyle name="Normal 10 5 2 2 4 3" xfId="37602" xr:uid="{00000000-0005-0000-0000-00004C0A0000}"/>
    <cellStyle name="Normal 10 5 2 2 4 4" xfId="18466" xr:uid="{00000000-0005-0000-0000-00004D0A0000}"/>
    <cellStyle name="Normal 10 5 2 2 5" xfId="44135" xr:uid="{00000000-0005-0000-0000-00004E0A0000}"/>
    <cellStyle name="Normal 10 5 2 2 6" xfId="28035" xr:uid="{00000000-0005-0000-0000-00004F0A0000}"/>
    <cellStyle name="Normal 10 5 2 2 7" xfId="14971" xr:uid="{00000000-0005-0000-0000-0000500A0000}"/>
    <cellStyle name="Normal 10 5 2 3" xfId="1575" xr:uid="{00000000-0005-0000-0000-0000510A0000}"/>
    <cellStyle name="Normal 10 5 2 3 2" xfId="8109" xr:uid="{00000000-0005-0000-0000-0000520A0000}"/>
    <cellStyle name="Normal 10 5 2 3 2 2" xfId="39850" xr:uid="{00000000-0005-0000-0000-0000530A0000}"/>
    <cellStyle name="Normal 10 5 2 3 2 2 2" xfId="55950" xr:uid="{00000000-0005-0000-0000-0000540A0000}"/>
    <cellStyle name="Normal 10 5 2 3 2 3" xfId="46383" xr:uid="{00000000-0005-0000-0000-0000550A0000}"/>
    <cellStyle name="Normal 10 5 2 3 2 4" xfId="30283" xr:uid="{00000000-0005-0000-0000-0000560A0000}"/>
    <cellStyle name="Normal 10 5 2 3 2 5" xfId="20714" xr:uid="{00000000-0005-0000-0000-0000570A0000}"/>
    <cellStyle name="Normal 10 5 2 3 3" xfId="11145" xr:uid="{00000000-0005-0000-0000-0000580A0000}"/>
    <cellStyle name="Normal 10 5 2 3 3 2" xfId="49419" xr:uid="{00000000-0005-0000-0000-0000590A0000}"/>
    <cellStyle name="Normal 10 5 2 3 3 3" xfId="33319" xr:uid="{00000000-0005-0000-0000-00005A0A0000}"/>
    <cellStyle name="Normal 10 5 2 3 3 4" xfId="23750" xr:uid="{00000000-0005-0000-0000-00005B0A0000}"/>
    <cellStyle name="Normal 10 5 2 3 4" xfId="5073" xr:uid="{00000000-0005-0000-0000-00005C0A0000}"/>
    <cellStyle name="Normal 10 5 2 3 4 2" xfId="52914" xr:uid="{00000000-0005-0000-0000-00005D0A0000}"/>
    <cellStyle name="Normal 10 5 2 3 4 3" xfId="36814" xr:uid="{00000000-0005-0000-0000-00005E0A0000}"/>
    <cellStyle name="Normal 10 5 2 3 4 4" xfId="17678" xr:uid="{00000000-0005-0000-0000-00005F0A0000}"/>
    <cellStyle name="Normal 10 5 2 3 5" xfId="43347" xr:uid="{00000000-0005-0000-0000-0000600A0000}"/>
    <cellStyle name="Normal 10 5 2 3 6" xfId="27247" xr:uid="{00000000-0005-0000-0000-0000610A0000}"/>
    <cellStyle name="Normal 10 5 2 3 7" xfId="14183" xr:uid="{00000000-0005-0000-0000-0000620A0000}"/>
    <cellStyle name="Normal 10 5 2 4" xfId="4063" xr:uid="{00000000-0005-0000-0000-0000630A0000}"/>
    <cellStyle name="Normal 10 5 2 4 2" xfId="35804" xr:uid="{00000000-0005-0000-0000-0000640A0000}"/>
    <cellStyle name="Normal 10 5 2 4 2 2" xfId="51904" xr:uid="{00000000-0005-0000-0000-0000650A0000}"/>
    <cellStyle name="Normal 10 5 2 4 3" xfId="42337" xr:uid="{00000000-0005-0000-0000-0000660A0000}"/>
    <cellStyle name="Normal 10 5 2 4 4" xfId="26237" xr:uid="{00000000-0005-0000-0000-0000670A0000}"/>
    <cellStyle name="Normal 10 5 2 4 5" xfId="16668" xr:uid="{00000000-0005-0000-0000-0000680A0000}"/>
    <cellStyle name="Normal 10 5 2 5" xfId="7099" xr:uid="{00000000-0005-0000-0000-0000690A0000}"/>
    <cellStyle name="Normal 10 5 2 5 2" xfId="38840" xr:uid="{00000000-0005-0000-0000-00006A0A0000}"/>
    <cellStyle name="Normal 10 5 2 5 2 2" xfId="54940" xr:uid="{00000000-0005-0000-0000-00006B0A0000}"/>
    <cellStyle name="Normal 10 5 2 5 3" xfId="45373" xr:uid="{00000000-0005-0000-0000-00006C0A0000}"/>
    <cellStyle name="Normal 10 5 2 5 4" xfId="29273" xr:uid="{00000000-0005-0000-0000-00006D0A0000}"/>
    <cellStyle name="Normal 10 5 2 5 5" xfId="19704" xr:uid="{00000000-0005-0000-0000-00006E0A0000}"/>
    <cellStyle name="Normal 10 5 2 6" xfId="10135" xr:uid="{00000000-0005-0000-0000-00006F0A0000}"/>
    <cellStyle name="Normal 10 5 2 6 2" xfId="48409" xr:uid="{00000000-0005-0000-0000-0000700A0000}"/>
    <cellStyle name="Normal 10 5 2 6 3" xfId="32309" xr:uid="{00000000-0005-0000-0000-0000710A0000}"/>
    <cellStyle name="Normal 10 5 2 6 4" xfId="22740" xr:uid="{00000000-0005-0000-0000-0000720A0000}"/>
    <cellStyle name="Normal 10 5 2 7" xfId="3440" xr:uid="{00000000-0005-0000-0000-0000730A0000}"/>
    <cellStyle name="Normal 10 5 2 7 2" xfId="51281" xr:uid="{00000000-0005-0000-0000-0000740A0000}"/>
    <cellStyle name="Normal 10 5 2 7 3" xfId="35181" xr:uid="{00000000-0005-0000-0000-0000750A0000}"/>
    <cellStyle name="Normal 10 5 2 7 4" xfId="16045" xr:uid="{00000000-0005-0000-0000-0000760A0000}"/>
    <cellStyle name="Normal 10 5 2 8" xfId="41714" xr:uid="{00000000-0005-0000-0000-0000770A0000}"/>
    <cellStyle name="Normal 10 5 2 9" xfId="25614" xr:uid="{00000000-0005-0000-0000-0000780A0000}"/>
    <cellStyle name="Normal 10 5 3" xfId="602" xr:uid="{00000000-0005-0000-0000-0000790A0000}"/>
    <cellStyle name="Normal 10 5 3 2" xfId="2630" xr:uid="{00000000-0005-0000-0000-00007A0A0000}"/>
    <cellStyle name="Normal 10 5 3 2 2" xfId="9162" xr:uid="{00000000-0005-0000-0000-00007B0A0000}"/>
    <cellStyle name="Normal 10 5 3 2 2 2" xfId="40903" xr:uid="{00000000-0005-0000-0000-00007C0A0000}"/>
    <cellStyle name="Normal 10 5 3 2 2 2 2" xfId="57003" xr:uid="{00000000-0005-0000-0000-00007D0A0000}"/>
    <cellStyle name="Normal 10 5 3 2 2 3" xfId="47436" xr:uid="{00000000-0005-0000-0000-00007E0A0000}"/>
    <cellStyle name="Normal 10 5 3 2 2 4" xfId="31336" xr:uid="{00000000-0005-0000-0000-00007F0A0000}"/>
    <cellStyle name="Normal 10 5 3 2 2 5" xfId="21767" xr:uid="{00000000-0005-0000-0000-0000800A0000}"/>
    <cellStyle name="Normal 10 5 3 2 3" xfId="12198" xr:uid="{00000000-0005-0000-0000-0000810A0000}"/>
    <cellStyle name="Normal 10 5 3 2 3 2" xfId="50472" xr:uid="{00000000-0005-0000-0000-0000820A0000}"/>
    <cellStyle name="Normal 10 5 3 2 3 3" xfId="34372" xr:uid="{00000000-0005-0000-0000-0000830A0000}"/>
    <cellStyle name="Normal 10 5 3 2 3 4" xfId="24803" xr:uid="{00000000-0005-0000-0000-0000840A0000}"/>
    <cellStyle name="Normal 10 5 3 2 4" xfId="6126" xr:uid="{00000000-0005-0000-0000-0000850A0000}"/>
    <cellStyle name="Normal 10 5 3 2 4 2" xfId="53967" xr:uid="{00000000-0005-0000-0000-0000860A0000}"/>
    <cellStyle name="Normal 10 5 3 2 4 3" xfId="37867" xr:uid="{00000000-0005-0000-0000-0000870A0000}"/>
    <cellStyle name="Normal 10 5 3 2 4 4" xfId="18731" xr:uid="{00000000-0005-0000-0000-0000880A0000}"/>
    <cellStyle name="Normal 10 5 3 2 5" xfId="44400" xr:uid="{00000000-0005-0000-0000-0000890A0000}"/>
    <cellStyle name="Normal 10 5 3 2 6" xfId="28300" xr:uid="{00000000-0005-0000-0000-00008A0A0000}"/>
    <cellStyle name="Normal 10 5 3 2 7" xfId="15236" xr:uid="{00000000-0005-0000-0000-00008B0A0000}"/>
    <cellStyle name="Normal 10 5 3 3" xfId="1398" xr:uid="{00000000-0005-0000-0000-00008C0A0000}"/>
    <cellStyle name="Normal 10 5 3 3 2" xfId="7932" xr:uid="{00000000-0005-0000-0000-00008D0A0000}"/>
    <cellStyle name="Normal 10 5 3 3 2 2" xfId="39673" xr:uid="{00000000-0005-0000-0000-00008E0A0000}"/>
    <cellStyle name="Normal 10 5 3 3 2 2 2" xfId="55773" xr:uid="{00000000-0005-0000-0000-00008F0A0000}"/>
    <cellStyle name="Normal 10 5 3 3 2 3" xfId="46206" xr:uid="{00000000-0005-0000-0000-0000900A0000}"/>
    <cellStyle name="Normal 10 5 3 3 2 4" xfId="30106" xr:uid="{00000000-0005-0000-0000-0000910A0000}"/>
    <cellStyle name="Normal 10 5 3 3 2 5" xfId="20537" xr:uid="{00000000-0005-0000-0000-0000920A0000}"/>
    <cellStyle name="Normal 10 5 3 3 3" xfId="10968" xr:uid="{00000000-0005-0000-0000-0000930A0000}"/>
    <cellStyle name="Normal 10 5 3 3 3 2" xfId="49242" xr:uid="{00000000-0005-0000-0000-0000940A0000}"/>
    <cellStyle name="Normal 10 5 3 3 3 3" xfId="33142" xr:uid="{00000000-0005-0000-0000-0000950A0000}"/>
    <cellStyle name="Normal 10 5 3 3 3 4" xfId="23573" xr:uid="{00000000-0005-0000-0000-0000960A0000}"/>
    <cellStyle name="Normal 10 5 3 3 4" xfId="4896" xr:uid="{00000000-0005-0000-0000-0000970A0000}"/>
    <cellStyle name="Normal 10 5 3 3 4 2" xfId="52737" xr:uid="{00000000-0005-0000-0000-0000980A0000}"/>
    <cellStyle name="Normal 10 5 3 3 4 3" xfId="36637" xr:uid="{00000000-0005-0000-0000-0000990A0000}"/>
    <cellStyle name="Normal 10 5 3 3 4 4" xfId="17501" xr:uid="{00000000-0005-0000-0000-00009A0A0000}"/>
    <cellStyle name="Normal 10 5 3 3 5" xfId="43170" xr:uid="{00000000-0005-0000-0000-00009B0A0000}"/>
    <cellStyle name="Normal 10 5 3 3 6" xfId="27070" xr:uid="{00000000-0005-0000-0000-00009C0A0000}"/>
    <cellStyle name="Normal 10 5 3 3 7" xfId="14006" xr:uid="{00000000-0005-0000-0000-00009D0A0000}"/>
    <cellStyle name="Normal 10 5 3 4" xfId="6922" xr:uid="{00000000-0005-0000-0000-00009E0A0000}"/>
    <cellStyle name="Normal 10 5 3 4 2" xfId="38663" xr:uid="{00000000-0005-0000-0000-00009F0A0000}"/>
    <cellStyle name="Normal 10 5 3 4 2 2" xfId="54763" xr:uid="{00000000-0005-0000-0000-0000A00A0000}"/>
    <cellStyle name="Normal 10 5 3 4 3" xfId="45196" xr:uid="{00000000-0005-0000-0000-0000A10A0000}"/>
    <cellStyle name="Normal 10 5 3 4 4" xfId="29096" xr:uid="{00000000-0005-0000-0000-0000A20A0000}"/>
    <cellStyle name="Normal 10 5 3 4 5" xfId="19527" xr:uid="{00000000-0005-0000-0000-0000A30A0000}"/>
    <cellStyle name="Normal 10 5 3 5" xfId="9958" xr:uid="{00000000-0005-0000-0000-0000A40A0000}"/>
    <cellStyle name="Normal 10 5 3 5 2" xfId="48232" xr:uid="{00000000-0005-0000-0000-0000A50A0000}"/>
    <cellStyle name="Normal 10 5 3 5 3" xfId="32132" xr:uid="{00000000-0005-0000-0000-0000A60A0000}"/>
    <cellStyle name="Normal 10 5 3 5 4" xfId="22563" xr:uid="{00000000-0005-0000-0000-0000A70A0000}"/>
    <cellStyle name="Normal 10 5 3 6" xfId="3886" xr:uid="{00000000-0005-0000-0000-0000A80A0000}"/>
    <cellStyle name="Normal 10 5 3 6 2" xfId="51727" xr:uid="{00000000-0005-0000-0000-0000A90A0000}"/>
    <cellStyle name="Normal 10 5 3 6 3" xfId="35627" xr:uid="{00000000-0005-0000-0000-0000AA0A0000}"/>
    <cellStyle name="Normal 10 5 3 6 4" xfId="16491" xr:uid="{00000000-0005-0000-0000-0000AB0A0000}"/>
    <cellStyle name="Normal 10 5 3 7" xfId="42160" xr:uid="{00000000-0005-0000-0000-0000AC0A0000}"/>
    <cellStyle name="Normal 10 5 3 8" xfId="26060" xr:uid="{00000000-0005-0000-0000-0000AD0A0000}"/>
    <cellStyle name="Normal 10 5 3 9" xfId="12996" xr:uid="{00000000-0005-0000-0000-0000AE0A0000}"/>
    <cellStyle name="Normal 10 5 4" xfId="847" xr:uid="{00000000-0005-0000-0000-0000AF0A0000}"/>
    <cellStyle name="Normal 10 5 4 2" xfId="2875" xr:uid="{00000000-0005-0000-0000-0000B00A0000}"/>
    <cellStyle name="Normal 10 5 4 2 2" xfId="9407" xr:uid="{00000000-0005-0000-0000-0000B10A0000}"/>
    <cellStyle name="Normal 10 5 4 2 2 2" xfId="41148" xr:uid="{00000000-0005-0000-0000-0000B20A0000}"/>
    <cellStyle name="Normal 10 5 4 2 2 2 2" xfId="57248" xr:uid="{00000000-0005-0000-0000-0000B30A0000}"/>
    <cellStyle name="Normal 10 5 4 2 2 3" xfId="47681" xr:uid="{00000000-0005-0000-0000-0000B40A0000}"/>
    <cellStyle name="Normal 10 5 4 2 2 4" xfId="31581" xr:uid="{00000000-0005-0000-0000-0000B50A0000}"/>
    <cellStyle name="Normal 10 5 4 2 2 5" xfId="22012" xr:uid="{00000000-0005-0000-0000-0000B60A0000}"/>
    <cellStyle name="Normal 10 5 4 2 3" xfId="12443" xr:uid="{00000000-0005-0000-0000-0000B70A0000}"/>
    <cellStyle name="Normal 10 5 4 2 3 2" xfId="50717" xr:uid="{00000000-0005-0000-0000-0000B80A0000}"/>
    <cellStyle name="Normal 10 5 4 2 3 3" xfId="34617" xr:uid="{00000000-0005-0000-0000-0000B90A0000}"/>
    <cellStyle name="Normal 10 5 4 2 3 4" xfId="25048" xr:uid="{00000000-0005-0000-0000-0000BA0A0000}"/>
    <cellStyle name="Normal 10 5 4 2 4" xfId="6371" xr:uid="{00000000-0005-0000-0000-0000BB0A0000}"/>
    <cellStyle name="Normal 10 5 4 2 4 2" xfId="54212" xr:uid="{00000000-0005-0000-0000-0000BC0A0000}"/>
    <cellStyle name="Normal 10 5 4 2 4 3" xfId="38112" xr:uid="{00000000-0005-0000-0000-0000BD0A0000}"/>
    <cellStyle name="Normal 10 5 4 2 4 4" xfId="18976" xr:uid="{00000000-0005-0000-0000-0000BE0A0000}"/>
    <cellStyle name="Normal 10 5 4 2 5" xfId="44645" xr:uid="{00000000-0005-0000-0000-0000BF0A0000}"/>
    <cellStyle name="Normal 10 5 4 2 6" xfId="28545" xr:uid="{00000000-0005-0000-0000-0000C00A0000}"/>
    <cellStyle name="Normal 10 5 4 2 7" xfId="15481" xr:uid="{00000000-0005-0000-0000-0000C10A0000}"/>
    <cellStyle name="Normal 10 5 4 3" xfId="1857" xr:uid="{00000000-0005-0000-0000-0000C20A0000}"/>
    <cellStyle name="Normal 10 5 4 3 2" xfId="8391" xr:uid="{00000000-0005-0000-0000-0000C30A0000}"/>
    <cellStyle name="Normal 10 5 4 3 2 2" xfId="40132" xr:uid="{00000000-0005-0000-0000-0000C40A0000}"/>
    <cellStyle name="Normal 10 5 4 3 2 2 2" xfId="56232" xr:uid="{00000000-0005-0000-0000-0000C50A0000}"/>
    <cellStyle name="Normal 10 5 4 3 2 3" xfId="46665" xr:uid="{00000000-0005-0000-0000-0000C60A0000}"/>
    <cellStyle name="Normal 10 5 4 3 2 4" xfId="30565" xr:uid="{00000000-0005-0000-0000-0000C70A0000}"/>
    <cellStyle name="Normal 10 5 4 3 2 5" xfId="20996" xr:uid="{00000000-0005-0000-0000-0000C80A0000}"/>
    <cellStyle name="Normal 10 5 4 3 3" xfId="11427" xr:uid="{00000000-0005-0000-0000-0000C90A0000}"/>
    <cellStyle name="Normal 10 5 4 3 3 2" xfId="49701" xr:uid="{00000000-0005-0000-0000-0000CA0A0000}"/>
    <cellStyle name="Normal 10 5 4 3 3 3" xfId="33601" xr:uid="{00000000-0005-0000-0000-0000CB0A0000}"/>
    <cellStyle name="Normal 10 5 4 3 3 4" xfId="24032" xr:uid="{00000000-0005-0000-0000-0000CC0A0000}"/>
    <cellStyle name="Normal 10 5 4 3 4" xfId="5355" xr:uid="{00000000-0005-0000-0000-0000CD0A0000}"/>
    <cellStyle name="Normal 10 5 4 3 4 2" xfId="53196" xr:uid="{00000000-0005-0000-0000-0000CE0A0000}"/>
    <cellStyle name="Normal 10 5 4 3 4 3" xfId="37096" xr:uid="{00000000-0005-0000-0000-0000CF0A0000}"/>
    <cellStyle name="Normal 10 5 4 3 4 4" xfId="17960" xr:uid="{00000000-0005-0000-0000-0000D00A0000}"/>
    <cellStyle name="Normal 10 5 4 3 5" xfId="43629" xr:uid="{00000000-0005-0000-0000-0000D10A0000}"/>
    <cellStyle name="Normal 10 5 4 3 6" xfId="27529" xr:uid="{00000000-0005-0000-0000-0000D20A0000}"/>
    <cellStyle name="Normal 10 5 4 3 7" xfId="14465" xr:uid="{00000000-0005-0000-0000-0000D30A0000}"/>
    <cellStyle name="Normal 10 5 4 4" xfId="7381" xr:uid="{00000000-0005-0000-0000-0000D40A0000}"/>
    <cellStyle name="Normal 10 5 4 4 2" xfId="39122" xr:uid="{00000000-0005-0000-0000-0000D50A0000}"/>
    <cellStyle name="Normal 10 5 4 4 2 2" xfId="55222" xr:uid="{00000000-0005-0000-0000-0000D60A0000}"/>
    <cellStyle name="Normal 10 5 4 4 3" xfId="45655" xr:uid="{00000000-0005-0000-0000-0000D70A0000}"/>
    <cellStyle name="Normal 10 5 4 4 4" xfId="29555" xr:uid="{00000000-0005-0000-0000-0000D80A0000}"/>
    <cellStyle name="Normal 10 5 4 4 5" xfId="19986" xr:uid="{00000000-0005-0000-0000-0000D90A0000}"/>
    <cellStyle name="Normal 10 5 4 5" xfId="10417" xr:uid="{00000000-0005-0000-0000-0000DA0A0000}"/>
    <cellStyle name="Normal 10 5 4 5 2" xfId="48691" xr:uid="{00000000-0005-0000-0000-0000DB0A0000}"/>
    <cellStyle name="Normal 10 5 4 5 3" xfId="32591" xr:uid="{00000000-0005-0000-0000-0000DC0A0000}"/>
    <cellStyle name="Normal 10 5 4 5 4" xfId="23022" xr:uid="{00000000-0005-0000-0000-0000DD0A0000}"/>
    <cellStyle name="Normal 10 5 4 6" xfId="4345" xr:uid="{00000000-0005-0000-0000-0000DE0A0000}"/>
    <cellStyle name="Normal 10 5 4 6 2" xfId="52186" xr:uid="{00000000-0005-0000-0000-0000DF0A0000}"/>
    <cellStyle name="Normal 10 5 4 6 3" xfId="36086" xr:uid="{00000000-0005-0000-0000-0000E00A0000}"/>
    <cellStyle name="Normal 10 5 4 6 4" xfId="16950" xr:uid="{00000000-0005-0000-0000-0000E10A0000}"/>
    <cellStyle name="Normal 10 5 4 7" xfId="42619" xr:uid="{00000000-0005-0000-0000-0000E20A0000}"/>
    <cellStyle name="Normal 10 5 4 8" xfId="26519" xr:uid="{00000000-0005-0000-0000-0000E30A0000}"/>
    <cellStyle name="Normal 10 5 4 9" xfId="13455" xr:uid="{00000000-0005-0000-0000-0000E40A0000}"/>
    <cellStyle name="Normal 10 5 5" xfId="657" xr:uid="{00000000-0005-0000-0000-0000E50A0000}"/>
    <cellStyle name="Normal 10 5 5 2" xfId="2685" xr:uid="{00000000-0005-0000-0000-0000E60A0000}"/>
    <cellStyle name="Normal 10 5 5 2 2" xfId="9217" xr:uid="{00000000-0005-0000-0000-0000E70A0000}"/>
    <cellStyle name="Normal 10 5 5 2 2 2" xfId="40958" xr:uid="{00000000-0005-0000-0000-0000E80A0000}"/>
    <cellStyle name="Normal 10 5 5 2 2 2 2" xfId="57058" xr:uid="{00000000-0005-0000-0000-0000E90A0000}"/>
    <cellStyle name="Normal 10 5 5 2 2 3" xfId="47491" xr:uid="{00000000-0005-0000-0000-0000EA0A0000}"/>
    <cellStyle name="Normal 10 5 5 2 2 4" xfId="31391" xr:uid="{00000000-0005-0000-0000-0000EB0A0000}"/>
    <cellStyle name="Normal 10 5 5 2 2 5" xfId="21822" xr:uid="{00000000-0005-0000-0000-0000EC0A0000}"/>
    <cellStyle name="Normal 10 5 5 2 3" xfId="12253" xr:uid="{00000000-0005-0000-0000-0000ED0A0000}"/>
    <cellStyle name="Normal 10 5 5 2 3 2" xfId="50527" xr:uid="{00000000-0005-0000-0000-0000EE0A0000}"/>
    <cellStyle name="Normal 10 5 5 2 3 3" xfId="34427" xr:uid="{00000000-0005-0000-0000-0000EF0A0000}"/>
    <cellStyle name="Normal 10 5 5 2 3 4" xfId="24858" xr:uid="{00000000-0005-0000-0000-0000F00A0000}"/>
    <cellStyle name="Normal 10 5 5 2 4" xfId="6181" xr:uid="{00000000-0005-0000-0000-0000F10A0000}"/>
    <cellStyle name="Normal 10 5 5 2 4 2" xfId="54022" xr:uid="{00000000-0005-0000-0000-0000F20A0000}"/>
    <cellStyle name="Normal 10 5 5 2 4 3" xfId="37922" xr:uid="{00000000-0005-0000-0000-0000F30A0000}"/>
    <cellStyle name="Normal 10 5 5 2 4 4" xfId="18786" xr:uid="{00000000-0005-0000-0000-0000F40A0000}"/>
    <cellStyle name="Normal 10 5 5 2 5" xfId="44455" xr:uid="{00000000-0005-0000-0000-0000F50A0000}"/>
    <cellStyle name="Normal 10 5 5 2 6" xfId="28355" xr:uid="{00000000-0005-0000-0000-0000F60A0000}"/>
    <cellStyle name="Normal 10 5 5 2 7" xfId="15291" xr:uid="{00000000-0005-0000-0000-0000F70A0000}"/>
    <cellStyle name="Normal 10 5 5 3" xfId="1667" xr:uid="{00000000-0005-0000-0000-0000F80A0000}"/>
    <cellStyle name="Normal 10 5 5 3 2" xfId="8201" xr:uid="{00000000-0005-0000-0000-0000F90A0000}"/>
    <cellStyle name="Normal 10 5 5 3 2 2" xfId="39942" xr:uid="{00000000-0005-0000-0000-0000FA0A0000}"/>
    <cellStyle name="Normal 10 5 5 3 2 2 2" xfId="56042" xr:uid="{00000000-0005-0000-0000-0000FB0A0000}"/>
    <cellStyle name="Normal 10 5 5 3 2 3" xfId="46475" xr:uid="{00000000-0005-0000-0000-0000FC0A0000}"/>
    <cellStyle name="Normal 10 5 5 3 2 4" xfId="30375" xr:uid="{00000000-0005-0000-0000-0000FD0A0000}"/>
    <cellStyle name="Normal 10 5 5 3 2 5" xfId="20806" xr:uid="{00000000-0005-0000-0000-0000FE0A0000}"/>
    <cellStyle name="Normal 10 5 5 3 3" xfId="11237" xr:uid="{00000000-0005-0000-0000-0000FF0A0000}"/>
    <cellStyle name="Normal 10 5 5 3 3 2" xfId="49511" xr:uid="{00000000-0005-0000-0000-0000000B0000}"/>
    <cellStyle name="Normal 10 5 5 3 3 3" xfId="33411" xr:uid="{00000000-0005-0000-0000-0000010B0000}"/>
    <cellStyle name="Normal 10 5 5 3 3 4" xfId="23842" xr:uid="{00000000-0005-0000-0000-0000020B0000}"/>
    <cellStyle name="Normal 10 5 5 3 4" xfId="5165" xr:uid="{00000000-0005-0000-0000-0000030B0000}"/>
    <cellStyle name="Normal 10 5 5 3 4 2" xfId="53006" xr:uid="{00000000-0005-0000-0000-0000040B0000}"/>
    <cellStyle name="Normal 10 5 5 3 4 3" xfId="36906" xr:uid="{00000000-0005-0000-0000-0000050B0000}"/>
    <cellStyle name="Normal 10 5 5 3 4 4" xfId="17770" xr:uid="{00000000-0005-0000-0000-0000060B0000}"/>
    <cellStyle name="Normal 10 5 5 3 5" xfId="43439" xr:uid="{00000000-0005-0000-0000-0000070B0000}"/>
    <cellStyle name="Normal 10 5 5 3 6" xfId="27339" xr:uid="{00000000-0005-0000-0000-0000080B0000}"/>
    <cellStyle name="Normal 10 5 5 3 7" xfId="14275" xr:uid="{00000000-0005-0000-0000-0000090B0000}"/>
    <cellStyle name="Normal 10 5 5 4" xfId="7191" xr:uid="{00000000-0005-0000-0000-00000A0B0000}"/>
    <cellStyle name="Normal 10 5 5 4 2" xfId="38932" xr:uid="{00000000-0005-0000-0000-00000B0B0000}"/>
    <cellStyle name="Normal 10 5 5 4 2 2" xfId="55032" xr:uid="{00000000-0005-0000-0000-00000C0B0000}"/>
    <cellStyle name="Normal 10 5 5 4 3" xfId="45465" xr:uid="{00000000-0005-0000-0000-00000D0B0000}"/>
    <cellStyle name="Normal 10 5 5 4 4" xfId="29365" xr:uid="{00000000-0005-0000-0000-00000E0B0000}"/>
    <cellStyle name="Normal 10 5 5 4 5" xfId="19796" xr:uid="{00000000-0005-0000-0000-00000F0B0000}"/>
    <cellStyle name="Normal 10 5 5 5" xfId="10227" xr:uid="{00000000-0005-0000-0000-0000100B0000}"/>
    <cellStyle name="Normal 10 5 5 5 2" xfId="48501" xr:uid="{00000000-0005-0000-0000-0000110B0000}"/>
    <cellStyle name="Normal 10 5 5 5 3" xfId="32401" xr:uid="{00000000-0005-0000-0000-0000120B0000}"/>
    <cellStyle name="Normal 10 5 5 5 4" xfId="22832" xr:uid="{00000000-0005-0000-0000-0000130B0000}"/>
    <cellStyle name="Normal 10 5 5 6" xfId="4155" xr:uid="{00000000-0005-0000-0000-0000140B0000}"/>
    <cellStyle name="Normal 10 5 5 6 2" xfId="51996" xr:uid="{00000000-0005-0000-0000-0000150B0000}"/>
    <cellStyle name="Normal 10 5 5 6 3" xfId="35896" xr:uid="{00000000-0005-0000-0000-0000160B0000}"/>
    <cellStyle name="Normal 10 5 5 6 4" xfId="16760" xr:uid="{00000000-0005-0000-0000-0000170B0000}"/>
    <cellStyle name="Normal 10 5 5 7" xfId="42429" xr:uid="{00000000-0005-0000-0000-0000180B0000}"/>
    <cellStyle name="Normal 10 5 5 8" xfId="26329" xr:uid="{00000000-0005-0000-0000-0000190B0000}"/>
    <cellStyle name="Normal 10 5 5 9" xfId="13265" xr:uid="{00000000-0005-0000-0000-00001A0B0000}"/>
    <cellStyle name="Normal 10 5 6" xfId="2186" xr:uid="{00000000-0005-0000-0000-00001B0B0000}"/>
    <cellStyle name="Normal 10 5 6 2" xfId="8720" xr:uid="{00000000-0005-0000-0000-00001C0B0000}"/>
    <cellStyle name="Normal 10 5 6 2 2" xfId="40461" xr:uid="{00000000-0005-0000-0000-00001D0B0000}"/>
    <cellStyle name="Normal 10 5 6 2 2 2" xfId="56561" xr:uid="{00000000-0005-0000-0000-00001E0B0000}"/>
    <cellStyle name="Normal 10 5 6 2 3" xfId="46994" xr:uid="{00000000-0005-0000-0000-00001F0B0000}"/>
    <cellStyle name="Normal 10 5 6 2 4" xfId="30894" xr:uid="{00000000-0005-0000-0000-0000200B0000}"/>
    <cellStyle name="Normal 10 5 6 2 5" xfId="21325" xr:uid="{00000000-0005-0000-0000-0000210B0000}"/>
    <cellStyle name="Normal 10 5 6 3" xfId="11756" xr:uid="{00000000-0005-0000-0000-0000220B0000}"/>
    <cellStyle name="Normal 10 5 6 3 2" xfId="50030" xr:uid="{00000000-0005-0000-0000-0000230B0000}"/>
    <cellStyle name="Normal 10 5 6 3 3" xfId="33930" xr:uid="{00000000-0005-0000-0000-0000240B0000}"/>
    <cellStyle name="Normal 10 5 6 3 4" xfId="24361" xr:uid="{00000000-0005-0000-0000-0000250B0000}"/>
    <cellStyle name="Normal 10 5 6 4" xfId="5684" xr:uid="{00000000-0005-0000-0000-0000260B0000}"/>
    <cellStyle name="Normal 10 5 6 4 2" xfId="53525" xr:uid="{00000000-0005-0000-0000-0000270B0000}"/>
    <cellStyle name="Normal 10 5 6 4 3" xfId="37425" xr:uid="{00000000-0005-0000-0000-0000280B0000}"/>
    <cellStyle name="Normal 10 5 6 4 4" xfId="18289" xr:uid="{00000000-0005-0000-0000-0000290B0000}"/>
    <cellStyle name="Normal 10 5 6 5" xfId="43958" xr:uid="{00000000-0005-0000-0000-00002A0B0000}"/>
    <cellStyle name="Normal 10 5 6 6" xfId="27858" xr:uid="{00000000-0005-0000-0000-00002B0B0000}"/>
    <cellStyle name="Normal 10 5 6 7" xfId="14794" xr:uid="{00000000-0005-0000-0000-00002C0B0000}"/>
    <cellStyle name="Normal 10 5 7" xfId="2457" xr:uid="{00000000-0005-0000-0000-00002D0B0000}"/>
    <cellStyle name="Normal 10 5 7 2" xfId="8989" xr:uid="{00000000-0005-0000-0000-00002E0B0000}"/>
    <cellStyle name="Normal 10 5 7 2 2" xfId="40730" xr:uid="{00000000-0005-0000-0000-00002F0B0000}"/>
    <cellStyle name="Normal 10 5 7 2 2 2" xfId="56830" xr:uid="{00000000-0005-0000-0000-0000300B0000}"/>
    <cellStyle name="Normal 10 5 7 2 3" xfId="47263" xr:uid="{00000000-0005-0000-0000-0000310B0000}"/>
    <cellStyle name="Normal 10 5 7 2 4" xfId="31163" xr:uid="{00000000-0005-0000-0000-0000320B0000}"/>
    <cellStyle name="Normal 10 5 7 2 5" xfId="21594" xr:uid="{00000000-0005-0000-0000-0000330B0000}"/>
    <cellStyle name="Normal 10 5 7 3" xfId="12025" xr:uid="{00000000-0005-0000-0000-0000340B0000}"/>
    <cellStyle name="Normal 10 5 7 3 2" xfId="50299" xr:uid="{00000000-0005-0000-0000-0000350B0000}"/>
    <cellStyle name="Normal 10 5 7 3 3" xfId="34199" xr:uid="{00000000-0005-0000-0000-0000360B0000}"/>
    <cellStyle name="Normal 10 5 7 3 4" xfId="24630" xr:uid="{00000000-0005-0000-0000-0000370B0000}"/>
    <cellStyle name="Normal 10 5 7 4" xfId="5953" xr:uid="{00000000-0005-0000-0000-0000380B0000}"/>
    <cellStyle name="Normal 10 5 7 4 2" xfId="53794" xr:uid="{00000000-0005-0000-0000-0000390B0000}"/>
    <cellStyle name="Normal 10 5 7 4 3" xfId="37694" xr:uid="{00000000-0005-0000-0000-00003A0B0000}"/>
    <cellStyle name="Normal 10 5 7 4 4" xfId="18558" xr:uid="{00000000-0005-0000-0000-00003B0B0000}"/>
    <cellStyle name="Normal 10 5 7 5" xfId="44227" xr:uid="{00000000-0005-0000-0000-00003C0B0000}"/>
    <cellStyle name="Normal 10 5 7 6" xfId="28127" xr:uid="{00000000-0005-0000-0000-00003D0B0000}"/>
    <cellStyle name="Normal 10 5 7 7" xfId="15063" xr:uid="{00000000-0005-0000-0000-00003E0B0000}"/>
    <cellStyle name="Normal 10 5 8" xfId="1174" xr:uid="{00000000-0005-0000-0000-00003F0B0000}"/>
    <cellStyle name="Normal 10 5 8 2" xfId="7708" xr:uid="{00000000-0005-0000-0000-0000400B0000}"/>
    <cellStyle name="Normal 10 5 8 2 2" xfId="39449" xr:uid="{00000000-0005-0000-0000-0000410B0000}"/>
    <cellStyle name="Normal 10 5 8 2 2 2" xfId="55549" xr:uid="{00000000-0005-0000-0000-0000420B0000}"/>
    <cellStyle name="Normal 10 5 8 2 3" xfId="45982" xr:uid="{00000000-0005-0000-0000-0000430B0000}"/>
    <cellStyle name="Normal 10 5 8 2 4" xfId="29882" xr:uid="{00000000-0005-0000-0000-0000440B0000}"/>
    <cellStyle name="Normal 10 5 8 2 5" xfId="20313" xr:uid="{00000000-0005-0000-0000-0000450B0000}"/>
    <cellStyle name="Normal 10 5 8 3" xfId="10744" xr:uid="{00000000-0005-0000-0000-0000460B0000}"/>
    <cellStyle name="Normal 10 5 8 3 2" xfId="49018" xr:uid="{00000000-0005-0000-0000-0000470B0000}"/>
    <cellStyle name="Normal 10 5 8 3 3" xfId="32918" xr:uid="{00000000-0005-0000-0000-0000480B0000}"/>
    <cellStyle name="Normal 10 5 8 3 4" xfId="23349" xr:uid="{00000000-0005-0000-0000-0000490B0000}"/>
    <cellStyle name="Normal 10 5 8 4" xfId="4672" xr:uid="{00000000-0005-0000-0000-00004A0B0000}"/>
    <cellStyle name="Normal 10 5 8 4 2" xfId="52513" xr:uid="{00000000-0005-0000-0000-00004B0B0000}"/>
    <cellStyle name="Normal 10 5 8 4 3" xfId="36413" xr:uid="{00000000-0005-0000-0000-00004C0B0000}"/>
    <cellStyle name="Normal 10 5 8 4 4" xfId="17277" xr:uid="{00000000-0005-0000-0000-00004D0B0000}"/>
    <cellStyle name="Normal 10 5 8 5" xfId="42946" xr:uid="{00000000-0005-0000-0000-00004E0B0000}"/>
    <cellStyle name="Normal 10 5 8 6" xfId="26846" xr:uid="{00000000-0005-0000-0000-00004F0B0000}"/>
    <cellStyle name="Normal 10 5 8 7" xfId="13782" xr:uid="{00000000-0005-0000-0000-0000500B0000}"/>
    <cellStyle name="Normal 10 5 9" xfId="3662" xr:uid="{00000000-0005-0000-0000-0000510B0000}"/>
    <cellStyle name="Normal 10 5 9 2" xfId="35403" xr:uid="{00000000-0005-0000-0000-0000520B0000}"/>
    <cellStyle name="Normal 10 5 9 2 2" xfId="51503" xr:uid="{00000000-0005-0000-0000-0000530B0000}"/>
    <cellStyle name="Normal 10 5 9 3" xfId="41936" xr:uid="{00000000-0005-0000-0000-0000540B0000}"/>
    <cellStyle name="Normal 10 5 9 4" xfId="25836" xr:uid="{00000000-0005-0000-0000-0000550B0000}"/>
    <cellStyle name="Normal 10 5 9 5" xfId="16267" xr:uid="{00000000-0005-0000-0000-0000560B0000}"/>
    <cellStyle name="Normal 10 6" xfId="238" xr:uid="{00000000-0005-0000-0000-0000570B0000}"/>
    <cellStyle name="Normal 10 6 10" xfId="9751" xr:uid="{00000000-0005-0000-0000-0000580B0000}"/>
    <cellStyle name="Normal 10 6 10 2" xfId="48025" xr:uid="{00000000-0005-0000-0000-0000590B0000}"/>
    <cellStyle name="Normal 10 6 10 3" xfId="31925" xr:uid="{00000000-0005-0000-0000-00005A0B0000}"/>
    <cellStyle name="Normal 10 6 10 4" xfId="22356" xr:uid="{00000000-0005-0000-0000-00005B0B0000}"/>
    <cellStyle name="Normal 10 6 11" xfId="3219" xr:uid="{00000000-0005-0000-0000-00005C0B0000}"/>
    <cellStyle name="Normal 10 6 11 2" xfId="51061" xr:uid="{00000000-0005-0000-0000-00005D0B0000}"/>
    <cellStyle name="Normal 10 6 11 3" xfId="34961" xr:uid="{00000000-0005-0000-0000-00005E0B0000}"/>
    <cellStyle name="Normal 10 6 11 4" xfId="15825" xr:uid="{00000000-0005-0000-0000-00005F0B0000}"/>
    <cellStyle name="Normal 10 6 12" xfId="41494" xr:uid="{00000000-0005-0000-0000-0000600B0000}"/>
    <cellStyle name="Normal 10 6 13" xfId="25394" xr:uid="{00000000-0005-0000-0000-0000610B0000}"/>
    <cellStyle name="Normal 10 6 14" xfId="12789" xr:uid="{00000000-0005-0000-0000-0000620B0000}"/>
    <cellStyle name="Normal 10 6 15" xfId="443" xr:uid="{00000000-0005-0000-0000-0000630B0000}"/>
    <cellStyle name="Normal 10 6 2" xfId="619" xr:uid="{00000000-0005-0000-0000-0000640B0000}"/>
    <cellStyle name="Normal 10 6 2 10" xfId="13067" xr:uid="{00000000-0005-0000-0000-0000650B0000}"/>
    <cellStyle name="Normal 10 6 2 2" xfId="2647" xr:uid="{00000000-0005-0000-0000-0000660B0000}"/>
    <cellStyle name="Normal 10 6 2 2 2" xfId="9179" xr:uid="{00000000-0005-0000-0000-0000670B0000}"/>
    <cellStyle name="Normal 10 6 2 2 2 2" xfId="40920" xr:uid="{00000000-0005-0000-0000-0000680B0000}"/>
    <cellStyle name="Normal 10 6 2 2 2 2 2" xfId="57020" xr:uid="{00000000-0005-0000-0000-0000690B0000}"/>
    <cellStyle name="Normal 10 6 2 2 2 3" xfId="47453" xr:uid="{00000000-0005-0000-0000-00006A0B0000}"/>
    <cellStyle name="Normal 10 6 2 2 2 4" xfId="31353" xr:uid="{00000000-0005-0000-0000-00006B0B0000}"/>
    <cellStyle name="Normal 10 6 2 2 2 5" xfId="21784" xr:uid="{00000000-0005-0000-0000-00006C0B0000}"/>
    <cellStyle name="Normal 10 6 2 2 3" xfId="12215" xr:uid="{00000000-0005-0000-0000-00006D0B0000}"/>
    <cellStyle name="Normal 10 6 2 2 3 2" xfId="50489" xr:uid="{00000000-0005-0000-0000-00006E0B0000}"/>
    <cellStyle name="Normal 10 6 2 2 3 3" xfId="34389" xr:uid="{00000000-0005-0000-0000-00006F0B0000}"/>
    <cellStyle name="Normal 10 6 2 2 3 4" xfId="24820" xr:uid="{00000000-0005-0000-0000-0000700B0000}"/>
    <cellStyle name="Normal 10 6 2 2 4" xfId="6143" xr:uid="{00000000-0005-0000-0000-0000710B0000}"/>
    <cellStyle name="Normal 10 6 2 2 4 2" xfId="53984" xr:uid="{00000000-0005-0000-0000-0000720B0000}"/>
    <cellStyle name="Normal 10 6 2 2 4 3" xfId="37884" xr:uid="{00000000-0005-0000-0000-0000730B0000}"/>
    <cellStyle name="Normal 10 6 2 2 4 4" xfId="18748" xr:uid="{00000000-0005-0000-0000-0000740B0000}"/>
    <cellStyle name="Normal 10 6 2 2 5" xfId="44417" xr:uid="{00000000-0005-0000-0000-0000750B0000}"/>
    <cellStyle name="Normal 10 6 2 2 6" xfId="28317" xr:uid="{00000000-0005-0000-0000-0000760B0000}"/>
    <cellStyle name="Normal 10 6 2 2 7" xfId="15253" xr:uid="{00000000-0005-0000-0000-0000770B0000}"/>
    <cellStyle name="Normal 10 6 2 3" xfId="1469" xr:uid="{00000000-0005-0000-0000-0000780B0000}"/>
    <cellStyle name="Normal 10 6 2 3 2" xfId="8003" xr:uid="{00000000-0005-0000-0000-0000790B0000}"/>
    <cellStyle name="Normal 10 6 2 3 2 2" xfId="39744" xr:uid="{00000000-0005-0000-0000-00007A0B0000}"/>
    <cellStyle name="Normal 10 6 2 3 2 2 2" xfId="55844" xr:uid="{00000000-0005-0000-0000-00007B0B0000}"/>
    <cellStyle name="Normal 10 6 2 3 2 3" xfId="46277" xr:uid="{00000000-0005-0000-0000-00007C0B0000}"/>
    <cellStyle name="Normal 10 6 2 3 2 4" xfId="30177" xr:uid="{00000000-0005-0000-0000-00007D0B0000}"/>
    <cellStyle name="Normal 10 6 2 3 2 5" xfId="20608" xr:uid="{00000000-0005-0000-0000-00007E0B0000}"/>
    <cellStyle name="Normal 10 6 2 3 3" xfId="11039" xr:uid="{00000000-0005-0000-0000-00007F0B0000}"/>
    <cellStyle name="Normal 10 6 2 3 3 2" xfId="49313" xr:uid="{00000000-0005-0000-0000-0000800B0000}"/>
    <cellStyle name="Normal 10 6 2 3 3 3" xfId="33213" xr:uid="{00000000-0005-0000-0000-0000810B0000}"/>
    <cellStyle name="Normal 10 6 2 3 3 4" xfId="23644" xr:uid="{00000000-0005-0000-0000-0000820B0000}"/>
    <cellStyle name="Normal 10 6 2 3 4" xfId="4967" xr:uid="{00000000-0005-0000-0000-0000830B0000}"/>
    <cellStyle name="Normal 10 6 2 3 4 2" xfId="52808" xr:uid="{00000000-0005-0000-0000-0000840B0000}"/>
    <cellStyle name="Normal 10 6 2 3 4 3" xfId="36708" xr:uid="{00000000-0005-0000-0000-0000850B0000}"/>
    <cellStyle name="Normal 10 6 2 3 4 4" xfId="17572" xr:uid="{00000000-0005-0000-0000-0000860B0000}"/>
    <cellStyle name="Normal 10 6 2 3 5" xfId="43241" xr:uid="{00000000-0005-0000-0000-0000870B0000}"/>
    <cellStyle name="Normal 10 6 2 3 6" xfId="27141" xr:uid="{00000000-0005-0000-0000-0000880B0000}"/>
    <cellStyle name="Normal 10 6 2 3 7" xfId="14077" xr:uid="{00000000-0005-0000-0000-0000890B0000}"/>
    <cellStyle name="Normal 10 6 2 4" xfId="3957" xr:uid="{00000000-0005-0000-0000-00008A0B0000}"/>
    <cellStyle name="Normal 10 6 2 4 2" xfId="35698" xr:uid="{00000000-0005-0000-0000-00008B0B0000}"/>
    <cellStyle name="Normal 10 6 2 4 2 2" xfId="51798" xr:uid="{00000000-0005-0000-0000-00008C0B0000}"/>
    <cellStyle name="Normal 10 6 2 4 3" xfId="42231" xr:uid="{00000000-0005-0000-0000-00008D0B0000}"/>
    <cellStyle name="Normal 10 6 2 4 4" xfId="26131" xr:uid="{00000000-0005-0000-0000-00008E0B0000}"/>
    <cellStyle name="Normal 10 6 2 4 5" xfId="16562" xr:uid="{00000000-0005-0000-0000-00008F0B0000}"/>
    <cellStyle name="Normal 10 6 2 5" xfId="6993" xr:uid="{00000000-0005-0000-0000-0000900B0000}"/>
    <cellStyle name="Normal 10 6 2 5 2" xfId="38734" xr:uid="{00000000-0005-0000-0000-0000910B0000}"/>
    <cellStyle name="Normal 10 6 2 5 2 2" xfId="54834" xr:uid="{00000000-0005-0000-0000-0000920B0000}"/>
    <cellStyle name="Normal 10 6 2 5 3" xfId="45267" xr:uid="{00000000-0005-0000-0000-0000930B0000}"/>
    <cellStyle name="Normal 10 6 2 5 4" xfId="29167" xr:uid="{00000000-0005-0000-0000-0000940B0000}"/>
    <cellStyle name="Normal 10 6 2 5 5" xfId="19598" xr:uid="{00000000-0005-0000-0000-0000950B0000}"/>
    <cellStyle name="Normal 10 6 2 6" xfId="10029" xr:uid="{00000000-0005-0000-0000-0000960B0000}"/>
    <cellStyle name="Normal 10 6 2 6 2" xfId="48303" xr:uid="{00000000-0005-0000-0000-0000970B0000}"/>
    <cellStyle name="Normal 10 6 2 6 3" xfId="32203" xr:uid="{00000000-0005-0000-0000-0000980B0000}"/>
    <cellStyle name="Normal 10 6 2 6 4" xfId="22634" xr:uid="{00000000-0005-0000-0000-0000990B0000}"/>
    <cellStyle name="Normal 10 6 2 7" xfId="3457" xr:uid="{00000000-0005-0000-0000-00009A0B0000}"/>
    <cellStyle name="Normal 10 6 2 7 2" xfId="51298" xr:uid="{00000000-0005-0000-0000-00009B0B0000}"/>
    <cellStyle name="Normal 10 6 2 7 3" xfId="35198" xr:uid="{00000000-0005-0000-0000-00009C0B0000}"/>
    <cellStyle name="Normal 10 6 2 7 4" xfId="16062" xr:uid="{00000000-0005-0000-0000-00009D0B0000}"/>
    <cellStyle name="Normal 10 6 2 8" xfId="41731" xr:uid="{00000000-0005-0000-0000-00009E0B0000}"/>
    <cellStyle name="Normal 10 6 2 9" xfId="25631" xr:uid="{00000000-0005-0000-0000-00009F0B0000}"/>
    <cellStyle name="Normal 10 6 3" xfId="864" xr:uid="{00000000-0005-0000-0000-0000A00B0000}"/>
    <cellStyle name="Normal 10 6 3 2" xfId="2892" xr:uid="{00000000-0005-0000-0000-0000A10B0000}"/>
    <cellStyle name="Normal 10 6 3 2 2" xfId="9424" xr:uid="{00000000-0005-0000-0000-0000A20B0000}"/>
    <cellStyle name="Normal 10 6 3 2 2 2" xfId="41165" xr:uid="{00000000-0005-0000-0000-0000A30B0000}"/>
    <cellStyle name="Normal 10 6 3 2 2 2 2" xfId="57265" xr:uid="{00000000-0005-0000-0000-0000A40B0000}"/>
    <cellStyle name="Normal 10 6 3 2 2 3" xfId="47698" xr:uid="{00000000-0005-0000-0000-0000A50B0000}"/>
    <cellStyle name="Normal 10 6 3 2 2 4" xfId="31598" xr:uid="{00000000-0005-0000-0000-0000A60B0000}"/>
    <cellStyle name="Normal 10 6 3 2 2 5" xfId="22029" xr:uid="{00000000-0005-0000-0000-0000A70B0000}"/>
    <cellStyle name="Normal 10 6 3 2 3" xfId="12460" xr:uid="{00000000-0005-0000-0000-0000A80B0000}"/>
    <cellStyle name="Normal 10 6 3 2 3 2" xfId="50734" xr:uid="{00000000-0005-0000-0000-0000A90B0000}"/>
    <cellStyle name="Normal 10 6 3 2 3 3" xfId="34634" xr:uid="{00000000-0005-0000-0000-0000AA0B0000}"/>
    <cellStyle name="Normal 10 6 3 2 3 4" xfId="25065" xr:uid="{00000000-0005-0000-0000-0000AB0B0000}"/>
    <cellStyle name="Normal 10 6 3 2 4" xfId="6388" xr:uid="{00000000-0005-0000-0000-0000AC0B0000}"/>
    <cellStyle name="Normal 10 6 3 2 4 2" xfId="54229" xr:uid="{00000000-0005-0000-0000-0000AD0B0000}"/>
    <cellStyle name="Normal 10 6 3 2 4 3" xfId="38129" xr:uid="{00000000-0005-0000-0000-0000AE0B0000}"/>
    <cellStyle name="Normal 10 6 3 2 4 4" xfId="18993" xr:uid="{00000000-0005-0000-0000-0000AF0B0000}"/>
    <cellStyle name="Normal 10 6 3 2 5" xfId="44662" xr:uid="{00000000-0005-0000-0000-0000B00B0000}"/>
    <cellStyle name="Normal 10 6 3 2 6" xfId="28562" xr:uid="{00000000-0005-0000-0000-0000B10B0000}"/>
    <cellStyle name="Normal 10 6 3 2 7" xfId="15498" xr:uid="{00000000-0005-0000-0000-0000B20B0000}"/>
    <cellStyle name="Normal 10 6 3 3" xfId="1874" xr:uid="{00000000-0005-0000-0000-0000B30B0000}"/>
    <cellStyle name="Normal 10 6 3 3 2" xfId="8408" xr:uid="{00000000-0005-0000-0000-0000B40B0000}"/>
    <cellStyle name="Normal 10 6 3 3 2 2" xfId="40149" xr:uid="{00000000-0005-0000-0000-0000B50B0000}"/>
    <cellStyle name="Normal 10 6 3 3 2 2 2" xfId="56249" xr:uid="{00000000-0005-0000-0000-0000B60B0000}"/>
    <cellStyle name="Normal 10 6 3 3 2 3" xfId="46682" xr:uid="{00000000-0005-0000-0000-0000B70B0000}"/>
    <cellStyle name="Normal 10 6 3 3 2 4" xfId="30582" xr:uid="{00000000-0005-0000-0000-0000B80B0000}"/>
    <cellStyle name="Normal 10 6 3 3 2 5" xfId="21013" xr:uid="{00000000-0005-0000-0000-0000B90B0000}"/>
    <cellStyle name="Normal 10 6 3 3 3" xfId="11444" xr:uid="{00000000-0005-0000-0000-0000BA0B0000}"/>
    <cellStyle name="Normal 10 6 3 3 3 2" xfId="49718" xr:uid="{00000000-0005-0000-0000-0000BB0B0000}"/>
    <cellStyle name="Normal 10 6 3 3 3 3" xfId="33618" xr:uid="{00000000-0005-0000-0000-0000BC0B0000}"/>
    <cellStyle name="Normal 10 6 3 3 3 4" xfId="24049" xr:uid="{00000000-0005-0000-0000-0000BD0B0000}"/>
    <cellStyle name="Normal 10 6 3 3 4" xfId="5372" xr:uid="{00000000-0005-0000-0000-0000BE0B0000}"/>
    <cellStyle name="Normal 10 6 3 3 4 2" xfId="53213" xr:uid="{00000000-0005-0000-0000-0000BF0B0000}"/>
    <cellStyle name="Normal 10 6 3 3 4 3" xfId="37113" xr:uid="{00000000-0005-0000-0000-0000C00B0000}"/>
    <cellStyle name="Normal 10 6 3 3 4 4" xfId="17977" xr:uid="{00000000-0005-0000-0000-0000C10B0000}"/>
    <cellStyle name="Normal 10 6 3 3 5" xfId="43646" xr:uid="{00000000-0005-0000-0000-0000C20B0000}"/>
    <cellStyle name="Normal 10 6 3 3 6" xfId="27546" xr:uid="{00000000-0005-0000-0000-0000C30B0000}"/>
    <cellStyle name="Normal 10 6 3 3 7" xfId="14482" xr:uid="{00000000-0005-0000-0000-0000C40B0000}"/>
    <cellStyle name="Normal 10 6 3 4" xfId="7398" xr:uid="{00000000-0005-0000-0000-0000C50B0000}"/>
    <cellStyle name="Normal 10 6 3 4 2" xfId="39139" xr:uid="{00000000-0005-0000-0000-0000C60B0000}"/>
    <cellStyle name="Normal 10 6 3 4 2 2" xfId="55239" xr:uid="{00000000-0005-0000-0000-0000C70B0000}"/>
    <cellStyle name="Normal 10 6 3 4 3" xfId="45672" xr:uid="{00000000-0005-0000-0000-0000C80B0000}"/>
    <cellStyle name="Normal 10 6 3 4 4" xfId="29572" xr:uid="{00000000-0005-0000-0000-0000C90B0000}"/>
    <cellStyle name="Normal 10 6 3 4 5" xfId="20003" xr:uid="{00000000-0005-0000-0000-0000CA0B0000}"/>
    <cellStyle name="Normal 10 6 3 5" xfId="10434" xr:uid="{00000000-0005-0000-0000-0000CB0B0000}"/>
    <cellStyle name="Normal 10 6 3 5 2" xfId="48708" xr:uid="{00000000-0005-0000-0000-0000CC0B0000}"/>
    <cellStyle name="Normal 10 6 3 5 3" xfId="32608" xr:uid="{00000000-0005-0000-0000-0000CD0B0000}"/>
    <cellStyle name="Normal 10 6 3 5 4" xfId="23039" xr:uid="{00000000-0005-0000-0000-0000CE0B0000}"/>
    <cellStyle name="Normal 10 6 3 6" xfId="4362" xr:uid="{00000000-0005-0000-0000-0000CF0B0000}"/>
    <cellStyle name="Normal 10 6 3 6 2" xfId="52203" xr:uid="{00000000-0005-0000-0000-0000D00B0000}"/>
    <cellStyle name="Normal 10 6 3 6 3" xfId="36103" xr:uid="{00000000-0005-0000-0000-0000D10B0000}"/>
    <cellStyle name="Normal 10 6 3 6 4" xfId="16967" xr:uid="{00000000-0005-0000-0000-0000D20B0000}"/>
    <cellStyle name="Normal 10 6 3 7" xfId="42636" xr:uid="{00000000-0005-0000-0000-0000D30B0000}"/>
    <cellStyle name="Normal 10 6 3 8" xfId="26536" xr:uid="{00000000-0005-0000-0000-0000D40B0000}"/>
    <cellStyle name="Normal 10 6 3 9" xfId="13472" xr:uid="{00000000-0005-0000-0000-0000D50B0000}"/>
    <cellStyle name="Normal 10 6 4" xfId="658" xr:uid="{00000000-0005-0000-0000-0000D60B0000}"/>
    <cellStyle name="Normal 10 6 4 2" xfId="2686" xr:uid="{00000000-0005-0000-0000-0000D70B0000}"/>
    <cellStyle name="Normal 10 6 4 2 2" xfId="9218" xr:uid="{00000000-0005-0000-0000-0000D80B0000}"/>
    <cellStyle name="Normal 10 6 4 2 2 2" xfId="40959" xr:uid="{00000000-0005-0000-0000-0000D90B0000}"/>
    <cellStyle name="Normal 10 6 4 2 2 2 2" xfId="57059" xr:uid="{00000000-0005-0000-0000-0000DA0B0000}"/>
    <cellStyle name="Normal 10 6 4 2 2 3" xfId="47492" xr:uid="{00000000-0005-0000-0000-0000DB0B0000}"/>
    <cellStyle name="Normal 10 6 4 2 2 4" xfId="31392" xr:uid="{00000000-0005-0000-0000-0000DC0B0000}"/>
    <cellStyle name="Normal 10 6 4 2 2 5" xfId="21823" xr:uid="{00000000-0005-0000-0000-0000DD0B0000}"/>
    <cellStyle name="Normal 10 6 4 2 3" xfId="12254" xr:uid="{00000000-0005-0000-0000-0000DE0B0000}"/>
    <cellStyle name="Normal 10 6 4 2 3 2" xfId="50528" xr:uid="{00000000-0005-0000-0000-0000DF0B0000}"/>
    <cellStyle name="Normal 10 6 4 2 3 3" xfId="34428" xr:uid="{00000000-0005-0000-0000-0000E00B0000}"/>
    <cellStyle name="Normal 10 6 4 2 3 4" xfId="24859" xr:uid="{00000000-0005-0000-0000-0000E10B0000}"/>
    <cellStyle name="Normal 10 6 4 2 4" xfId="6182" xr:uid="{00000000-0005-0000-0000-0000E20B0000}"/>
    <cellStyle name="Normal 10 6 4 2 4 2" xfId="54023" xr:uid="{00000000-0005-0000-0000-0000E30B0000}"/>
    <cellStyle name="Normal 10 6 4 2 4 3" xfId="37923" xr:uid="{00000000-0005-0000-0000-0000E40B0000}"/>
    <cellStyle name="Normal 10 6 4 2 4 4" xfId="18787" xr:uid="{00000000-0005-0000-0000-0000E50B0000}"/>
    <cellStyle name="Normal 10 6 4 2 5" xfId="44456" xr:uid="{00000000-0005-0000-0000-0000E60B0000}"/>
    <cellStyle name="Normal 10 6 4 2 6" xfId="28356" xr:uid="{00000000-0005-0000-0000-0000E70B0000}"/>
    <cellStyle name="Normal 10 6 4 2 7" xfId="15292" xr:uid="{00000000-0005-0000-0000-0000E80B0000}"/>
    <cellStyle name="Normal 10 6 4 3" xfId="1668" xr:uid="{00000000-0005-0000-0000-0000E90B0000}"/>
    <cellStyle name="Normal 10 6 4 3 2" xfId="8202" xr:uid="{00000000-0005-0000-0000-0000EA0B0000}"/>
    <cellStyle name="Normal 10 6 4 3 2 2" xfId="39943" xr:uid="{00000000-0005-0000-0000-0000EB0B0000}"/>
    <cellStyle name="Normal 10 6 4 3 2 2 2" xfId="56043" xr:uid="{00000000-0005-0000-0000-0000EC0B0000}"/>
    <cellStyle name="Normal 10 6 4 3 2 3" xfId="46476" xr:uid="{00000000-0005-0000-0000-0000ED0B0000}"/>
    <cellStyle name="Normal 10 6 4 3 2 4" xfId="30376" xr:uid="{00000000-0005-0000-0000-0000EE0B0000}"/>
    <cellStyle name="Normal 10 6 4 3 2 5" xfId="20807" xr:uid="{00000000-0005-0000-0000-0000EF0B0000}"/>
    <cellStyle name="Normal 10 6 4 3 3" xfId="11238" xr:uid="{00000000-0005-0000-0000-0000F00B0000}"/>
    <cellStyle name="Normal 10 6 4 3 3 2" xfId="49512" xr:uid="{00000000-0005-0000-0000-0000F10B0000}"/>
    <cellStyle name="Normal 10 6 4 3 3 3" xfId="33412" xr:uid="{00000000-0005-0000-0000-0000F20B0000}"/>
    <cellStyle name="Normal 10 6 4 3 3 4" xfId="23843" xr:uid="{00000000-0005-0000-0000-0000F30B0000}"/>
    <cellStyle name="Normal 10 6 4 3 4" xfId="5166" xr:uid="{00000000-0005-0000-0000-0000F40B0000}"/>
    <cellStyle name="Normal 10 6 4 3 4 2" xfId="53007" xr:uid="{00000000-0005-0000-0000-0000F50B0000}"/>
    <cellStyle name="Normal 10 6 4 3 4 3" xfId="36907" xr:uid="{00000000-0005-0000-0000-0000F60B0000}"/>
    <cellStyle name="Normal 10 6 4 3 4 4" xfId="17771" xr:uid="{00000000-0005-0000-0000-0000F70B0000}"/>
    <cellStyle name="Normal 10 6 4 3 5" xfId="43440" xr:uid="{00000000-0005-0000-0000-0000F80B0000}"/>
    <cellStyle name="Normal 10 6 4 3 6" xfId="27340" xr:uid="{00000000-0005-0000-0000-0000F90B0000}"/>
    <cellStyle name="Normal 10 6 4 3 7" xfId="14276" xr:uid="{00000000-0005-0000-0000-0000FA0B0000}"/>
    <cellStyle name="Normal 10 6 4 4" xfId="7192" xr:uid="{00000000-0005-0000-0000-0000FB0B0000}"/>
    <cellStyle name="Normal 10 6 4 4 2" xfId="38933" xr:uid="{00000000-0005-0000-0000-0000FC0B0000}"/>
    <cellStyle name="Normal 10 6 4 4 2 2" xfId="55033" xr:uid="{00000000-0005-0000-0000-0000FD0B0000}"/>
    <cellStyle name="Normal 10 6 4 4 3" xfId="45466" xr:uid="{00000000-0005-0000-0000-0000FE0B0000}"/>
    <cellStyle name="Normal 10 6 4 4 4" xfId="29366" xr:uid="{00000000-0005-0000-0000-0000FF0B0000}"/>
    <cellStyle name="Normal 10 6 4 4 5" xfId="19797" xr:uid="{00000000-0005-0000-0000-0000000C0000}"/>
    <cellStyle name="Normal 10 6 4 5" xfId="10228" xr:uid="{00000000-0005-0000-0000-0000010C0000}"/>
    <cellStyle name="Normal 10 6 4 5 2" xfId="48502" xr:uid="{00000000-0005-0000-0000-0000020C0000}"/>
    <cellStyle name="Normal 10 6 4 5 3" xfId="32402" xr:uid="{00000000-0005-0000-0000-0000030C0000}"/>
    <cellStyle name="Normal 10 6 4 5 4" xfId="22833" xr:uid="{00000000-0005-0000-0000-0000040C0000}"/>
    <cellStyle name="Normal 10 6 4 6" xfId="4156" xr:uid="{00000000-0005-0000-0000-0000050C0000}"/>
    <cellStyle name="Normal 10 6 4 6 2" xfId="51997" xr:uid="{00000000-0005-0000-0000-0000060C0000}"/>
    <cellStyle name="Normal 10 6 4 6 3" xfId="35897" xr:uid="{00000000-0005-0000-0000-0000070C0000}"/>
    <cellStyle name="Normal 10 6 4 6 4" xfId="16761" xr:uid="{00000000-0005-0000-0000-0000080C0000}"/>
    <cellStyle name="Normal 10 6 4 7" xfId="42430" xr:uid="{00000000-0005-0000-0000-0000090C0000}"/>
    <cellStyle name="Normal 10 6 4 8" xfId="26330" xr:uid="{00000000-0005-0000-0000-00000A0C0000}"/>
    <cellStyle name="Normal 10 6 4 9" xfId="13266" xr:uid="{00000000-0005-0000-0000-00000B0C0000}"/>
    <cellStyle name="Normal 10 6 5" xfId="2257" xr:uid="{00000000-0005-0000-0000-00000C0C0000}"/>
    <cellStyle name="Normal 10 6 5 2" xfId="8791" xr:uid="{00000000-0005-0000-0000-00000D0C0000}"/>
    <cellStyle name="Normal 10 6 5 2 2" xfId="40532" xr:uid="{00000000-0005-0000-0000-00000E0C0000}"/>
    <cellStyle name="Normal 10 6 5 2 2 2" xfId="56632" xr:uid="{00000000-0005-0000-0000-00000F0C0000}"/>
    <cellStyle name="Normal 10 6 5 2 3" xfId="47065" xr:uid="{00000000-0005-0000-0000-0000100C0000}"/>
    <cellStyle name="Normal 10 6 5 2 4" xfId="30965" xr:uid="{00000000-0005-0000-0000-0000110C0000}"/>
    <cellStyle name="Normal 10 6 5 2 5" xfId="21396" xr:uid="{00000000-0005-0000-0000-0000120C0000}"/>
    <cellStyle name="Normal 10 6 5 3" xfId="11827" xr:uid="{00000000-0005-0000-0000-0000130C0000}"/>
    <cellStyle name="Normal 10 6 5 3 2" xfId="50101" xr:uid="{00000000-0005-0000-0000-0000140C0000}"/>
    <cellStyle name="Normal 10 6 5 3 3" xfId="34001" xr:uid="{00000000-0005-0000-0000-0000150C0000}"/>
    <cellStyle name="Normal 10 6 5 3 4" xfId="24432" xr:uid="{00000000-0005-0000-0000-0000160C0000}"/>
    <cellStyle name="Normal 10 6 5 4" xfId="5755" xr:uid="{00000000-0005-0000-0000-0000170C0000}"/>
    <cellStyle name="Normal 10 6 5 4 2" xfId="53596" xr:uid="{00000000-0005-0000-0000-0000180C0000}"/>
    <cellStyle name="Normal 10 6 5 4 3" xfId="37496" xr:uid="{00000000-0005-0000-0000-0000190C0000}"/>
    <cellStyle name="Normal 10 6 5 4 4" xfId="18360" xr:uid="{00000000-0005-0000-0000-00001A0C0000}"/>
    <cellStyle name="Normal 10 6 5 5" xfId="44029" xr:uid="{00000000-0005-0000-0000-00001B0C0000}"/>
    <cellStyle name="Normal 10 6 5 6" xfId="27929" xr:uid="{00000000-0005-0000-0000-00001C0C0000}"/>
    <cellStyle name="Normal 10 6 5 7" xfId="14865" xr:uid="{00000000-0005-0000-0000-00001D0C0000}"/>
    <cellStyle name="Normal 10 6 6" xfId="2458" xr:uid="{00000000-0005-0000-0000-00001E0C0000}"/>
    <cellStyle name="Normal 10 6 6 2" xfId="8990" xr:uid="{00000000-0005-0000-0000-00001F0C0000}"/>
    <cellStyle name="Normal 10 6 6 2 2" xfId="40731" xr:uid="{00000000-0005-0000-0000-0000200C0000}"/>
    <cellStyle name="Normal 10 6 6 2 2 2" xfId="56831" xr:uid="{00000000-0005-0000-0000-0000210C0000}"/>
    <cellStyle name="Normal 10 6 6 2 3" xfId="47264" xr:uid="{00000000-0005-0000-0000-0000220C0000}"/>
    <cellStyle name="Normal 10 6 6 2 4" xfId="31164" xr:uid="{00000000-0005-0000-0000-0000230C0000}"/>
    <cellStyle name="Normal 10 6 6 2 5" xfId="21595" xr:uid="{00000000-0005-0000-0000-0000240C0000}"/>
    <cellStyle name="Normal 10 6 6 3" xfId="12026" xr:uid="{00000000-0005-0000-0000-0000250C0000}"/>
    <cellStyle name="Normal 10 6 6 3 2" xfId="50300" xr:uid="{00000000-0005-0000-0000-0000260C0000}"/>
    <cellStyle name="Normal 10 6 6 3 3" xfId="34200" xr:uid="{00000000-0005-0000-0000-0000270C0000}"/>
    <cellStyle name="Normal 10 6 6 3 4" xfId="24631" xr:uid="{00000000-0005-0000-0000-0000280C0000}"/>
    <cellStyle name="Normal 10 6 6 4" xfId="5954" xr:uid="{00000000-0005-0000-0000-0000290C0000}"/>
    <cellStyle name="Normal 10 6 6 4 2" xfId="53795" xr:uid="{00000000-0005-0000-0000-00002A0C0000}"/>
    <cellStyle name="Normal 10 6 6 4 3" xfId="37695" xr:uid="{00000000-0005-0000-0000-00002B0C0000}"/>
    <cellStyle name="Normal 10 6 6 4 4" xfId="18559" xr:uid="{00000000-0005-0000-0000-00002C0C0000}"/>
    <cellStyle name="Normal 10 6 6 5" xfId="44228" xr:uid="{00000000-0005-0000-0000-00002D0C0000}"/>
    <cellStyle name="Normal 10 6 6 6" xfId="28128" xr:uid="{00000000-0005-0000-0000-00002E0C0000}"/>
    <cellStyle name="Normal 10 6 6 7" xfId="15064" xr:uid="{00000000-0005-0000-0000-00002F0C0000}"/>
    <cellStyle name="Normal 10 6 7" xfId="1191" xr:uid="{00000000-0005-0000-0000-0000300C0000}"/>
    <cellStyle name="Normal 10 6 7 2" xfId="7725" xr:uid="{00000000-0005-0000-0000-0000310C0000}"/>
    <cellStyle name="Normal 10 6 7 2 2" xfId="39466" xr:uid="{00000000-0005-0000-0000-0000320C0000}"/>
    <cellStyle name="Normal 10 6 7 2 2 2" xfId="55566" xr:uid="{00000000-0005-0000-0000-0000330C0000}"/>
    <cellStyle name="Normal 10 6 7 2 3" xfId="45999" xr:uid="{00000000-0005-0000-0000-0000340C0000}"/>
    <cellStyle name="Normal 10 6 7 2 4" xfId="29899" xr:uid="{00000000-0005-0000-0000-0000350C0000}"/>
    <cellStyle name="Normal 10 6 7 2 5" xfId="20330" xr:uid="{00000000-0005-0000-0000-0000360C0000}"/>
    <cellStyle name="Normal 10 6 7 3" xfId="10761" xr:uid="{00000000-0005-0000-0000-0000370C0000}"/>
    <cellStyle name="Normal 10 6 7 3 2" xfId="49035" xr:uid="{00000000-0005-0000-0000-0000380C0000}"/>
    <cellStyle name="Normal 10 6 7 3 3" xfId="32935" xr:uid="{00000000-0005-0000-0000-0000390C0000}"/>
    <cellStyle name="Normal 10 6 7 3 4" xfId="23366" xr:uid="{00000000-0005-0000-0000-00003A0C0000}"/>
    <cellStyle name="Normal 10 6 7 4" xfId="4689" xr:uid="{00000000-0005-0000-0000-00003B0C0000}"/>
    <cellStyle name="Normal 10 6 7 4 2" xfId="52530" xr:uid="{00000000-0005-0000-0000-00003C0C0000}"/>
    <cellStyle name="Normal 10 6 7 4 3" xfId="36430" xr:uid="{00000000-0005-0000-0000-00003D0C0000}"/>
    <cellStyle name="Normal 10 6 7 4 4" xfId="17294" xr:uid="{00000000-0005-0000-0000-00003E0C0000}"/>
    <cellStyle name="Normal 10 6 7 5" xfId="42963" xr:uid="{00000000-0005-0000-0000-00003F0C0000}"/>
    <cellStyle name="Normal 10 6 7 6" xfId="26863" xr:uid="{00000000-0005-0000-0000-0000400C0000}"/>
    <cellStyle name="Normal 10 6 7 7" xfId="13799" xr:uid="{00000000-0005-0000-0000-0000410C0000}"/>
    <cellStyle name="Normal 10 6 8" xfId="3679" xr:uid="{00000000-0005-0000-0000-0000420C0000}"/>
    <cellStyle name="Normal 10 6 8 2" xfId="35420" xr:uid="{00000000-0005-0000-0000-0000430C0000}"/>
    <cellStyle name="Normal 10 6 8 2 2" xfId="51520" xr:uid="{00000000-0005-0000-0000-0000440C0000}"/>
    <cellStyle name="Normal 10 6 8 3" xfId="41953" xr:uid="{00000000-0005-0000-0000-0000450C0000}"/>
    <cellStyle name="Normal 10 6 8 4" xfId="25853" xr:uid="{00000000-0005-0000-0000-0000460C0000}"/>
    <cellStyle name="Normal 10 6 8 5" xfId="16284" xr:uid="{00000000-0005-0000-0000-0000470C0000}"/>
    <cellStyle name="Normal 10 6 9" xfId="6715" xr:uid="{00000000-0005-0000-0000-0000480C0000}"/>
    <cellStyle name="Normal 10 6 9 2" xfId="38456" xr:uid="{00000000-0005-0000-0000-0000490C0000}"/>
    <cellStyle name="Normal 10 6 9 2 2" xfId="54556" xr:uid="{00000000-0005-0000-0000-00004A0C0000}"/>
    <cellStyle name="Normal 10 6 9 3" xfId="44989" xr:uid="{00000000-0005-0000-0000-00004B0C0000}"/>
    <cellStyle name="Normal 10 6 9 4" xfId="28889" xr:uid="{00000000-0005-0000-0000-00004C0C0000}"/>
    <cellStyle name="Normal 10 6 9 5" xfId="19320" xr:uid="{00000000-0005-0000-0000-00004D0C0000}"/>
    <cellStyle name="Normal 10 7" xfId="55" xr:uid="{00000000-0005-0000-0000-00004E0C0000}"/>
    <cellStyle name="Normal 10 7 10" xfId="41511" xr:uid="{00000000-0005-0000-0000-00004F0C0000}"/>
    <cellStyle name="Normal 10 7 11" xfId="25411" xr:uid="{00000000-0005-0000-0000-0000500C0000}"/>
    <cellStyle name="Normal 10 7 12" xfId="12806" xr:uid="{00000000-0005-0000-0000-0000510C0000}"/>
    <cellStyle name="Normal 10 7 13" xfId="444" xr:uid="{00000000-0005-0000-0000-0000520C0000}"/>
    <cellStyle name="Normal 10 7 2" xfId="881" xr:uid="{00000000-0005-0000-0000-0000530C0000}"/>
    <cellStyle name="Normal 10 7 2 10" xfId="13489" xr:uid="{00000000-0005-0000-0000-0000540C0000}"/>
    <cellStyle name="Normal 10 7 2 2" xfId="2909" xr:uid="{00000000-0005-0000-0000-0000550C0000}"/>
    <cellStyle name="Normal 10 7 2 2 2" xfId="9441" xr:uid="{00000000-0005-0000-0000-0000560C0000}"/>
    <cellStyle name="Normal 10 7 2 2 2 2" xfId="41182" xr:uid="{00000000-0005-0000-0000-0000570C0000}"/>
    <cellStyle name="Normal 10 7 2 2 2 2 2" xfId="57282" xr:uid="{00000000-0005-0000-0000-0000580C0000}"/>
    <cellStyle name="Normal 10 7 2 2 2 3" xfId="47715" xr:uid="{00000000-0005-0000-0000-0000590C0000}"/>
    <cellStyle name="Normal 10 7 2 2 2 4" xfId="31615" xr:uid="{00000000-0005-0000-0000-00005A0C0000}"/>
    <cellStyle name="Normal 10 7 2 2 2 5" xfId="22046" xr:uid="{00000000-0005-0000-0000-00005B0C0000}"/>
    <cellStyle name="Normal 10 7 2 2 3" xfId="12477" xr:uid="{00000000-0005-0000-0000-00005C0C0000}"/>
    <cellStyle name="Normal 10 7 2 2 3 2" xfId="50751" xr:uid="{00000000-0005-0000-0000-00005D0C0000}"/>
    <cellStyle name="Normal 10 7 2 2 3 3" xfId="34651" xr:uid="{00000000-0005-0000-0000-00005E0C0000}"/>
    <cellStyle name="Normal 10 7 2 2 3 4" xfId="25082" xr:uid="{00000000-0005-0000-0000-00005F0C0000}"/>
    <cellStyle name="Normal 10 7 2 2 4" xfId="6405" xr:uid="{00000000-0005-0000-0000-0000600C0000}"/>
    <cellStyle name="Normal 10 7 2 2 4 2" xfId="54246" xr:uid="{00000000-0005-0000-0000-0000610C0000}"/>
    <cellStyle name="Normal 10 7 2 2 4 3" xfId="38146" xr:uid="{00000000-0005-0000-0000-0000620C0000}"/>
    <cellStyle name="Normal 10 7 2 2 4 4" xfId="19010" xr:uid="{00000000-0005-0000-0000-0000630C0000}"/>
    <cellStyle name="Normal 10 7 2 2 5" xfId="44679" xr:uid="{00000000-0005-0000-0000-0000640C0000}"/>
    <cellStyle name="Normal 10 7 2 2 6" xfId="28579" xr:uid="{00000000-0005-0000-0000-0000650C0000}"/>
    <cellStyle name="Normal 10 7 2 2 7" xfId="15515" xr:uid="{00000000-0005-0000-0000-0000660C0000}"/>
    <cellStyle name="Normal 10 7 2 3" xfId="1891" xr:uid="{00000000-0005-0000-0000-0000670C0000}"/>
    <cellStyle name="Normal 10 7 2 3 2" xfId="8425" xr:uid="{00000000-0005-0000-0000-0000680C0000}"/>
    <cellStyle name="Normal 10 7 2 3 2 2" xfId="40166" xr:uid="{00000000-0005-0000-0000-0000690C0000}"/>
    <cellStyle name="Normal 10 7 2 3 2 2 2" xfId="56266" xr:uid="{00000000-0005-0000-0000-00006A0C0000}"/>
    <cellStyle name="Normal 10 7 2 3 2 3" xfId="46699" xr:uid="{00000000-0005-0000-0000-00006B0C0000}"/>
    <cellStyle name="Normal 10 7 2 3 2 4" xfId="30599" xr:uid="{00000000-0005-0000-0000-00006C0C0000}"/>
    <cellStyle name="Normal 10 7 2 3 2 5" xfId="21030" xr:uid="{00000000-0005-0000-0000-00006D0C0000}"/>
    <cellStyle name="Normal 10 7 2 3 3" xfId="11461" xr:uid="{00000000-0005-0000-0000-00006E0C0000}"/>
    <cellStyle name="Normal 10 7 2 3 3 2" xfId="49735" xr:uid="{00000000-0005-0000-0000-00006F0C0000}"/>
    <cellStyle name="Normal 10 7 2 3 3 3" xfId="33635" xr:uid="{00000000-0005-0000-0000-0000700C0000}"/>
    <cellStyle name="Normal 10 7 2 3 3 4" xfId="24066" xr:uid="{00000000-0005-0000-0000-0000710C0000}"/>
    <cellStyle name="Normal 10 7 2 3 4" xfId="5389" xr:uid="{00000000-0005-0000-0000-0000720C0000}"/>
    <cellStyle name="Normal 10 7 2 3 4 2" xfId="53230" xr:uid="{00000000-0005-0000-0000-0000730C0000}"/>
    <cellStyle name="Normal 10 7 2 3 4 3" xfId="37130" xr:uid="{00000000-0005-0000-0000-0000740C0000}"/>
    <cellStyle name="Normal 10 7 2 3 4 4" xfId="17994" xr:uid="{00000000-0005-0000-0000-0000750C0000}"/>
    <cellStyle name="Normal 10 7 2 3 5" xfId="43663" xr:uid="{00000000-0005-0000-0000-0000760C0000}"/>
    <cellStyle name="Normal 10 7 2 3 6" xfId="27563" xr:uid="{00000000-0005-0000-0000-0000770C0000}"/>
    <cellStyle name="Normal 10 7 2 3 7" xfId="14499" xr:uid="{00000000-0005-0000-0000-0000780C0000}"/>
    <cellStyle name="Normal 10 7 2 4" xfId="4379" xr:uid="{00000000-0005-0000-0000-0000790C0000}"/>
    <cellStyle name="Normal 10 7 2 4 2" xfId="36120" xr:uid="{00000000-0005-0000-0000-00007A0C0000}"/>
    <cellStyle name="Normal 10 7 2 4 2 2" xfId="52220" xr:uid="{00000000-0005-0000-0000-00007B0C0000}"/>
    <cellStyle name="Normal 10 7 2 4 3" xfId="42653" xr:uid="{00000000-0005-0000-0000-00007C0C0000}"/>
    <cellStyle name="Normal 10 7 2 4 4" xfId="26553" xr:uid="{00000000-0005-0000-0000-00007D0C0000}"/>
    <cellStyle name="Normal 10 7 2 4 5" xfId="16984" xr:uid="{00000000-0005-0000-0000-00007E0C0000}"/>
    <cellStyle name="Normal 10 7 2 5" xfId="7415" xr:uid="{00000000-0005-0000-0000-00007F0C0000}"/>
    <cellStyle name="Normal 10 7 2 5 2" xfId="39156" xr:uid="{00000000-0005-0000-0000-0000800C0000}"/>
    <cellStyle name="Normal 10 7 2 5 2 2" xfId="55256" xr:uid="{00000000-0005-0000-0000-0000810C0000}"/>
    <cellStyle name="Normal 10 7 2 5 3" xfId="45689" xr:uid="{00000000-0005-0000-0000-0000820C0000}"/>
    <cellStyle name="Normal 10 7 2 5 4" xfId="29589" xr:uid="{00000000-0005-0000-0000-0000830C0000}"/>
    <cellStyle name="Normal 10 7 2 5 5" xfId="20020" xr:uid="{00000000-0005-0000-0000-0000840C0000}"/>
    <cellStyle name="Normal 10 7 2 6" xfId="10451" xr:uid="{00000000-0005-0000-0000-0000850C0000}"/>
    <cellStyle name="Normal 10 7 2 6 2" xfId="48725" xr:uid="{00000000-0005-0000-0000-0000860C0000}"/>
    <cellStyle name="Normal 10 7 2 6 3" xfId="32625" xr:uid="{00000000-0005-0000-0000-0000870C0000}"/>
    <cellStyle name="Normal 10 7 2 6 4" xfId="23056" xr:uid="{00000000-0005-0000-0000-0000880C0000}"/>
    <cellStyle name="Normal 10 7 2 7" xfId="3474" xr:uid="{00000000-0005-0000-0000-0000890C0000}"/>
    <cellStyle name="Normal 10 7 2 7 2" xfId="51315" xr:uid="{00000000-0005-0000-0000-00008A0C0000}"/>
    <cellStyle name="Normal 10 7 2 7 3" xfId="35215" xr:uid="{00000000-0005-0000-0000-00008B0C0000}"/>
    <cellStyle name="Normal 10 7 2 7 4" xfId="16079" xr:uid="{00000000-0005-0000-0000-00008C0C0000}"/>
    <cellStyle name="Normal 10 7 2 8" xfId="41748" xr:uid="{00000000-0005-0000-0000-00008D0C0000}"/>
    <cellStyle name="Normal 10 7 2 9" xfId="25648" xr:uid="{00000000-0005-0000-0000-00008E0C0000}"/>
    <cellStyle name="Normal 10 7 3" xfId="659" xr:uid="{00000000-0005-0000-0000-00008F0C0000}"/>
    <cellStyle name="Normal 10 7 3 2" xfId="2687" xr:uid="{00000000-0005-0000-0000-0000900C0000}"/>
    <cellStyle name="Normal 10 7 3 2 2" xfId="9219" xr:uid="{00000000-0005-0000-0000-0000910C0000}"/>
    <cellStyle name="Normal 10 7 3 2 2 2" xfId="40960" xr:uid="{00000000-0005-0000-0000-0000920C0000}"/>
    <cellStyle name="Normal 10 7 3 2 2 2 2" xfId="57060" xr:uid="{00000000-0005-0000-0000-0000930C0000}"/>
    <cellStyle name="Normal 10 7 3 2 2 3" xfId="47493" xr:uid="{00000000-0005-0000-0000-0000940C0000}"/>
    <cellStyle name="Normal 10 7 3 2 2 4" xfId="31393" xr:uid="{00000000-0005-0000-0000-0000950C0000}"/>
    <cellStyle name="Normal 10 7 3 2 2 5" xfId="21824" xr:uid="{00000000-0005-0000-0000-0000960C0000}"/>
    <cellStyle name="Normal 10 7 3 2 3" xfId="12255" xr:uid="{00000000-0005-0000-0000-0000970C0000}"/>
    <cellStyle name="Normal 10 7 3 2 3 2" xfId="50529" xr:uid="{00000000-0005-0000-0000-0000980C0000}"/>
    <cellStyle name="Normal 10 7 3 2 3 3" xfId="34429" xr:uid="{00000000-0005-0000-0000-0000990C0000}"/>
    <cellStyle name="Normal 10 7 3 2 3 4" xfId="24860" xr:uid="{00000000-0005-0000-0000-00009A0C0000}"/>
    <cellStyle name="Normal 10 7 3 2 4" xfId="6183" xr:uid="{00000000-0005-0000-0000-00009B0C0000}"/>
    <cellStyle name="Normal 10 7 3 2 4 2" xfId="54024" xr:uid="{00000000-0005-0000-0000-00009C0C0000}"/>
    <cellStyle name="Normal 10 7 3 2 4 3" xfId="37924" xr:uid="{00000000-0005-0000-0000-00009D0C0000}"/>
    <cellStyle name="Normal 10 7 3 2 4 4" xfId="18788" xr:uid="{00000000-0005-0000-0000-00009E0C0000}"/>
    <cellStyle name="Normal 10 7 3 2 5" xfId="44457" xr:uid="{00000000-0005-0000-0000-00009F0C0000}"/>
    <cellStyle name="Normal 10 7 3 2 6" xfId="28357" xr:uid="{00000000-0005-0000-0000-0000A00C0000}"/>
    <cellStyle name="Normal 10 7 3 2 7" xfId="15293" xr:uid="{00000000-0005-0000-0000-0000A10C0000}"/>
    <cellStyle name="Normal 10 7 3 3" xfId="1669" xr:uid="{00000000-0005-0000-0000-0000A20C0000}"/>
    <cellStyle name="Normal 10 7 3 3 2" xfId="8203" xr:uid="{00000000-0005-0000-0000-0000A30C0000}"/>
    <cellStyle name="Normal 10 7 3 3 2 2" xfId="39944" xr:uid="{00000000-0005-0000-0000-0000A40C0000}"/>
    <cellStyle name="Normal 10 7 3 3 2 2 2" xfId="56044" xr:uid="{00000000-0005-0000-0000-0000A50C0000}"/>
    <cellStyle name="Normal 10 7 3 3 2 3" xfId="46477" xr:uid="{00000000-0005-0000-0000-0000A60C0000}"/>
    <cellStyle name="Normal 10 7 3 3 2 4" xfId="30377" xr:uid="{00000000-0005-0000-0000-0000A70C0000}"/>
    <cellStyle name="Normal 10 7 3 3 2 5" xfId="20808" xr:uid="{00000000-0005-0000-0000-0000A80C0000}"/>
    <cellStyle name="Normal 10 7 3 3 3" xfId="11239" xr:uid="{00000000-0005-0000-0000-0000A90C0000}"/>
    <cellStyle name="Normal 10 7 3 3 3 2" xfId="49513" xr:uid="{00000000-0005-0000-0000-0000AA0C0000}"/>
    <cellStyle name="Normal 10 7 3 3 3 3" xfId="33413" xr:uid="{00000000-0005-0000-0000-0000AB0C0000}"/>
    <cellStyle name="Normal 10 7 3 3 3 4" xfId="23844" xr:uid="{00000000-0005-0000-0000-0000AC0C0000}"/>
    <cellStyle name="Normal 10 7 3 3 4" xfId="5167" xr:uid="{00000000-0005-0000-0000-0000AD0C0000}"/>
    <cellStyle name="Normal 10 7 3 3 4 2" xfId="53008" xr:uid="{00000000-0005-0000-0000-0000AE0C0000}"/>
    <cellStyle name="Normal 10 7 3 3 4 3" xfId="36908" xr:uid="{00000000-0005-0000-0000-0000AF0C0000}"/>
    <cellStyle name="Normal 10 7 3 3 4 4" xfId="17772" xr:uid="{00000000-0005-0000-0000-0000B00C0000}"/>
    <cellStyle name="Normal 10 7 3 3 5" xfId="43441" xr:uid="{00000000-0005-0000-0000-0000B10C0000}"/>
    <cellStyle name="Normal 10 7 3 3 6" xfId="27341" xr:uid="{00000000-0005-0000-0000-0000B20C0000}"/>
    <cellStyle name="Normal 10 7 3 3 7" xfId="14277" xr:uid="{00000000-0005-0000-0000-0000B30C0000}"/>
    <cellStyle name="Normal 10 7 3 4" xfId="7193" xr:uid="{00000000-0005-0000-0000-0000B40C0000}"/>
    <cellStyle name="Normal 10 7 3 4 2" xfId="38934" xr:uid="{00000000-0005-0000-0000-0000B50C0000}"/>
    <cellStyle name="Normal 10 7 3 4 2 2" xfId="55034" xr:uid="{00000000-0005-0000-0000-0000B60C0000}"/>
    <cellStyle name="Normal 10 7 3 4 3" xfId="45467" xr:uid="{00000000-0005-0000-0000-0000B70C0000}"/>
    <cellStyle name="Normal 10 7 3 4 4" xfId="29367" xr:uid="{00000000-0005-0000-0000-0000B80C0000}"/>
    <cellStyle name="Normal 10 7 3 4 5" xfId="19798" xr:uid="{00000000-0005-0000-0000-0000B90C0000}"/>
    <cellStyle name="Normal 10 7 3 5" xfId="10229" xr:uid="{00000000-0005-0000-0000-0000BA0C0000}"/>
    <cellStyle name="Normal 10 7 3 5 2" xfId="48503" xr:uid="{00000000-0005-0000-0000-0000BB0C0000}"/>
    <cellStyle name="Normal 10 7 3 5 3" xfId="32403" xr:uid="{00000000-0005-0000-0000-0000BC0C0000}"/>
    <cellStyle name="Normal 10 7 3 5 4" xfId="22834" xr:uid="{00000000-0005-0000-0000-0000BD0C0000}"/>
    <cellStyle name="Normal 10 7 3 6" xfId="4157" xr:uid="{00000000-0005-0000-0000-0000BE0C0000}"/>
    <cellStyle name="Normal 10 7 3 6 2" xfId="51998" xr:uid="{00000000-0005-0000-0000-0000BF0C0000}"/>
    <cellStyle name="Normal 10 7 3 6 3" xfId="35898" xr:uid="{00000000-0005-0000-0000-0000C00C0000}"/>
    <cellStyle name="Normal 10 7 3 6 4" xfId="16762" xr:uid="{00000000-0005-0000-0000-0000C10C0000}"/>
    <cellStyle name="Normal 10 7 3 7" xfId="42431" xr:uid="{00000000-0005-0000-0000-0000C20C0000}"/>
    <cellStyle name="Normal 10 7 3 8" xfId="26331" xr:uid="{00000000-0005-0000-0000-0000C30C0000}"/>
    <cellStyle name="Normal 10 7 3 9" xfId="13267" xr:uid="{00000000-0005-0000-0000-0000C40C0000}"/>
    <cellStyle name="Normal 10 7 4" xfId="2459" xr:uid="{00000000-0005-0000-0000-0000C50C0000}"/>
    <cellStyle name="Normal 10 7 4 2" xfId="8991" xr:uid="{00000000-0005-0000-0000-0000C60C0000}"/>
    <cellStyle name="Normal 10 7 4 2 2" xfId="40732" xr:uid="{00000000-0005-0000-0000-0000C70C0000}"/>
    <cellStyle name="Normal 10 7 4 2 2 2" xfId="56832" xr:uid="{00000000-0005-0000-0000-0000C80C0000}"/>
    <cellStyle name="Normal 10 7 4 2 3" xfId="47265" xr:uid="{00000000-0005-0000-0000-0000C90C0000}"/>
    <cellStyle name="Normal 10 7 4 2 4" xfId="31165" xr:uid="{00000000-0005-0000-0000-0000CA0C0000}"/>
    <cellStyle name="Normal 10 7 4 2 5" xfId="21596" xr:uid="{00000000-0005-0000-0000-0000CB0C0000}"/>
    <cellStyle name="Normal 10 7 4 3" xfId="12027" xr:uid="{00000000-0005-0000-0000-0000CC0C0000}"/>
    <cellStyle name="Normal 10 7 4 3 2" xfId="50301" xr:uid="{00000000-0005-0000-0000-0000CD0C0000}"/>
    <cellStyle name="Normal 10 7 4 3 3" xfId="34201" xr:uid="{00000000-0005-0000-0000-0000CE0C0000}"/>
    <cellStyle name="Normal 10 7 4 3 4" xfId="24632" xr:uid="{00000000-0005-0000-0000-0000CF0C0000}"/>
    <cellStyle name="Normal 10 7 4 4" xfId="5955" xr:uid="{00000000-0005-0000-0000-0000D00C0000}"/>
    <cellStyle name="Normal 10 7 4 4 2" xfId="53796" xr:uid="{00000000-0005-0000-0000-0000D10C0000}"/>
    <cellStyle name="Normal 10 7 4 4 3" xfId="37696" xr:uid="{00000000-0005-0000-0000-0000D20C0000}"/>
    <cellStyle name="Normal 10 7 4 4 4" xfId="18560" xr:uid="{00000000-0005-0000-0000-0000D30C0000}"/>
    <cellStyle name="Normal 10 7 4 5" xfId="44229" xr:uid="{00000000-0005-0000-0000-0000D40C0000}"/>
    <cellStyle name="Normal 10 7 4 6" xfId="28129" xr:uid="{00000000-0005-0000-0000-0000D50C0000}"/>
    <cellStyle name="Normal 10 7 4 7" xfId="15065" xr:uid="{00000000-0005-0000-0000-0000D60C0000}"/>
    <cellStyle name="Normal 10 7 5" xfId="1208" xr:uid="{00000000-0005-0000-0000-0000D70C0000}"/>
    <cellStyle name="Normal 10 7 5 2" xfId="7742" xr:uid="{00000000-0005-0000-0000-0000D80C0000}"/>
    <cellStyle name="Normal 10 7 5 2 2" xfId="39483" xr:uid="{00000000-0005-0000-0000-0000D90C0000}"/>
    <cellStyle name="Normal 10 7 5 2 2 2" xfId="55583" xr:uid="{00000000-0005-0000-0000-0000DA0C0000}"/>
    <cellStyle name="Normal 10 7 5 2 3" xfId="46016" xr:uid="{00000000-0005-0000-0000-0000DB0C0000}"/>
    <cellStyle name="Normal 10 7 5 2 4" xfId="29916" xr:uid="{00000000-0005-0000-0000-0000DC0C0000}"/>
    <cellStyle name="Normal 10 7 5 2 5" xfId="20347" xr:uid="{00000000-0005-0000-0000-0000DD0C0000}"/>
    <cellStyle name="Normal 10 7 5 3" xfId="10778" xr:uid="{00000000-0005-0000-0000-0000DE0C0000}"/>
    <cellStyle name="Normal 10 7 5 3 2" xfId="49052" xr:uid="{00000000-0005-0000-0000-0000DF0C0000}"/>
    <cellStyle name="Normal 10 7 5 3 3" xfId="32952" xr:uid="{00000000-0005-0000-0000-0000E00C0000}"/>
    <cellStyle name="Normal 10 7 5 3 4" xfId="23383" xr:uid="{00000000-0005-0000-0000-0000E10C0000}"/>
    <cellStyle name="Normal 10 7 5 4" xfId="4706" xr:uid="{00000000-0005-0000-0000-0000E20C0000}"/>
    <cellStyle name="Normal 10 7 5 4 2" xfId="52547" xr:uid="{00000000-0005-0000-0000-0000E30C0000}"/>
    <cellStyle name="Normal 10 7 5 4 3" xfId="36447" xr:uid="{00000000-0005-0000-0000-0000E40C0000}"/>
    <cellStyle name="Normal 10 7 5 4 4" xfId="17311" xr:uid="{00000000-0005-0000-0000-0000E50C0000}"/>
    <cellStyle name="Normal 10 7 5 5" xfId="42980" xr:uid="{00000000-0005-0000-0000-0000E60C0000}"/>
    <cellStyle name="Normal 10 7 5 6" xfId="26880" xr:uid="{00000000-0005-0000-0000-0000E70C0000}"/>
    <cellStyle name="Normal 10 7 5 7" xfId="13816" xr:uid="{00000000-0005-0000-0000-0000E80C0000}"/>
    <cellStyle name="Normal 10 7 6" xfId="3696" xr:uid="{00000000-0005-0000-0000-0000E90C0000}"/>
    <cellStyle name="Normal 10 7 6 2" xfId="35437" xr:uid="{00000000-0005-0000-0000-0000EA0C0000}"/>
    <cellStyle name="Normal 10 7 6 2 2" xfId="51537" xr:uid="{00000000-0005-0000-0000-0000EB0C0000}"/>
    <cellStyle name="Normal 10 7 6 3" xfId="41970" xr:uid="{00000000-0005-0000-0000-0000EC0C0000}"/>
    <cellStyle name="Normal 10 7 6 4" xfId="25870" xr:uid="{00000000-0005-0000-0000-0000ED0C0000}"/>
    <cellStyle name="Normal 10 7 6 5" xfId="16301" xr:uid="{00000000-0005-0000-0000-0000EE0C0000}"/>
    <cellStyle name="Normal 10 7 7" xfId="6732" xr:uid="{00000000-0005-0000-0000-0000EF0C0000}"/>
    <cellStyle name="Normal 10 7 7 2" xfId="38473" xr:uid="{00000000-0005-0000-0000-0000F00C0000}"/>
    <cellStyle name="Normal 10 7 7 2 2" xfId="54573" xr:uid="{00000000-0005-0000-0000-0000F10C0000}"/>
    <cellStyle name="Normal 10 7 7 3" xfId="45006" xr:uid="{00000000-0005-0000-0000-0000F20C0000}"/>
    <cellStyle name="Normal 10 7 7 4" xfId="28906" xr:uid="{00000000-0005-0000-0000-0000F30C0000}"/>
    <cellStyle name="Normal 10 7 7 5" xfId="19337" xr:uid="{00000000-0005-0000-0000-0000F40C0000}"/>
    <cellStyle name="Normal 10 7 8" xfId="9768" xr:uid="{00000000-0005-0000-0000-0000F50C0000}"/>
    <cellStyle name="Normal 10 7 8 2" xfId="48042" xr:uid="{00000000-0005-0000-0000-0000F60C0000}"/>
    <cellStyle name="Normal 10 7 8 3" xfId="31942" xr:uid="{00000000-0005-0000-0000-0000F70C0000}"/>
    <cellStyle name="Normal 10 7 8 4" xfId="22373" xr:uid="{00000000-0005-0000-0000-0000F80C0000}"/>
    <cellStyle name="Normal 10 7 9" xfId="3236" xr:uid="{00000000-0005-0000-0000-0000F90C0000}"/>
    <cellStyle name="Normal 10 7 9 2" xfId="51078" xr:uid="{00000000-0005-0000-0000-0000FA0C0000}"/>
    <cellStyle name="Normal 10 7 9 3" xfId="34978" xr:uid="{00000000-0005-0000-0000-0000FB0C0000}"/>
    <cellStyle name="Normal 10 7 9 4" xfId="15842" xr:uid="{00000000-0005-0000-0000-0000FC0C0000}"/>
    <cellStyle name="Normal 10 8" xfId="445" xr:uid="{00000000-0005-0000-0000-0000FD0C0000}"/>
    <cellStyle name="Normal 10 8 10" xfId="41528" xr:uid="{00000000-0005-0000-0000-0000FE0C0000}"/>
    <cellStyle name="Normal 10 8 11" xfId="25428" xr:uid="{00000000-0005-0000-0000-0000FF0C0000}"/>
    <cellStyle name="Normal 10 8 12" xfId="12823" xr:uid="{00000000-0005-0000-0000-0000000D0000}"/>
    <cellStyle name="Normal 10 8 2" xfId="898" xr:uid="{00000000-0005-0000-0000-0000010D0000}"/>
    <cellStyle name="Normal 10 8 2 10" xfId="13506" xr:uid="{00000000-0005-0000-0000-0000020D0000}"/>
    <cellStyle name="Normal 10 8 2 2" xfId="2926" xr:uid="{00000000-0005-0000-0000-0000030D0000}"/>
    <cellStyle name="Normal 10 8 2 2 2" xfId="9458" xr:uid="{00000000-0005-0000-0000-0000040D0000}"/>
    <cellStyle name="Normal 10 8 2 2 2 2" xfId="41199" xr:uid="{00000000-0005-0000-0000-0000050D0000}"/>
    <cellStyle name="Normal 10 8 2 2 2 2 2" xfId="57299" xr:uid="{00000000-0005-0000-0000-0000060D0000}"/>
    <cellStyle name="Normal 10 8 2 2 2 3" xfId="47732" xr:uid="{00000000-0005-0000-0000-0000070D0000}"/>
    <cellStyle name="Normal 10 8 2 2 2 4" xfId="31632" xr:uid="{00000000-0005-0000-0000-0000080D0000}"/>
    <cellStyle name="Normal 10 8 2 2 2 5" xfId="22063" xr:uid="{00000000-0005-0000-0000-0000090D0000}"/>
    <cellStyle name="Normal 10 8 2 2 3" xfId="12494" xr:uid="{00000000-0005-0000-0000-00000A0D0000}"/>
    <cellStyle name="Normal 10 8 2 2 3 2" xfId="50768" xr:uid="{00000000-0005-0000-0000-00000B0D0000}"/>
    <cellStyle name="Normal 10 8 2 2 3 3" xfId="34668" xr:uid="{00000000-0005-0000-0000-00000C0D0000}"/>
    <cellStyle name="Normal 10 8 2 2 3 4" xfId="25099" xr:uid="{00000000-0005-0000-0000-00000D0D0000}"/>
    <cellStyle name="Normal 10 8 2 2 4" xfId="6422" xr:uid="{00000000-0005-0000-0000-00000E0D0000}"/>
    <cellStyle name="Normal 10 8 2 2 4 2" xfId="54263" xr:uid="{00000000-0005-0000-0000-00000F0D0000}"/>
    <cellStyle name="Normal 10 8 2 2 4 3" xfId="38163" xr:uid="{00000000-0005-0000-0000-0000100D0000}"/>
    <cellStyle name="Normal 10 8 2 2 4 4" xfId="19027" xr:uid="{00000000-0005-0000-0000-0000110D0000}"/>
    <cellStyle name="Normal 10 8 2 2 5" xfId="44696" xr:uid="{00000000-0005-0000-0000-0000120D0000}"/>
    <cellStyle name="Normal 10 8 2 2 6" xfId="28596" xr:uid="{00000000-0005-0000-0000-0000130D0000}"/>
    <cellStyle name="Normal 10 8 2 2 7" xfId="15532" xr:uid="{00000000-0005-0000-0000-0000140D0000}"/>
    <cellStyle name="Normal 10 8 2 3" xfId="1908" xr:uid="{00000000-0005-0000-0000-0000150D0000}"/>
    <cellStyle name="Normal 10 8 2 3 2" xfId="8442" xr:uid="{00000000-0005-0000-0000-0000160D0000}"/>
    <cellStyle name="Normal 10 8 2 3 2 2" xfId="40183" xr:uid="{00000000-0005-0000-0000-0000170D0000}"/>
    <cellStyle name="Normal 10 8 2 3 2 2 2" xfId="56283" xr:uid="{00000000-0005-0000-0000-0000180D0000}"/>
    <cellStyle name="Normal 10 8 2 3 2 3" xfId="46716" xr:uid="{00000000-0005-0000-0000-0000190D0000}"/>
    <cellStyle name="Normal 10 8 2 3 2 4" xfId="30616" xr:uid="{00000000-0005-0000-0000-00001A0D0000}"/>
    <cellStyle name="Normal 10 8 2 3 2 5" xfId="21047" xr:uid="{00000000-0005-0000-0000-00001B0D0000}"/>
    <cellStyle name="Normal 10 8 2 3 3" xfId="11478" xr:uid="{00000000-0005-0000-0000-00001C0D0000}"/>
    <cellStyle name="Normal 10 8 2 3 3 2" xfId="49752" xr:uid="{00000000-0005-0000-0000-00001D0D0000}"/>
    <cellStyle name="Normal 10 8 2 3 3 3" xfId="33652" xr:uid="{00000000-0005-0000-0000-00001E0D0000}"/>
    <cellStyle name="Normal 10 8 2 3 3 4" xfId="24083" xr:uid="{00000000-0005-0000-0000-00001F0D0000}"/>
    <cellStyle name="Normal 10 8 2 3 4" xfId="5406" xr:uid="{00000000-0005-0000-0000-0000200D0000}"/>
    <cellStyle name="Normal 10 8 2 3 4 2" xfId="53247" xr:uid="{00000000-0005-0000-0000-0000210D0000}"/>
    <cellStyle name="Normal 10 8 2 3 4 3" xfId="37147" xr:uid="{00000000-0005-0000-0000-0000220D0000}"/>
    <cellStyle name="Normal 10 8 2 3 4 4" xfId="18011" xr:uid="{00000000-0005-0000-0000-0000230D0000}"/>
    <cellStyle name="Normal 10 8 2 3 5" xfId="43680" xr:uid="{00000000-0005-0000-0000-0000240D0000}"/>
    <cellStyle name="Normal 10 8 2 3 6" xfId="27580" xr:uid="{00000000-0005-0000-0000-0000250D0000}"/>
    <cellStyle name="Normal 10 8 2 3 7" xfId="14516" xr:uid="{00000000-0005-0000-0000-0000260D0000}"/>
    <cellStyle name="Normal 10 8 2 4" xfId="4396" xr:uid="{00000000-0005-0000-0000-0000270D0000}"/>
    <cellStyle name="Normal 10 8 2 4 2" xfId="36137" xr:uid="{00000000-0005-0000-0000-0000280D0000}"/>
    <cellStyle name="Normal 10 8 2 4 2 2" xfId="52237" xr:uid="{00000000-0005-0000-0000-0000290D0000}"/>
    <cellStyle name="Normal 10 8 2 4 3" xfId="42670" xr:uid="{00000000-0005-0000-0000-00002A0D0000}"/>
    <cellStyle name="Normal 10 8 2 4 4" xfId="26570" xr:uid="{00000000-0005-0000-0000-00002B0D0000}"/>
    <cellStyle name="Normal 10 8 2 4 5" xfId="17001" xr:uid="{00000000-0005-0000-0000-00002C0D0000}"/>
    <cellStyle name="Normal 10 8 2 5" xfId="7432" xr:uid="{00000000-0005-0000-0000-00002D0D0000}"/>
    <cellStyle name="Normal 10 8 2 5 2" xfId="39173" xr:uid="{00000000-0005-0000-0000-00002E0D0000}"/>
    <cellStyle name="Normal 10 8 2 5 2 2" xfId="55273" xr:uid="{00000000-0005-0000-0000-00002F0D0000}"/>
    <cellStyle name="Normal 10 8 2 5 3" xfId="45706" xr:uid="{00000000-0005-0000-0000-0000300D0000}"/>
    <cellStyle name="Normal 10 8 2 5 4" xfId="29606" xr:uid="{00000000-0005-0000-0000-0000310D0000}"/>
    <cellStyle name="Normal 10 8 2 5 5" xfId="20037" xr:uid="{00000000-0005-0000-0000-0000320D0000}"/>
    <cellStyle name="Normal 10 8 2 6" xfId="10468" xr:uid="{00000000-0005-0000-0000-0000330D0000}"/>
    <cellStyle name="Normal 10 8 2 6 2" xfId="48742" xr:uid="{00000000-0005-0000-0000-0000340D0000}"/>
    <cellStyle name="Normal 10 8 2 6 3" xfId="32642" xr:uid="{00000000-0005-0000-0000-0000350D0000}"/>
    <cellStyle name="Normal 10 8 2 6 4" xfId="23073" xr:uid="{00000000-0005-0000-0000-0000360D0000}"/>
    <cellStyle name="Normal 10 8 2 7" xfId="3491" xr:uid="{00000000-0005-0000-0000-0000370D0000}"/>
    <cellStyle name="Normal 10 8 2 7 2" xfId="51332" xr:uid="{00000000-0005-0000-0000-0000380D0000}"/>
    <cellStyle name="Normal 10 8 2 7 3" xfId="35232" xr:uid="{00000000-0005-0000-0000-0000390D0000}"/>
    <cellStyle name="Normal 10 8 2 7 4" xfId="16096" xr:uid="{00000000-0005-0000-0000-00003A0D0000}"/>
    <cellStyle name="Normal 10 8 2 8" xfId="41765" xr:uid="{00000000-0005-0000-0000-00003B0D0000}"/>
    <cellStyle name="Normal 10 8 2 9" xfId="25665" xr:uid="{00000000-0005-0000-0000-00003C0D0000}"/>
    <cellStyle name="Normal 10 8 3" xfId="676" xr:uid="{00000000-0005-0000-0000-00003D0D0000}"/>
    <cellStyle name="Normal 10 8 3 2" xfId="2704" xr:uid="{00000000-0005-0000-0000-00003E0D0000}"/>
    <cellStyle name="Normal 10 8 3 2 2" xfId="9236" xr:uid="{00000000-0005-0000-0000-00003F0D0000}"/>
    <cellStyle name="Normal 10 8 3 2 2 2" xfId="40977" xr:uid="{00000000-0005-0000-0000-0000400D0000}"/>
    <cellStyle name="Normal 10 8 3 2 2 2 2" xfId="57077" xr:uid="{00000000-0005-0000-0000-0000410D0000}"/>
    <cellStyle name="Normal 10 8 3 2 2 3" xfId="47510" xr:uid="{00000000-0005-0000-0000-0000420D0000}"/>
    <cellStyle name="Normal 10 8 3 2 2 4" xfId="31410" xr:uid="{00000000-0005-0000-0000-0000430D0000}"/>
    <cellStyle name="Normal 10 8 3 2 2 5" xfId="21841" xr:uid="{00000000-0005-0000-0000-0000440D0000}"/>
    <cellStyle name="Normal 10 8 3 2 3" xfId="12272" xr:uid="{00000000-0005-0000-0000-0000450D0000}"/>
    <cellStyle name="Normal 10 8 3 2 3 2" xfId="50546" xr:uid="{00000000-0005-0000-0000-0000460D0000}"/>
    <cellStyle name="Normal 10 8 3 2 3 3" xfId="34446" xr:uid="{00000000-0005-0000-0000-0000470D0000}"/>
    <cellStyle name="Normal 10 8 3 2 3 4" xfId="24877" xr:uid="{00000000-0005-0000-0000-0000480D0000}"/>
    <cellStyle name="Normal 10 8 3 2 4" xfId="6200" xr:uid="{00000000-0005-0000-0000-0000490D0000}"/>
    <cellStyle name="Normal 10 8 3 2 4 2" xfId="54041" xr:uid="{00000000-0005-0000-0000-00004A0D0000}"/>
    <cellStyle name="Normal 10 8 3 2 4 3" xfId="37941" xr:uid="{00000000-0005-0000-0000-00004B0D0000}"/>
    <cellStyle name="Normal 10 8 3 2 4 4" xfId="18805" xr:uid="{00000000-0005-0000-0000-00004C0D0000}"/>
    <cellStyle name="Normal 10 8 3 2 5" xfId="44474" xr:uid="{00000000-0005-0000-0000-00004D0D0000}"/>
    <cellStyle name="Normal 10 8 3 2 6" xfId="28374" xr:uid="{00000000-0005-0000-0000-00004E0D0000}"/>
    <cellStyle name="Normal 10 8 3 2 7" xfId="15310" xr:uid="{00000000-0005-0000-0000-00004F0D0000}"/>
    <cellStyle name="Normal 10 8 3 3" xfId="1686" xr:uid="{00000000-0005-0000-0000-0000500D0000}"/>
    <cellStyle name="Normal 10 8 3 3 2" xfId="8220" xr:uid="{00000000-0005-0000-0000-0000510D0000}"/>
    <cellStyle name="Normal 10 8 3 3 2 2" xfId="39961" xr:uid="{00000000-0005-0000-0000-0000520D0000}"/>
    <cellStyle name="Normal 10 8 3 3 2 2 2" xfId="56061" xr:uid="{00000000-0005-0000-0000-0000530D0000}"/>
    <cellStyle name="Normal 10 8 3 3 2 3" xfId="46494" xr:uid="{00000000-0005-0000-0000-0000540D0000}"/>
    <cellStyle name="Normal 10 8 3 3 2 4" xfId="30394" xr:uid="{00000000-0005-0000-0000-0000550D0000}"/>
    <cellStyle name="Normal 10 8 3 3 2 5" xfId="20825" xr:uid="{00000000-0005-0000-0000-0000560D0000}"/>
    <cellStyle name="Normal 10 8 3 3 3" xfId="11256" xr:uid="{00000000-0005-0000-0000-0000570D0000}"/>
    <cellStyle name="Normal 10 8 3 3 3 2" xfId="49530" xr:uid="{00000000-0005-0000-0000-0000580D0000}"/>
    <cellStyle name="Normal 10 8 3 3 3 3" xfId="33430" xr:uid="{00000000-0005-0000-0000-0000590D0000}"/>
    <cellStyle name="Normal 10 8 3 3 3 4" xfId="23861" xr:uid="{00000000-0005-0000-0000-00005A0D0000}"/>
    <cellStyle name="Normal 10 8 3 3 4" xfId="5184" xr:uid="{00000000-0005-0000-0000-00005B0D0000}"/>
    <cellStyle name="Normal 10 8 3 3 4 2" xfId="53025" xr:uid="{00000000-0005-0000-0000-00005C0D0000}"/>
    <cellStyle name="Normal 10 8 3 3 4 3" xfId="36925" xr:uid="{00000000-0005-0000-0000-00005D0D0000}"/>
    <cellStyle name="Normal 10 8 3 3 4 4" xfId="17789" xr:uid="{00000000-0005-0000-0000-00005E0D0000}"/>
    <cellStyle name="Normal 10 8 3 3 5" xfId="43458" xr:uid="{00000000-0005-0000-0000-00005F0D0000}"/>
    <cellStyle name="Normal 10 8 3 3 6" xfId="27358" xr:uid="{00000000-0005-0000-0000-0000600D0000}"/>
    <cellStyle name="Normal 10 8 3 3 7" xfId="14294" xr:uid="{00000000-0005-0000-0000-0000610D0000}"/>
    <cellStyle name="Normal 10 8 3 4" xfId="7210" xr:uid="{00000000-0005-0000-0000-0000620D0000}"/>
    <cellStyle name="Normal 10 8 3 4 2" xfId="38951" xr:uid="{00000000-0005-0000-0000-0000630D0000}"/>
    <cellStyle name="Normal 10 8 3 4 2 2" xfId="55051" xr:uid="{00000000-0005-0000-0000-0000640D0000}"/>
    <cellStyle name="Normal 10 8 3 4 3" xfId="45484" xr:uid="{00000000-0005-0000-0000-0000650D0000}"/>
    <cellStyle name="Normal 10 8 3 4 4" xfId="29384" xr:uid="{00000000-0005-0000-0000-0000660D0000}"/>
    <cellStyle name="Normal 10 8 3 4 5" xfId="19815" xr:uid="{00000000-0005-0000-0000-0000670D0000}"/>
    <cellStyle name="Normal 10 8 3 5" xfId="10246" xr:uid="{00000000-0005-0000-0000-0000680D0000}"/>
    <cellStyle name="Normal 10 8 3 5 2" xfId="48520" xr:uid="{00000000-0005-0000-0000-0000690D0000}"/>
    <cellStyle name="Normal 10 8 3 5 3" xfId="32420" xr:uid="{00000000-0005-0000-0000-00006A0D0000}"/>
    <cellStyle name="Normal 10 8 3 5 4" xfId="22851" xr:uid="{00000000-0005-0000-0000-00006B0D0000}"/>
    <cellStyle name="Normal 10 8 3 6" xfId="4174" xr:uid="{00000000-0005-0000-0000-00006C0D0000}"/>
    <cellStyle name="Normal 10 8 3 6 2" xfId="52015" xr:uid="{00000000-0005-0000-0000-00006D0D0000}"/>
    <cellStyle name="Normal 10 8 3 6 3" xfId="35915" xr:uid="{00000000-0005-0000-0000-00006E0D0000}"/>
    <cellStyle name="Normal 10 8 3 6 4" xfId="16779" xr:uid="{00000000-0005-0000-0000-00006F0D0000}"/>
    <cellStyle name="Normal 10 8 3 7" xfId="42448" xr:uid="{00000000-0005-0000-0000-0000700D0000}"/>
    <cellStyle name="Normal 10 8 3 8" xfId="26348" xr:uid="{00000000-0005-0000-0000-0000710D0000}"/>
    <cellStyle name="Normal 10 8 3 9" xfId="13284" xr:uid="{00000000-0005-0000-0000-0000720D0000}"/>
    <cellStyle name="Normal 10 8 4" xfId="2476" xr:uid="{00000000-0005-0000-0000-0000730D0000}"/>
    <cellStyle name="Normal 10 8 4 2" xfId="9008" xr:uid="{00000000-0005-0000-0000-0000740D0000}"/>
    <cellStyle name="Normal 10 8 4 2 2" xfId="40749" xr:uid="{00000000-0005-0000-0000-0000750D0000}"/>
    <cellStyle name="Normal 10 8 4 2 2 2" xfId="56849" xr:uid="{00000000-0005-0000-0000-0000760D0000}"/>
    <cellStyle name="Normal 10 8 4 2 3" xfId="47282" xr:uid="{00000000-0005-0000-0000-0000770D0000}"/>
    <cellStyle name="Normal 10 8 4 2 4" xfId="31182" xr:uid="{00000000-0005-0000-0000-0000780D0000}"/>
    <cellStyle name="Normal 10 8 4 2 5" xfId="21613" xr:uid="{00000000-0005-0000-0000-0000790D0000}"/>
    <cellStyle name="Normal 10 8 4 3" xfId="12044" xr:uid="{00000000-0005-0000-0000-00007A0D0000}"/>
    <cellStyle name="Normal 10 8 4 3 2" xfId="50318" xr:uid="{00000000-0005-0000-0000-00007B0D0000}"/>
    <cellStyle name="Normal 10 8 4 3 3" xfId="34218" xr:uid="{00000000-0005-0000-0000-00007C0D0000}"/>
    <cellStyle name="Normal 10 8 4 3 4" xfId="24649" xr:uid="{00000000-0005-0000-0000-00007D0D0000}"/>
    <cellStyle name="Normal 10 8 4 4" xfId="5972" xr:uid="{00000000-0005-0000-0000-00007E0D0000}"/>
    <cellStyle name="Normal 10 8 4 4 2" xfId="53813" xr:uid="{00000000-0005-0000-0000-00007F0D0000}"/>
    <cellStyle name="Normal 10 8 4 4 3" xfId="37713" xr:uid="{00000000-0005-0000-0000-0000800D0000}"/>
    <cellStyle name="Normal 10 8 4 4 4" xfId="18577" xr:uid="{00000000-0005-0000-0000-0000810D0000}"/>
    <cellStyle name="Normal 10 8 4 5" xfId="44246" xr:uid="{00000000-0005-0000-0000-0000820D0000}"/>
    <cellStyle name="Normal 10 8 4 6" xfId="28146" xr:uid="{00000000-0005-0000-0000-0000830D0000}"/>
    <cellStyle name="Normal 10 8 4 7" xfId="15082" xr:uid="{00000000-0005-0000-0000-0000840D0000}"/>
    <cellStyle name="Normal 10 8 5" xfId="1225" xr:uid="{00000000-0005-0000-0000-0000850D0000}"/>
    <cellStyle name="Normal 10 8 5 2" xfId="7759" xr:uid="{00000000-0005-0000-0000-0000860D0000}"/>
    <cellStyle name="Normal 10 8 5 2 2" xfId="39500" xr:uid="{00000000-0005-0000-0000-0000870D0000}"/>
    <cellStyle name="Normal 10 8 5 2 2 2" xfId="55600" xr:uid="{00000000-0005-0000-0000-0000880D0000}"/>
    <cellStyle name="Normal 10 8 5 2 3" xfId="46033" xr:uid="{00000000-0005-0000-0000-0000890D0000}"/>
    <cellStyle name="Normal 10 8 5 2 4" xfId="29933" xr:uid="{00000000-0005-0000-0000-00008A0D0000}"/>
    <cellStyle name="Normal 10 8 5 2 5" xfId="20364" xr:uid="{00000000-0005-0000-0000-00008B0D0000}"/>
    <cellStyle name="Normal 10 8 5 3" xfId="10795" xr:uid="{00000000-0005-0000-0000-00008C0D0000}"/>
    <cellStyle name="Normal 10 8 5 3 2" xfId="49069" xr:uid="{00000000-0005-0000-0000-00008D0D0000}"/>
    <cellStyle name="Normal 10 8 5 3 3" xfId="32969" xr:uid="{00000000-0005-0000-0000-00008E0D0000}"/>
    <cellStyle name="Normal 10 8 5 3 4" xfId="23400" xr:uid="{00000000-0005-0000-0000-00008F0D0000}"/>
    <cellStyle name="Normal 10 8 5 4" xfId="4723" xr:uid="{00000000-0005-0000-0000-0000900D0000}"/>
    <cellStyle name="Normal 10 8 5 4 2" xfId="52564" xr:uid="{00000000-0005-0000-0000-0000910D0000}"/>
    <cellStyle name="Normal 10 8 5 4 3" xfId="36464" xr:uid="{00000000-0005-0000-0000-0000920D0000}"/>
    <cellStyle name="Normal 10 8 5 4 4" xfId="17328" xr:uid="{00000000-0005-0000-0000-0000930D0000}"/>
    <cellStyle name="Normal 10 8 5 5" xfId="42997" xr:uid="{00000000-0005-0000-0000-0000940D0000}"/>
    <cellStyle name="Normal 10 8 5 6" xfId="26897" xr:uid="{00000000-0005-0000-0000-0000950D0000}"/>
    <cellStyle name="Normal 10 8 5 7" xfId="13833" xr:uid="{00000000-0005-0000-0000-0000960D0000}"/>
    <cellStyle name="Normal 10 8 6" xfId="3713" xr:uid="{00000000-0005-0000-0000-0000970D0000}"/>
    <cellStyle name="Normal 10 8 6 2" xfId="35454" xr:uid="{00000000-0005-0000-0000-0000980D0000}"/>
    <cellStyle name="Normal 10 8 6 2 2" xfId="51554" xr:uid="{00000000-0005-0000-0000-0000990D0000}"/>
    <cellStyle name="Normal 10 8 6 3" xfId="41987" xr:uid="{00000000-0005-0000-0000-00009A0D0000}"/>
    <cellStyle name="Normal 10 8 6 4" xfId="25887" xr:uid="{00000000-0005-0000-0000-00009B0D0000}"/>
    <cellStyle name="Normal 10 8 6 5" xfId="16318" xr:uid="{00000000-0005-0000-0000-00009C0D0000}"/>
    <cellStyle name="Normal 10 8 7" xfId="6749" xr:uid="{00000000-0005-0000-0000-00009D0D0000}"/>
    <cellStyle name="Normal 10 8 7 2" xfId="38490" xr:uid="{00000000-0005-0000-0000-00009E0D0000}"/>
    <cellStyle name="Normal 10 8 7 2 2" xfId="54590" xr:uid="{00000000-0005-0000-0000-00009F0D0000}"/>
    <cellStyle name="Normal 10 8 7 3" xfId="45023" xr:uid="{00000000-0005-0000-0000-0000A00D0000}"/>
    <cellStyle name="Normal 10 8 7 4" xfId="28923" xr:uid="{00000000-0005-0000-0000-0000A10D0000}"/>
    <cellStyle name="Normal 10 8 7 5" xfId="19354" xr:uid="{00000000-0005-0000-0000-0000A20D0000}"/>
    <cellStyle name="Normal 10 8 8" xfId="9785" xr:uid="{00000000-0005-0000-0000-0000A30D0000}"/>
    <cellStyle name="Normal 10 8 8 2" xfId="48059" xr:uid="{00000000-0005-0000-0000-0000A40D0000}"/>
    <cellStyle name="Normal 10 8 8 3" xfId="31959" xr:uid="{00000000-0005-0000-0000-0000A50D0000}"/>
    <cellStyle name="Normal 10 8 8 4" xfId="22390" xr:uid="{00000000-0005-0000-0000-0000A60D0000}"/>
    <cellStyle name="Normal 10 8 9" xfId="3253" xr:uid="{00000000-0005-0000-0000-0000A70D0000}"/>
    <cellStyle name="Normal 10 8 9 2" xfId="51095" xr:uid="{00000000-0005-0000-0000-0000A80D0000}"/>
    <cellStyle name="Normal 10 8 9 3" xfId="34995" xr:uid="{00000000-0005-0000-0000-0000A90D0000}"/>
    <cellStyle name="Normal 10 8 9 4" xfId="15859" xr:uid="{00000000-0005-0000-0000-0000AA0D0000}"/>
    <cellStyle name="Normal 10 9" xfId="462" xr:uid="{00000000-0005-0000-0000-0000AB0D0000}"/>
    <cellStyle name="Normal 10 9 10" xfId="41545" xr:uid="{00000000-0005-0000-0000-0000AC0D0000}"/>
    <cellStyle name="Normal 10 9 11" xfId="25445" xr:uid="{00000000-0005-0000-0000-0000AD0D0000}"/>
    <cellStyle name="Normal 10 9 12" xfId="12840" xr:uid="{00000000-0005-0000-0000-0000AE0D0000}"/>
    <cellStyle name="Normal 10 9 2" xfId="915" xr:uid="{00000000-0005-0000-0000-0000AF0D0000}"/>
    <cellStyle name="Normal 10 9 2 10" xfId="13523" xr:uid="{00000000-0005-0000-0000-0000B00D0000}"/>
    <cellStyle name="Normal 10 9 2 2" xfId="2943" xr:uid="{00000000-0005-0000-0000-0000B10D0000}"/>
    <cellStyle name="Normal 10 9 2 2 2" xfId="9475" xr:uid="{00000000-0005-0000-0000-0000B20D0000}"/>
    <cellStyle name="Normal 10 9 2 2 2 2" xfId="41216" xr:uid="{00000000-0005-0000-0000-0000B30D0000}"/>
    <cellStyle name="Normal 10 9 2 2 2 2 2" xfId="57316" xr:uid="{00000000-0005-0000-0000-0000B40D0000}"/>
    <cellStyle name="Normal 10 9 2 2 2 3" xfId="47749" xr:uid="{00000000-0005-0000-0000-0000B50D0000}"/>
    <cellStyle name="Normal 10 9 2 2 2 4" xfId="31649" xr:uid="{00000000-0005-0000-0000-0000B60D0000}"/>
    <cellStyle name="Normal 10 9 2 2 2 5" xfId="22080" xr:uid="{00000000-0005-0000-0000-0000B70D0000}"/>
    <cellStyle name="Normal 10 9 2 2 3" xfId="12511" xr:uid="{00000000-0005-0000-0000-0000B80D0000}"/>
    <cellStyle name="Normal 10 9 2 2 3 2" xfId="50785" xr:uid="{00000000-0005-0000-0000-0000B90D0000}"/>
    <cellStyle name="Normal 10 9 2 2 3 3" xfId="34685" xr:uid="{00000000-0005-0000-0000-0000BA0D0000}"/>
    <cellStyle name="Normal 10 9 2 2 3 4" xfId="25116" xr:uid="{00000000-0005-0000-0000-0000BB0D0000}"/>
    <cellStyle name="Normal 10 9 2 2 4" xfId="6439" xr:uid="{00000000-0005-0000-0000-0000BC0D0000}"/>
    <cellStyle name="Normal 10 9 2 2 4 2" xfId="54280" xr:uid="{00000000-0005-0000-0000-0000BD0D0000}"/>
    <cellStyle name="Normal 10 9 2 2 4 3" xfId="38180" xr:uid="{00000000-0005-0000-0000-0000BE0D0000}"/>
    <cellStyle name="Normal 10 9 2 2 4 4" xfId="19044" xr:uid="{00000000-0005-0000-0000-0000BF0D0000}"/>
    <cellStyle name="Normal 10 9 2 2 5" xfId="44713" xr:uid="{00000000-0005-0000-0000-0000C00D0000}"/>
    <cellStyle name="Normal 10 9 2 2 6" xfId="28613" xr:uid="{00000000-0005-0000-0000-0000C10D0000}"/>
    <cellStyle name="Normal 10 9 2 2 7" xfId="15549" xr:uid="{00000000-0005-0000-0000-0000C20D0000}"/>
    <cellStyle name="Normal 10 9 2 3" xfId="1925" xr:uid="{00000000-0005-0000-0000-0000C30D0000}"/>
    <cellStyle name="Normal 10 9 2 3 2" xfId="8459" xr:uid="{00000000-0005-0000-0000-0000C40D0000}"/>
    <cellStyle name="Normal 10 9 2 3 2 2" xfId="40200" xr:uid="{00000000-0005-0000-0000-0000C50D0000}"/>
    <cellStyle name="Normal 10 9 2 3 2 2 2" xfId="56300" xr:uid="{00000000-0005-0000-0000-0000C60D0000}"/>
    <cellStyle name="Normal 10 9 2 3 2 3" xfId="46733" xr:uid="{00000000-0005-0000-0000-0000C70D0000}"/>
    <cellStyle name="Normal 10 9 2 3 2 4" xfId="30633" xr:uid="{00000000-0005-0000-0000-0000C80D0000}"/>
    <cellStyle name="Normal 10 9 2 3 2 5" xfId="21064" xr:uid="{00000000-0005-0000-0000-0000C90D0000}"/>
    <cellStyle name="Normal 10 9 2 3 3" xfId="11495" xr:uid="{00000000-0005-0000-0000-0000CA0D0000}"/>
    <cellStyle name="Normal 10 9 2 3 3 2" xfId="49769" xr:uid="{00000000-0005-0000-0000-0000CB0D0000}"/>
    <cellStyle name="Normal 10 9 2 3 3 3" xfId="33669" xr:uid="{00000000-0005-0000-0000-0000CC0D0000}"/>
    <cellStyle name="Normal 10 9 2 3 3 4" xfId="24100" xr:uid="{00000000-0005-0000-0000-0000CD0D0000}"/>
    <cellStyle name="Normal 10 9 2 3 4" xfId="5423" xr:uid="{00000000-0005-0000-0000-0000CE0D0000}"/>
    <cellStyle name="Normal 10 9 2 3 4 2" xfId="53264" xr:uid="{00000000-0005-0000-0000-0000CF0D0000}"/>
    <cellStyle name="Normal 10 9 2 3 4 3" xfId="37164" xr:uid="{00000000-0005-0000-0000-0000D00D0000}"/>
    <cellStyle name="Normal 10 9 2 3 4 4" xfId="18028" xr:uid="{00000000-0005-0000-0000-0000D10D0000}"/>
    <cellStyle name="Normal 10 9 2 3 5" xfId="43697" xr:uid="{00000000-0005-0000-0000-0000D20D0000}"/>
    <cellStyle name="Normal 10 9 2 3 6" xfId="27597" xr:uid="{00000000-0005-0000-0000-0000D30D0000}"/>
    <cellStyle name="Normal 10 9 2 3 7" xfId="14533" xr:uid="{00000000-0005-0000-0000-0000D40D0000}"/>
    <cellStyle name="Normal 10 9 2 4" xfId="4413" xr:uid="{00000000-0005-0000-0000-0000D50D0000}"/>
    <cellStyle name="Normal 10 9 2 4 2" xfId="36154" xr:uid="{00000000-0005-0000-0000-0000D60D0000}"/>
    <cellStyle name="Normal 10 9 2 4 2 2" xfId="52254" xr:uid="{00000000-0005-0000-0000-0000D70D0000}"/>
    <cellStyle name="Normal 10 9 2 4 3" xfId="42687" xr:uid="{00000000-0005-0000-0000-0000D80D0000}"/>
    <cellStyle name="Normal 10 9 2 4 4" xfId="26587" xr:uid="{00000000-0005-0000-0000-0000D90D0000}"/>
    <cellStyle name="Normal 10 9 2 4 5" xfId="17018" xr:uid="{00000000-0005-0000-0000-0000DA0D0000}"/>
    <cellStyle name="Normal 10 9 2 5" xfId="7449" xr:uid="{00000000-0005-0000-0000-0000DB0D0000}"/>
    <cellStyle name="Normal 10 9 2 5 2" xfId="39190" xr:uid="{00000000-0005-0000-0000-0000DC0D0000}"/>
    <cellStyle name="Normal 10 9 2 5 2 2" xfId="55290" xr:uid="{00000000-0005-0000-0000-0000DD0D0000}"/>
    <cellStyle name="Normal 10 9 2 5 3" xfId="45723" xr:uid="{00000000-0005-0000-0000-0000DE0D0000}"/>
    <cellStyle name="Normal 10 9 2 5 4" xfId="29623" xr:uid="{00000000-0005-0000-0000-0000DF0D0000}"/>
    <cellStyle name="Normal 10 9 2 5 5" xfId="20054" xr:uid="{00000000-0005-0000-0000-0000E00D0000}"/>
    <cellStyle name="Normal 10 9 2 6" xfId="10485" xr:uid="{00000000-0005-0000-0000-0000E10D0000}"/>
    <cellStyle name="Normal 10 9 2 6 2" xfId="48759" xr:uid="{00000000-0005-0000-0000-0000E20D0000}"/>
    <cellStyle name="Normal 10 9 2 6 3" xfId="32659" xr:uid="{00000000-0005-0000-0000-0000E30D0000}"/>
    <cellStyle name="Normal 10 9 2 6 4" xfId="23090" xr:uid="{00000000-0005-0000-0000-0000E40D0000}"/>
    <cellStyle name="Normal 10 9 2 7" xfId="3508" xr:uid="{00000000-0005-0000-0000-0000E50D0000}"/>
    <cellStyle name="Normal 10 9 2 7 2" xfId="51349" xr:uid="{00000000-0005-0000-0000-0000E60D0000}"/>
    <cellStyle name="Normal 10 9 2 7 3" xfId="35249" xr:uid="{00000000-0005-0000-0000-0000E70D0000}"/>
    <cellStyle name="Normal 10 9 2 7 4" xfId="16113" xr:uid="{00000000-0005-0000-0000-0000E80D0000}"/>
    <cellStyle name="Normal 10 9 2 8" xfId="41782" xr:uid="{00000000-0005-0000-0000-0000E90D0000}"/>
    <cellStyle name="Normal 10 9 2 9" xfId="25682" xr:uid="{00000000-0005-0000-0000-0000EA0D0000}"/>
    <cellStyle name="Normal 10 9 3" xfId="693" xr:uid="{00000000-0005-0000-0000-0000EB0D0000}"/>
    <cellStyle name="Normal 10 9 3 2" xfId="2721" xr:uid="{00000000-0005-0000-0000-0000EC0D0000}"/>
    <cellStyle name="Normal 10 9 3 2 2" xfId="9253" xr:uid="{00000000-0005-0000-0000-0000ED0D0000}"/>
    <cellStyle name="Normal 10 9 3 2 2 2" xfId="40994" xr:uid="{00000000-0005-0000-0000-0000EE0D0000}"/>
    <cellStyle name="Normal 10 9 3 2 2 2 2" xfId="57094" xr:uid="{00000000-0005-0000-0000-0000EF0D0000}"/>
    <cellStyle name="Normal 10 9 3 2 2 3" xfId="47527" xr:uid="{00000000-0005-0000-0000-0000F00D0000}"/>
    <cellStyle name="Normal 10 9 3 2 2 4" xfId="31427" xr:uid="{00000000-0005-0000-0000-0000F10D0000}"/>
    <cellStyle name="Normal 10 9 3 2 2 5" xfId="21858" xr:uid="{00000000-0005-0000-0000-0000F20D0000}"/>
    <cellStyle name="Normal 10 9 3 2 3" xfId="12289" xr:uid="{00000000-0005-0000-0000-0000F30D0000}"/>
    <cellStyle name="Normal 10 9 3 2 3 2" xfId="50563" xr:uid="{00000000-0005-0000-0000-0000F40D0000}"/>
    <cellStyle name="Normal 10 9 3 2 3 3" xfId="34463" xr:uid="{00000000-0005-0000-0000-0000F50D0000}"/>
    <cellStyle name="Normal 10 9 3 2 3 4" xfId="24894" xr:uid="{00000000-0005-0000-0000-0000F60D0000}"/>
    <cellStyle name="Normal 10 9 3 2 4" xfId="6217" xr:uid="{00000000-0005-0000-0000-0000F70D0000}"/>
    <cellStyle name="Normal 10 9 3 2 4 2" xfId="54058" xr:uid="{00000000-0005-0000-0000-0000F80D0000}"/>
    <cellStyle name="Normal 10 9 3 2 4 3" xfId="37958" xr:uid="{00000000-0005-0000-0000-0000F90D0000}"/>
    <cellStyle name="Normal 10 9 3 2 4 4" xfId="18822" xr:uid="{00000000-0005-0000-0000-0000FA0D0000}"/>
    <cellStyle name="Normal 10 9 3 2 5" xfId="44491" xr:uid="{00000000-0005-0000-0000-0000FB0D0000}"/>
    <cellStyle name="Normal 10 9 3 2 6" xfId="28391" xr:uid="{00000000-0005-0000-0000-0000FC0D0000}"/>
    <cellStyle name="Normal 10 9 3 2 7" xfId="15327" xr:uid="{00000000-0005-0000-0000-0000FD0D0000}"/>
    <cellStyle name="Normal 10 9 3 3" xfId="1703" xr:uid="{00000000-0005-0000-0000-0000FE0D0000}"/>
    <cellStyle name="Normal 10 9 3 3 2" xfId="8237" xr:uid="{00000000-0005-0000-0000-0000FF0D0000}"/>
    <cellStyle name="Normal 10 9 3 3 2 2" xfId="39978" xr:uid="{00000000-0005-0000-0000-0000000E0000}"/>
    <cellStyle name="Normal 10 9 3 3 2 2 2" xfId="56078" xr:uid="{00000000-0005-0000-0000-0000010E0000}"/>
    <cellStyle name="Normal 10 9 3 3 2 3" xfId="46511" xr:uid="{00000000-0005-0000-0000-0000020E0000}"/>
    <cellStyle name="Normal 10 9 3 3 2 4" xfId="30411" xr:uid="{00000000-0005-0000-0000-0000030E0000}"/>
    <cellStyle name="Normal 10 9 3 3 2 5" xfId="20842" xr:uid="{00000000-0005-0000-0000-0000040E0000}"/>
    <cellStyle name="Normal 10 9 3 3 3" xfId="11273" xr:uid="{00000000-0005-0000-0000-0000050E0000}"/>
    <cellStyle name="Normal 10 9 3 3 3 2" xfId="49547" xr:uid="{00000000-0005-0000-0000-0000060E0000}"/>
    <cellStyle name="Normal 10 9 3 3 3 3" xfId="33447" xr:uid="{00000000-0005-0000-0000-0000070E0000}"/>
    <cellStyle name="Normal 10 9 3 3 3 4" xfId="23878" xr:uid="{00000000-0005-0000-0000-0000080E0000}"/>
    <cellStyle name="Normal 10 9 3 3 4" xfId="5201" xr:uid="{00000000-0005-0000-0000-0000090E0000}"/>
    <cellStyle name="Normal 10 9 3 3 4 2" xfId="53042" xr:uid="{00000000-0005-0000-0000-00000A0E0000}"/>
    <cellStyle name="Normal 10 9 3 3 4 3" xfId="36942" xr:uid="{00000000-0005-0000-0000-00000B0E0000}"/>
    <cellStyle name="Normal 10 9 3 3 4 4" xfId="17806" xr:uid="{00000000-0005-0000-0000-00000C0E0000}"/>
    <cellStyle name="Normal 10 9 3 3 5" xfId="43475" xr:uid="{00000000-0005-0000-0000-00000D0E0000}"/>
    <cellStyle name="Normal 10 9 3 3 6" xfId="27375" xr:uid="{00000000-0005-0000-0000-00000E0E0000}"/>
    <cellStyle name="Normal 10 9 3 3 7" xfId="14311" xr:uid="{00000000-0005-0000-0000-00000F0E0000}"/>
    <cellStyle name="Normal 10 9 3 4" xfId="7227" xr:uid="{00000000-0005-0000-0000-0000100E0000}"/>
    <cellStyle name="Normal 10 9 3 4 2" xfId="38968" xr:uid="{00000000-0005-0000-0000-0000110E0000}"/>
    <cellStyle name="Normal 10 9 3 4 2 2" xfId="55068" xr:uid="{00000000-0005-0000-0000-0000120E0000}"/>
    <cellStyle name="Normal 10 9 3 4 3" xfId="45501" xr:uid="{00000000-0005-0000-0000-0000130E0000}"/>
    <cellStyle name="Normal 10 9 3 4 4" xfId="29401" xr:uid="{00000000-0005-0000-0000-0000140E0000}"/>
    <cellStyle name="Normal 10 9 3 4 5" xfId="19832" xr:uid="{00000000-0005-0000-0000-0000150E0000}"/>
    <cellStyle name="Normal 10 9 3 5" xfId="10263" xr:uid="{00000000-0005-0000-0000-0000160E0000}"/>
    <cellStyle name="Normal 10 9 3 5 2" xfId="48537" xr:uid="{00000000-0005-0000-0000-0000170E0000}"/>
    <cellStyle name="Normal 10 9 3 5 3" xfId="32437" xr:uid="{00000000-0005-0000-0000-0000180E0000}"/>
    <cellStyle name="Normal 10 9 3 5 4" xfId="22868" xr:uid="{00000000-0005-0000-0000-0000190E0000}"/>
    <cellStyle name="Normal 10 9 3 6" xfId="4191" xr:uid="{00000000-0005-0000-0000-00001A0E0000}"/>
    <cellStyle name="Normal 10 9 3 6 2" xfId="52032" xr:uid="{00000000-0005-0000-0000-00001B0E0000}"/>
    <cellStyle name="Normal 10 9 3 6 3" xfId="35932" xr:uid="{00000000-0005-0000-0000-00001C0E0000}"/>
    <cellStyle name="Normal 10 9 3 6 4" xfId="16796" xr:uid="{00000000-0005-0000-0000-00001D0E0000}"/>
    <cellStyle name="Normal 10 9 3 7" xfId="42465" xr:uid="{00000000-0005-0000-0000-00001E0E0000}"/>
    <cellStyle name="Normal 10 9 3 8" xfId="26365" xr:uid="{00000000-0005-0000-0000-00001F0E0000}"/>
    <cellStyle name="Normal 10 9 3 9" xfId="13301" xr:uid="{00000000-0005-0000-0000-0000200E0000}"/>
    <cellStyle name="Normal 10 9 4" xfId="2493" xr:uid="{00000000-0005-0000-0000-0000210E0000}"/>
    <cellStyle name="Normal 10 9 4 2" xfId="9025" xr:uid="{00000000-0005-0000-0000-0000220E0000}"/>
    <cellStyle name="Normal 10 9 4 2 2" xfId="40766" xr:uid="{00000000-0005-0000-0000-0000230E0000}"/>
    <cellStyle name="Normal 10 9 4 2 2 2" xfId="56866" xr:uid="{00000000-0005-0000-0000-0000240E0000}"/>
    <cellStyle name="Normal 10 9 4 2 3" xfId="47299" xr:uid="{00000000-0005-0000-0000-0000250E0000}"/>
    <cellStyle name="Normal 10 9 4 2 4" xfId="31199" xr:uid="{00000000-0005-0000-0000-0000260E0000}"/>
    <cellStyle name="Normal 10 9 4 2 5" xfId="21630" xr:uid="{00000000-0005-0000-0000-0000270E0000}"/>
    <cellStyle name="Normal 10 9 4 3" xfId="12061" xr:uid="{00000000-0005-0000-0000-0000280E0000}"/>
    <cellStyle name="Normal 10 9 4 3 2" xfId="50335" xr:uid="{00000000-0005-0000-0000-0000290E0000}"/>
    <cellStyle name="Normal 10 9 4 3 3" xfId="34235" xr:uid="{00000000-0005-0000-0000-00002A0E0000}"/>
    <cellStyle name="Normal 10 9 4 3 4" xfId="24666" xr:uid="{00000000-0005-0000-0000-00002B0E0000}"/>
    <cellStyle name="Normal 10 9 4 4" xfId="5989" xr:uid="{00000000-0005-0000-0000-00002C0E0000}"/>
    <cellStyle name="Normal 10 9 4 4 2" xfId="53830" xr:uid="{00000000-0005-0000-0000-00002D0E0000}"/>
    <cellStyle name="Normal 10 9 4 4 3" xfId="37730" xr:uid="{00000000-0005-0000-0000-00002E0E0000}"/>
    <cellStyle name="Normal 10 9 4 4 4" xfId="18594" xr:uid="{00000000-0005-0000-0000-00002F0E0000}"/>
    <cellStyle name="Normal 10 9 4 5" xfId="44263" xr:uid="{00000000-0005-0000-0000-0000300E0000}"/>
    <cellStyle name="Normal 10 9 4 6" xfId="28163" xr:uid="{00000000-0005-0000-0000-0000310E0000}"/>
    <cellStyle name="Normal 10 9 4 7" xfId="15099" xr:uid="{00000000-0005-0000-0000-0000320E0000}"/>
    <cellStyle name="Normal 10 9 5" xfId="1242" xr:uid="{00000000-0005-0000-0000-0000330E0000}"/>
    <cellStyle name="Normal 10 9 5 2" xfId="7776" xr:uid="{00000000-0005-0000-0000-0000340E0000}"/>
    <cellStyle name="Normal 10 9 5 2 2" xfId="39517" xr:uid="{00000000-0005-0000-0000-0000350E0000}"/>
    <cellStyle name="Normal 10 9 5 2 2 2" xfId="55617" xr:uid="{00000000-0005-0000-0000-0000360E0000}"/>
    <cellStyle name="Normal 10 9 5 2 3" xfId="46050" xr:uid="{00000000-0005-0000-0000-0000370E0000}"/>
    <cellStyle name="Normal 10 9 5 2 4" xfId="29950" xr:uid="{00000000-0005-0000-0000-0000380E0000}"/>
    <cellStyle name="Normal 10 9 5 2 5" xfId="20381" xr:uid="{00000000-0005-0000-0000-0000390E0000}"/>
    <cellStyle name="Normal 10 9 5 3" xfId="10812" xr:uid="{00000000-0005-0000-0000-00003A0E0000}"/>
    <cellStyle name="Normal 10 9 5 3 2" xfId="49086" xr:uid="{00000000-0005-0000-0000-00003B0E0000}"/>
    <cellStyle name="Normal 10 9 5 3 3" xfId="32986" xr:uid="{00000000-0005-0000-0000-00003C0E0000}"/>
    <cellStyle name="Normal 10 9 5 3 4" xfId="23417" xr:uid="{00000000-0005-0000-0000-00003D0E0000}"/>
    <cellStyle name="Normal 10 9 5 4" xfId="4740" xr:uid="{00000000-0005-0000-0000-00003E0E0000}"/>
    <cellStyle name="Normal 10 9 5 4 2" xfId="52581" xr:uid="{00000000-0005-0000-0000-00003F0E0000}"/>
    <cellStyle name="Normal 10 9 5 4 3" xfId="36481" xr:uid="{00000000-0005-0000-0000-0000400E0000}"/>
    <cellStyle name="Normal 10 9 5 4 4" xfId="17345" xr:uid="{00000000-0005-0000-0000-0000410E0000}"/>
    <cellStyle name="Normal 10 9 5 5" xfId="43014" xr:uid="{00000000-0005-0000-0000-0000420E0000}"/>
    <cellStyle name="Normal 10 9 5 6" xfId="26914" xr:uid="{00000000-0005-0000-0000-0000430E0000}"/>
    <cellStyle name="Normal 10 9 5 7" xfId="13850" xr:uid="{00000000-0005-0000-0000-0000440E0000}"/>
    <cellStyle name="Normal 10 9 6" xfId="3730" xr:uid="{00000000-0005-0000-0000-0000450E0000}"/>
    <cellStyle name="Normal 10 9 6 2" xfId="35471" xr:uid="{00000000-0005-0000-0000-0000460E0000}"/>
    <cellStyle name="Normal 10 9 6 2 2" xfId="51571" xr:uid="{00000000-0005-0000-0000-0000470E0000}"/>
    <cellStyle name="Normal 10 9 6 3" xfId="42004" xr:uid="{00000000-0005-0000-0000-0000480E0000}"/>
    <cellStyle name="Normal 10 9 6 4" xfId="25904" xr:uid="{00000000-0005-0000-0000-0000490E0000}"/>
    <cellStyle name="Normal 10 9 6 5" xfId="16335" xr:uid="{00000000-0005-0000-0000-00004A0E0000}"/>
    <cellStyle name="Normal 10 9 7" xfId="6766" xr:uid="{00000000-0005-0000-0000-00004B0E0000}"/>
    <cellStyle name="Normal 10 9 7 2" xfId="38507" xr:uid="{00000000-0005-0000-0000-00004C0E0000}"/>
    <cellStyle name="Normal 10 9 7 2 2" xfId="54607" xr:uid="{00000000-0005-0000-0000-00004D0E0000}"/>
    <cellStyle name="Normal 10 9 7 3" xfId="45040" xr:uid="{00000000-0005-0000-0000-00004E0E0000}"/>
    <cellStyle name="Normal 10 9 7 4" xfId="28940" xr:uid="{00000000-0005-0000-0000-00004F0E0000}"/>
    <cellStyle name="Normal 10 9 7 5" xfId="19371" xr:uid="{00000000-0005-0000-0000-0000500E0000}"/>
    <cellStyle name="Normal 10 9 8" xfId="9802" xr:uid="{00000000-0005-0000-0000-0000510E0000}"/>
    <cellStyle name="Normal 10 9 8 2" xfId="48076" xr:uid="{00000000-0005-0000-0000-0000520E0000}"/>
    <cellStyle name="Normal 10 9 8 3" xfId="31976" xr:uid="{00000000-0005-0000-0000-0000530E0000}"/>
    <cellStyle name="Normal 10 9 8 4" xfId="22407" xr:uid="{00000000-0005-0000-0000-0000540E0000}"/>
    <cellStyle name="Normal 10 9 9" xfId="3270" xr:uid="{00000000-0005-0000-0000-0000550E0000}"/>
    <cellStyle name="Normal 10 9 9 2" xfId="51112" xr:uid="{00000000-0005-0000-0000-0000560E0000}"/>
    <cellStyle name="Normal 10 9 9 3" xfId="35012" xr:uid="{00000000-0005-0000-0000-0000570E0000}"/>
    <cellStyle name="Normal 10 9 9 4" xfId="15876" xr:uid="{00000000-0005-0000-0000-0000580E0000}"/>
    <cellStyle name="Normal 11" xfId="9" xr:uid="{00000000-0005-0000-0000-0000590E0000}"/>
    <cellStyle name="Normal 12" xfId="17" xr:uid="{00000000-0005-0000-0000-00005A0E0000}"/>
    <cellStyle name="Normal 12 10" xfId="480" xr:uid="{00000000-0005-0000-0000-00005B0E0000}"/>
    <cellStyle name="Normal 12 10 10" xfId="41563" xr:uid="{00000000-0005-0000-0000-00005C0E0000}"/>
    <cellStyle name="Normal 12 10 11" xfId="25463" xr:uid="{00000000-0005-0000-0000-00005D0E0000}"/>
    <cellStyle name="Normal 12 10 12" xfId="12858" xr:uid="{00000000-0005-0000-0000-00005E0E0000}"/>
    <cellStyle name="Normal 12 10 2" xfId="933" xr:uid="{00000000-0005-0000-0000-00005F0E0000}"/>
    <cellStyle name="Normal 12 10 2 10" xfId="13541" xr:uid="{00000000-0005-0000-0000-0000600E0000}"/>
    <cellStyle name="Normal 12 10 2 2" xfId="2961" xr:uid="{00000000-0005-0000-0000-0000610E0000}"/>
    <cellStyle name="Normal 12 10 2 2 2" xfId="9493" xr:uid="{00000000-0005-0000-0000-0000620E0000}"/>
    <cellStyle name="Normal 12 10 2 2 2 2" xfId="41234" xr:uid="{00000000-0005-0000-0000-0000630E0000}"/>
    <cellStyle name="Normal 12 10 2 2 2 2 2" xfId="57334" xr:uid="{00000000-0005-0000-0000-0000640E0000}"/>
    <cellStyle name="Normal 12 10 2 2 2 3" xfId="47767" xr:uid="{00000000-0005-0000-0000-0000650E0000}"/>
    <cellStyle name="Normal 12 10 2 2 2 4" xfId="31667" xr:uid="{00000000-0005-0000-0000-0000660E0000}"/>
    <cellStyle name="Normal 12 10 2 2 2 5" xfId="22098" xr:uid="{00000000-0005-0000-0000-0000670E0000}"/>
    <cellStyle name="Normal 12 10 2 2 3" xfId="12529" xr:uid="{00000000-0005-0000-0000-0000680E0000}"/>
    <cellStyle name="Normal 12 10 2 2 3 2" xfId="50803" xr:uid="{00000000-0005-0000-0000-0000690E0000}"/>
    <cellStyle name="Normal 12 10 2 2 3 3" xfId="34703" xr:uid="{00000000-0005-0000-0000-00006A0E0000}"/>
    <cellStyle name="Normal 12 10 2 2 3 4" xfId="25134" xr:uid="{00000000-0005-0000-0000-00006B0E0000}"/>
    <cellStyle name="Normal 12 10 2 2 4" xfId="6457" xr:uid="{00000000-0005-0000-0000-00006C0E0000}"/>
    <cellStyle name="Normal 12 10 2 2 4 2" xfId="54298" xr:uid="{00000000-0005-0000-0000-00006D0E0000}"/>
    <cellStyle name="Normal 12 10 2 2 4 3" xfId="38198" xr:uid="{00000000-0005-0000-0000-00006E0E0000}"/>
    <cellStyle name="Normal 12 10 2 2 4 4" xfId="19062" xr:uid="{00000000-0005-0000-0000-00006F0E0000}"/>
    <cellStyle name="Normal 12 10 2 2 5" xfId="44731" xr:uid="{00000000-0005-0000-0000-0000700E0000}"/>
    <cellStyle name="Normal 12 10 2 2 6" xfId="28631" xr:uid="{00000000-0005-0000-0000-0000710E0000}"/>
    <cellStyle name="Normal 12 10 2 2 7" xfId="15567" xr:uid="{00000000-0005-0000-0000-0000720E0000}"/>
    <cellStyle name="Normal 12 10 2 3" xfId="1943" xr:uid="{00000000-0005-0000-0000-0000730E0000}"/>
    <cellStyle name="Normal 12 10 2 3 2" xfId="8477" xr:uid="{00000000-0005-0000-0000-0000740E0000}"/>
    <cellStyle name="Normal 12 10 2 3 2 2" xfId="40218" xr:uid="{00000000-0005-0000-0000-0000750E0000}"/>
    <cellStyle name="Normal 12 10 2 3 2 2 2" xfId="56318" xr:uid="{00000000-0005-0000-0000-0000760E0000}"/>
    <cellStyle name="Normal 12 10 2 3 2 3" xfId="46751" xr:uid="{00000000-0005-0000-0000-0000770E0000}"/>
    <cellStyle name="Normal 12 10 2 3 2 4" xfId="30651" xr:uid="{00000000-0005-0000-0000-0000780E0000}"/>
    <cellStyle name="Normal 12 10 2 3 2 5" xfId="21082" xr:uid="{00000000-0005-0000-0000-0000790E0000}"/>
    <cellStyle name="Normal 12 10 2 3 3" xfId="11513" xr:uid="{00000000-0005-0000-0000-00007A0E0000}"/>
    <cellStyle name="Normal 12 10 2 3 3 2" xfId="49787" xr:uid="{00000000-0005-0000-0000-00007B0E0000}"/>
    <cellStyle name="Normal 12 10 2 3 3 3" xfId="33687" xr:uid="{00000000-0005-0000-0000-00007C0E0000}"/>
    <cellStyle name="Normal 12 10 2 3 3 4" xfId="24118" xr:uid="{00000000-0005-0000-0000-00007D0E0000}"/>
    <cellStyle name="Normal 12 10 2 3 4" xfId="5441" xr:uid="{00000000-0005-0000-0000-00007E0E0000}"/>
    <cellStyle name="Normal 12 10 2 3 4 2" xfId="53282" xr:uid="{00000000-0005-0000-0000-00007F0E0000}"/>
    <cellStyle name="Normal 12 10 2 3 4 3" xfId="37182" xr:uid="{00000000-0005-0000-0000-0000800E0000}"/>
    <cellStyle name="Normal 12 10 2 3 4 4" xfId="18046" xr:uid="{00000000-0005-0000-0000-0000810E0000}"/>
    <cellStyle name="Normal 12 10 2 3 5" xfId="43715" xr:uid="{00000000-0005-0000-0000-0000820E0000}"/>
    <cellStyle name="Normal 12 10 2 3 6" xfId="27615" xr:uid="{00000000-0005-0000-0000-0000830E0000}"/>
    <cellStyle name="Normal 12 10 2 3 7" xfId="14551" xr:uid="{00000000-0005-0000-0000-0000840E0000}"/>
    <cellStyle name="Normal 12 10 2 4" xfId="4431" xr:uid="{00000000-0005-0000-0000-0000850E0000}"/>
    <cellStyle name="Normal 12 10 2 4 2" xfId="36172" xr:uid="{00000000-0005-0000-0000-0000860E0000}"/>
    <cellStyle name="Normal 12 10 2 4 2 2" xfId="52272" xr:uid="{00000000-0005-0000-0000-0000870E0000}"/>
    <cellStyle name="Normal 12 10 2 4 3" xfId="42705" xr:uid="{00000000-0005-0000-0000-0000880E0000}"/>
    <cellStyle name="Normal 12 10 2 4 4" xfId="26605" xr:uid="{00000000-0005-0000-0000-0000890E0000}"/>
    <cellStyle name="Normal 12 10 2 4 5" xfId="17036" xr:uid="{00000000-0005-0000-0000-00008A0E0000}"/>
    <cellStyle name="Normal 12 10 2 5" xfId="7467" xr:uid="{00000000-0005-0000-0000-00008B0E0000}"/>
    <cellStyle name="Normal 12 10 2 5 2" xfId="39208" xr:uid="{00000000-0005-0000-0000-00008C0E0000}"/>
    <cellStyle name="Normal 12 10 2 5 2 2" xfId="55308" xr:uid="{00000000-0005-0000-0000-00008D0E0000}"/>
    <cellStyle name="Normal 12 10 2 5 3" xfId="45741" xr:uid="{00000000-0005-0000-0000-00008E0E0000}"/>
    <cellStyle name="Normal 12 10 2 5 4" xfId="29641" xr:uid="{00000000-0005-0000-0000-00008F0E0000}"/>
    <cellStyle name="Normal 12 10 2 5 5" xfId="20072" xr:uid="{00000000-0005-0000-0000-0000900E0000}"/>
    <cellStyle name="Normal 12 10 2 6" xfId="10503" xr:uid="{00000000-0005-0000-0000-0000910E0000}"/>
    <cellStyle name="Normal 12 10 2 6 2" xfId="48777" xr:uid="{00000000-0005-0000-0000-0000920E0000}"/>
    <cellStyle name="Normal 12 10 2 6 3" xfId="32677" xr:uid="{00000000-0005-0000-0000-0000930E0000}"/>
    <cellStyle name="Normal 12 10 2 6 4" xfId="23108" xr:uid="{00000000-0005-0000-0000-0000940E0000}"/>
    <cellStyle name="Normal 12 10 2 7" xfId="3526" xr:uid="{00000000-0005-0000-0000-0000950E0000}"/>
    <cellStyle name="Normal 12 10 2 7 2" xfId="51367" xr:uid="{00000000-0005-0000-0000-0000960E0000}"/>
    <cellStyle name="Normal 12 10 2 7 3" xfId="35267" xr:uid="{00000000-0005-0000-0000-0000970E0000}"/>
    <cellStyle name="Normal 12 10 2 7 4" xfId="16131" xr:uid="{00000000-0005-0000-0000-0000980E0000}"/>
    <cellStyle name="Normal 12 10 2 8" xfId="41800" xr:uid="{00000000-0005-0000-0000-0000990E0000}"/>
    <cellStyle name="Normal 12 10 2 9" xfId="25700" xr:uid="{00000000-0005-0000-0000-00009A0E0000}"/>
    <cellStyle name="Normal 12 10 3" xfId="711" xr:uid="{00000000-0005-0000-0000-00009B0E0000}"/>
    <cellStyle name="Normal 12 10 3 2" xfId="2739" xr:uid="{00000000-0005-0000-0000-00009C0E0000}"/>
    <cellStyle name="Normal 12 10 3 2 2" xfId="9271" xr:uid="{00000000-0005-0000-0000-00009D0E0000}"/>
    <cellStyle name="Normal 12 10 3 2 2 2" xfId="41012" xr:uid="{00000000-0005-0000-0000-00009E0E0000}"/>
    <cellStyle name="Normal 12 10 3 2 2 2 2" xfId="57112" xr:uid="{00000000-0005-0000-0000-00009F0E0000}"/>
    <cellStyle name="Normal 12 10 3 2 2 3" xfId="47545" xr:uid="{00000000-0005-0000-0000-0000A00E0000}"/>
    <cellStyle name="Normal 12 10 3 2 2 4" xfId="31445" xr:uid="{00000000-0005-0000-0000-0000A10E0000}"/>
    <cellStyle name="Normal 12 10 3 2 2 5" xfId="21876" xr:uid="{00000000-0005-0000-0000-0000A20E0000}"/>
    <cellStyle name="Normal 12 10 3 2 3" xfId="12307" xr:uid="{00000000-0005-0000-0000-0000A30E0000}"/>
    <cellStyle name="Normal 12 10 3 2 3 2" xfId="50581" xr:uid="{00000000-0005-0000-0000-0000A40E0000}"/>
    <cellStyle name="Normal 12 10 3 2 3 3" xfId="34481" xr:uid="{00000000-0005-0000-0000-0000A50E0000}"/>
    <cellStyle name="Normal 12 10 3 2 3 4" xfId="24912" xr:uid="{00000000-0005-0000-0000-0000A60E0000}"/>
    <cellStyle name="Normal 12 10 3 2 4" xfId="6235" xr:uid="{00000000-0005-0000-0000-0000A70E0000}"/>
    <cellStyle name="Normal 12 10 3 2 4 2" xfId="54076" xr:uid="{00000000-0005-0000-0000-0000A80E0000}"/>
    <cellStyle name="Normal 12 10 3 2 4 3" xfId="37976" xr:uid="{00000000-0005-0000-0000-0000A90E0000}"/>
    <cellStyle name="Normal 12 10 3 2 4 4" xfId="18840" xr:uid="{00000000-0005-0000-0000-0000AA0E0000}"/>
    <cellStyle name="Normal 12 10 3 2 5" xfId="44509" xr:uid="{00000000-0005-0000-0000-0000AB0E0000}"/>
    <cellStyle name="Normal 12 10 3 2 6" xfId="28409" xr:uid="{00000000-0005-0000-0000-0000AC0E0000}"/>
    <cellStyle name="Normal 12 10 3 2 7" xfId="15345" xr:uid="{00000000-0005-0000-0000-0000AD0E0000}"/>
    <cellStyle name="Normal 12 10 3 3" xfId="1721" xr:uid="{00000000-0005-0000-0000-0000AE0E0000}"/>
    <cellStyle name="Normal 12 10 3 3 2" xfId="8255" xr:uid="{00000000-0005-0000-0000-0000AF0E0000}"/>
    <cellStyle name="Normal 12 10 3 3 2 2" xfId="39996" xr:uid="{00000000-0005-0000-0000-0000B00E0000}"/>
    <cellStyle name="Normal 12 10 3 3 2 2 2" xfId="56096" xr:uid="{00000000-0005-0000-0000-0000B10E0000}"/>
    <cellStyle name="Normal 12 10 3 3 2 3" xfId="46529" xr:uid="{00000000-0005-0000-0000-0000B20E0000}"/>
    <cellStyle name="Normal 12 10 3 3 2 4" xfId="30429" xr:uid="{00000000-0005-0000-0000-0000B30E0000}"/>
    <cellStyle name="Normal 12 10 3 3 2 5" xfId="20860" xr:uid="{00000000-0005-0000-0000-0000B40E0000}"/>
    <cellStyle name="Normal 12 10 3 3 3" xfId="11291" xr:uid="{00000000-0005-0000-0000-0000B50E0000}"/>
    <cellStyle name="Normal 12 10 3 3 3 2" xfId="49565" xr:uid="{00000000-0005-0000-0000-0000B60E0000}"/>
    <cellStyle name="Normal 12 10 3 3 3 3" xfId="33465" xr:uid="{00000000-0005-0000-0000-0000B70E0000}"/>
    <cellStyle name="Normal 12 10 3 3 3 4" xfId="23896" xr:uid="{00000000-0005-0000-0000-0000B80E0000}"/>
    <cellStyle name="Normal 12 10 3 3 4" xfId="5219" xr:uid="{00000000-0005-0000-0000-0000B90E0000}"/>
    <cellStyle name="Normal 12 10 3 3 4 2" xfId="53060" xr:uid="{00000000-0005-0000-0000-0000BA0E0000}"/>
    <cellStyle name="Normal 12 10 3 3 4 3" xfId="36960" xr:uid="{00000000-0005-0000-0000-0000BB0E0000}"/>
    <cellStyle name="Normal 12 10 3 3 4 4" xfId="17824" xr:uid="{00000000-0005-0000-0000-0000BC0E0000}"/>
    <cellStyle name="Normal 12 10 3 3 5" xfId="43493" xr:uid="{00000000-0005-0000-0000-0000BD0E0000}"/>
    <cellStyle name="Normal 12 10 3 3 6" xfId="27393" xr:uid="{00000000-0005-0000-0000-0000BE0E0000}"/>
    <cellStyle name="Normal 12 10 3 3 7" xfId="14329" xr:uid="{00000000-0005-0000-0000-0000BF0E0000}"/>
    <cellStyle name="Normal 12 10 3 4" xfId="7245" xr:uid="{00000000-0005-0000-0000-0000C00E0000}"/>
    <cellStyle name="Normal 12 10 3 4 2" xfId="38986" xr:uid="{00000000-0005-0000-0000-0000C10E0000}"/>
    <cellStyle name="Normal 12 10 3 4 2 2" xfId="55086" xr:uid="{00000000-0005-0000-0000-0000C20E0000}"/>
    <cellStyle name="Normal 12 10 3 4 3" xfId="45519" xr:uid="{00000000-0005-0000-0000-0000C30E0000}"/>
    <cellStyle name="Normal 12 10 3 4 4" xfId="29419" xr:uid="{00000000-0005-0000-0000-0000C40E0000}"/>
    <cellStyle name="Normal 12 10 3 4 5" xfId="19850" xr:uid="{00000000-0005-0000-0000-0000C50E0000}"/>
    <cellStyle name="Normal 12 10 3 5" xfId="10281" xr:uid="{00000000-0005-0000-0000-0000C60E0000}"/>
    <cellStyle name="Normal 12 10 3 5 2" xfId="48555" xr:uid="{00000000-0005-0000-0000-0000C70E0000}"/>
    <cellStyle name="Normal 12 10 3 5 3" xfId="32455" xr:uid="{00000000-0005-0000-0000-0000C80E0000}"/>
    <cellStyle name="Normal 12 10 3 5 4" xfId="22886" xr:uid="{00000000-0005-0000-0000-0000C90E0000}"/>
    <cellStyle name="Normal 12 10 3 6" xfId="4209" xr:uid="{00000000-0005-0000-0000-0000CA0E0000}"/>
    <cellStyle name="Normal 12 10 3 6 2" xfId="52050" xr:uid="{00000000-0005-0000-0000-0000CB0E0000}"/>
    <cellStyle name="Normal 12 10 3 6 3" xfId="35950" xr:uid="{00000000-0005-0000-0000-0000CC0E0000}"/>
    <cellStyle name="Normal 12 10 3 6 4" xfId="16814" xr:uid="{00000000-0005-0000-0000-0000CD0E0000}"/>
    <cellStyle name="Normal 12 10 3 7" xfId="42483" xr:uid="{00000000-0005-0000-0000-0000CE0E0000}"/>
    <cellStyle name="Normal 12 10 3 8" xfId="26383" xr:uid="{00000000-0005-0000-0000-0000CF0E0000}"/>
    <cellStyle name="Normal 12 10 3 9" xfId="13319" xr:uid="{00000000-0005-0000-0000-0000D00E0000}"/>
    <cellStyle name="Normal 12 10 4" xfId="2511" xr:uid="{00000000-0005-0000-0000-0000D10E0000}"/>
    <cellStyle name="Normal 12 10 4 2" xfId="9043" xr:uid="{00000000-0005-0000-0000-0000D20E0000}"/>
    <cellStyle name="Normal 12 10 4 2 2" xfId="40784" xr:uid="{00000000-0005-0000-0000-0000D30E0000}"/>
    <cellStyle name="Normal 12 10 4 2 2 2" xfId="56884" xr:uid="{00000000-0005-0000-0000-0000D40E0000}"/>
    <cellStyle name="Normal 12 10 4 2 3" xfId="47317" xr:uid="{00000000-0005-0000-0000-0000D50E0000}"/>
    <cellStyle name="Normal 12 10 4 2 4" xfId="31217" xr:uid="{00000000-0005-0000-0000-0000D60E0000}"/>
    <cellStyle name="Normal 12 10 4 2 5" xfId="21648" xr:uid="{00000000-0005-0000-0000-0000D70E0000}"/>
    <cellStyle name="Normal 12 10 4 3" xfId="12079" xr:uid="{00000000-0005-0000-0000-0000D80E0000}"/>
    <cellStyle name="Normal 12 10 4 3 2" xfId="50353" xr:uid="{00000000-0005-0000-0000-0000D90E0000}"/>
    <cellStyle name="Normal 12 10 4 3 3" xfId="34253" xr:uid="{00000000-0005-0000-0000-0000DA0E0000}"/>
    <cellStyle name="Normal 12 10 4 3 4" xfId="24684" xr:uid="{00000000-0005-0000-0000-0000DB0E0000}"/>
    <cellStyle name="Normal 12 10 4 4" xfId="6007" xr:uid="{00000000-0005-0000-0000-0000DC0E0000}"/>
    <cellStyle name="Normal 12 10 4 4 2" xfId="53848" xr:uid="{00000000-0005-0000-0000-0000DD0E0000}"/>
    <cellStyle name="Normal 12 10 4 4 3" xfId="37748" xr:uid="{00000000-0005-0000-0000-0000DE0E0000}"/>
    <cellStyle name="Normal 12 10 4 4 4" xfId="18612" xr:uid="{00000000-0005-0000-0000-0000DF0E0000}"/>
    <cellStyle name="Normal 12 10 4 5" xfId="44281" xr:uid="{00000000-0005-0000-0000-0000E00E0000}"/>
    <cellStyle name="Normal 12 10 4 6" xfId="28181" xr:uid="{00000000-0005-0000-0000-0000E10E0000}"/>
    <cellStyle name="Normal 12 10 4 7" xfId="15117" xr:uid="{00000000-0005-0000-0000-0000E20E0000}"/>
    <cellStyle name="Normal 12 10 5" xfId="1260" xr:uid="{00000000-0005-0000-0000-0000E30E0000}"/>
    <cellStyle name="Normal 12 10 5 2" xfId="7794" xr:uid="{00000000-0005-0000-0000-0000E40E0000}"/>
    <cellStyle name="Normal 12 10 5 2 2" xfId="39535" xr:uid="{00000000-0005-0000-0000-0000E50E0000}"/>
    <cellStyle name="Normal 12 10 5 2 2 2" xfId="55635" xr:uid="{00000000-0005-0000-0000-0000E60E0000}"/>
    <cellStyle name="Normal 12 10 5 2 3" xfId="46068" xr:uid="{00000000-0005-0000-0000-0000E70E0000}"/>
    <cellStyle name="Normal 12 10 5 2 4" xfId="29968" xr:uid="{00000000-0005-0000-0000-0000E80E0000}"/>
    <cellStyle name="Normal 12 10 5 2 5" xfId="20399" xr:uid="{00000000-0005-0000-0000-0000E90E0000}"/>
    <cellStyle name="Normal 12 10 5 3" xfId="10830" xr:uid="{00000000-0005-0000-0000-0000EA0E0000}"/>
    <cellStyle name="Normal 12 10 5 3 2" xfId="49104" xr:uid="{00000000-0005-0000-0000-0000EB0E0000}"/>
    <cellStyle name="Normal 12 10 5 3 3" xfId="33004" xr:uid="{00000000-0005-0000-0000-0000EC0E0000}"/>
    <cellStyle name="Normal 12 10 5 3 4" xfId="23435" xr:uid="{00000000-0005-0000-0000-0000ED0E0000}"/>
    <cellStyle name="Normal 12 10 5 4" xfId="4758" xr:uid="{00000000-0005-0000-0000-0000EE0E0000}"/>
    <cellStyle name="Normal 12 10 5 4 2" xfId="52599" xr:uid="{00000000-0005-0000-0000-0000EF0E0000}"/>
    <cellStyle name="Normal 12 10 5 4 3" xfId="36499" xr:uid="{00000000-0005-0000-0000-0000F00E0000}"/>
    <cellStyle name="Normal 12 10 5 4 4" xfId="17363" xr:uid="{00000000-0005-0000-0000-0000F10E0000}"/>
    <cellStyle name="Normal 12 10 5 5" xfId="43032" xr:uid="{00000000-0005-0000-0000-0000F20E0000}"/>
    <cellStyle name="Normal 12 10 5 6" xfId="26932" xr:uid="{00000000-0005-0000-0000-0000F30E0000}"/>
    <cellStyle name="Normal 12 10 5 7" xfId="13868" xr:uid="{00000000-0005-0000-0000-0000F40E0000}"/>
    <cellStyle name="Normal 12 10 6" xfId="3748" xr:uid="{00000000-0005-0000-0000-0000F50E0000}"/>
    <cellStyle name="Normal 12 10 6 2" xfId="35489" xr:uid="{00000000-0005-0000-0000-0000F60E0000}"/>
    <cellStyle name="Normal 12 10 6 2 2" xfId="51589" xr:uid="{00000000-0005-0000-0000-0000F70E0000}"/>
    <cellStyle name="Normal 12 10 6 3" xfId="42022" xr:uid="{00000000-0005-0000-0000-0000F80E0000}"/>
    <cellStyle name="Normal 12 10 6 4" xfId="25922" xr:uid="{00000000-0005-0000-0000-0000F90E0000}"/>
    <cellStyle name="Normal 12 10 6 5" xfId="16353" xr:uid="{00000000-0005-0000-0000-0000FA0E0000}"/>
    <cellStyle name="Normal 12 10 7" xfId="6784" xr:uid="{00000000-0005-0000-0000-0000FB0E0000}"/>
    <cellStyle name="Normal 12 10 7 2" xfId="38525" xr:uid="{00000000-0005-0000-0000-0000FC0E0000}"/>
    <cellStyle name="Normal 12 10 7 2 2" xfId="54625" xr:uid="{00000000-0005-0000-0000-0000FD0E0000}"/>
    <cellStyle name="Normal 12 10 7 3" xfId="45058" xr:uid="{00000000-0005-0000-0000-0000FE0E0000}"/>
    <cellStyle name="Normal 12 10 7 4" xfId="28958" xr:uid="{00000000-0005-0000-0000-0000FF0E0000}"/>
    <cellStyle name="Normal 12 10 7 5" xfId="19389" xr:uid="{00000000-0005-0000-0000-0000000F0000}"/>
    <cellStyle name="Normal 12 10 8" xfId="9820" xr:uid="{00000000-0005-0000-0000-0000010F0000}"/>
    <cellStyle name="Normal 12 10 8 2" xfId="48094" xr:uid="{00000000-0005-0000-0000-0000020F0000}"/>
    <cellStyle name="Normal 12 10 8 3" xfId="31994" xr:uid="{00000000-0005-0000-0000-0000030F0000}"/>
    <cellStyle name="Normal 12 10 8 4" xfId="22425" xr:uid="{00000000-0005-0000-0000-0000040F0000}"/>
    <cellStyle name="Normal 12 10 9" xfId="3288" xr:uid="{00000000-0005-0000-0000-0000050F0000}"/>
    <cellStyle name="Normal 12 10 9 2" xfId="51130" xr:uid="{00000000-0005-0000-0000-0000060F0000}"/>
    <cellStyle name="Normal 12 10 9 3" xfId="35030" xr:uid="{00000000-0005-0000-0000-0000070F0000}"/>
    <cellStyle name="Normal 12 10 9 4" xfId="15894" xr:uid="{00000000-0005-0000-0000-0000080F0000}"/>
    <cellStyle name="Normal 12 11" xfId="423" xr:uid="{00000000-0005-0000-0000-0000090F0000}"/>
    <cellStyle name="Normal 12 11 10" xfId="41410" xr:uid="{00000000-0005-0000-0000-00000A0F0000}"/>
    <cellStyle name="Normal 12 11 11" xfId="25310" xr:uid="{00000000-0005-0000-0000-00000B0F0000}"/>
    <cellStyle name="Normal 12 11 12" xfId="12705" xr:uid="{00000000-0005-0000-0000-00000C0F0000}"/>
    <cellStyle name="Normal 12 11 2" xfId="780" xr:uid="{00000000-0005-0000-0000-00000D0F0000}"/>
    <cellStyle name="Normal 12 11 2 10" xfId="13388" xr:uid="{00000000-0005-0000-0000-00000E0F0000}"/>
    <cellStyle name="Normal 12 11 2 2" xfId="2808" xr:uid="{00000000-0005-0000-0000-00000F0F0000}"/>
    <cellStyle name="Normal 12 11 2 2 2" xfId="9340" xr:uid="{00000000-0005-0000-0000-0000100F0000}"/>
    <cellStyle name="Normal 12 11 2 2 2 2" xfId="41081" xr:uid="{00000000-0005-0000-0000-0000110F0000}"/>
    <cellStyle name="Normal 12 11 2 2 2 2 2" xfId="57181" xr:uid="{00000000-0005-0000-0000-0000120F0000}"/>
    <cellStyle name="Normal 12 11 2 2 2 3" xfId="47614" xr:uid="{00000000-0005-0000-0000-0000130F0000}"/>
    <cellStyle name="Normal 12 11 2 2 2 4" xfId="31514" xr:uid="{00000000-0005-0000-0000-0000140F0000}"/>
    <cellStyle name="Normal 12 11 2 2 2 5" xfId="21945" xr:uid="{00000000-0005-0000-0000-0000150F0000}"/>
    <cellStyle name="Normal 12 11 2 2 3" xfId="12376" xr:uid="{00000000-0005-0000-0000-0000160F0000}"/>
    <cellStyle name="Normal 12 11 2 2 3 2" xfId="50650" xr:uid="{00000000-0005-0000-0000-0000170F0000}"/>
    <cellStyle name="Normal 12 11 2 2 3 3" xfId="34550" xr:uid="{00000000-0005-0000-0000-0000180F0000}"/>
    <cellStyle name="Normal 12 11 2 2 3 4" xfId="24981" xr:uid="{00000000-0005-0000-0000-0000190F0000}"/>
    <cellStyle name="Normal 12 11 2 2 4" xfId="6304" xr:uid="{00000000-0005-0000-0000-00001A0F0000}"/>
    <cellStyle name="Normal 12 11 2 2 4 2" xfId="54145" xr:uid="{00000000-0005-0000-0000-00001B0F0000}"/>
    <cellStyle name="Normal 12 11 2 2 4 3" xfId="38045" xr:uid="{00000000-0005-0000-0000-00001C0F0000}"/>
    <cellStyle name="Normal 12 11 2 2 4 4" xfId="18909" xr:uid="{00000000-0005-0000-0000-00001D0F0000}"/>
    <cellStyle name="Normal 12 11 2 2 5" xfId="44578" xr:uid="{00000000-0005-0000-0000-00001E0F0000}"/>
    <cellStyle name="Normal 12 11 2 2 6" xfId="28478" xr:uid="{00000000-0005-0000-0000-00001F0F0000}"/>
    <cellStyle name="Normal 12 11 2 2 7" xfId="15414" xr:uid="{00000000-0005-0000-0000-0000200F0000}"/>
    <cellStyle name="Normal 12 11 2 3" xfId="1790" xr:uid="{00000000-0005-0000-0000-0000210F0000}"/>
    <cellStyle name="Normal 12 11 2 3 2" xfId="8324" xr:uid="{00000000-0005-0000-0000-0000220F0000}"/>
    <cellStyle name="Normal 12 11 2 3 2 2" xfId="40065" xr:uid="{00000000-0005-0000-0000-0000230F0000}"/>
    <cellStyle name="Normal 12 11 2 3 2 2 2" xfId="56165" xr:uid="{00000000-0005-0000-0000-0000240F0000}"/>
    <cellStyle name="Normal 12 11 2 3 2 3" xfId="46598" xr:uid="{00000000-0005-0000-0000-0000250F0000}"/>
    <cellStyle name="Normal 12 11 2 3 2 4" xfId="30498" xr:uid="{00000000-0005-0000-0000-0000260F0000}"/>
    <cellStyle name="Normal 12 11 2 3 2 5" xfId="20929" xr:uid="{00000000-0005-0000-0000-0000270F0000}"/>
    <cellStyle name="Normal 12 11 2 3 3" xfId="11360" xr:uid="{00000000-0005-0000-0000-0000280F0000}"/>
    <cellStyle name="Normal 12 11 2 3 3 2" xfId="49634" xr:uid="{00000000-0005-0000-0000-0000290F0000}"/>
    <cellStyle name="Normal 12 11 2 3 3 3" xfId="33534" xr:uid="{00000000-0005-0000-0000-00002A0F0000}"/>
    <cellStyle name="Normal 12 11 2 3 3 4" xfId="23965" xr:uid="{00000000-0005-0000-0000-00002B0F0000}"/>
    <cellStyle name="Normal 12 11 2 3 4" xfId="5288" xr:uid="{00000000-0005-0000-0000-00002C0F0000}"/>
    <cellStyle name="Normal 12 11 2 3 4 2" xfId="53129" xr:uid="{00000000-0005-0000-0000-00002D0F0000}"/>
    <cellStyle name="Normal 12 11 2 3 4 3" xfId="37029" xr:uid="{00000000-0005-0000-0000-00002E0F0000}"/>
    <cellStyle name="Normal 12 11 2 3 4 4" xfId="17893" xr:uid="{00000000-0005-0000-0000-00002F0F0000}"/>
    <cellStyle name="Normal 12 11 2 3 5" xfId="43562" xr:uid="{00000000-0005-0000-0000-0000300F0000}"/>
    <cellStyle name="Normal 12 11 2 3 6" xfId="27462" xr:uid="{00000000-0005-0000-0000-0000310F0000}"/>
    <cellStyle name="Normal 12 11 2 3 7" xfId="14398" xr:uid="{00000000-0005-0000-0000-0000320F0000}"/>
    <cellStyle name="Normal 12 11 2 4" xfId="4278" xr:uid="{00000000-0005-0000-0000-0000330F0000}"/>
    <cellStyle name="Normal 12 11 2 4 2" xfId="36019" xr:uid="{00000000-0005-0000-0000-0000340F0000}"/>
    <cellStyle name="Normal 12 11 2 4 2 2" xfId="52119" xr:uid="{00000000-0005-0000-0000-0000350F0000}"/>
    <cellStyle name="Normal 12 11 2 4 3" xfId="42552" xr:uid="{00000000-0005-0000-0000-0000360F0000}"/>
    <cellStyle name="Normal 12 11 2 4 4" xfId="26452" xr:uid="{00000000-0005-0000-0000-0000370F0000}"/>
    <cellStyle name="Normal 12 11 2 4 5" xfId="16883" xr:uid="{00000000-0005-0000-0000-0000380F0000}"/>
    <cellStyle name="Normal 12 11 2 5" xfId="7314" xr:uid="{00000000-0005-0000-0000-0000390F0000}"/>
    <cellStyle name="Normal 12 11 2 5 2" xfId="39055" xr:uid="{00000000-0005-0000-0000-00003A0F0000}"/>
    <cellStyle name="Normal 12 11 2 5 2 2" xfId="55155" xr:uid="{00000000-0005-0000-0000-00003B0F0000}"/>
    <cellStyle name="Normal 12 11 2 5 3" xfId="45588" xr:uid="{00000000-0005-0000-0000-00003C0F0000}"/>
    <cellStyle name="Normal 12 11 2 5 4" xfId="29488" xr:uid="{00000000-0005-0000-0000-00003D0F0000}"/>
    <cellStyle name="Normal 12 11 2 5 5" xfId="19919" xr:uid="{00000000-0005-0000-0000-00003E0F0000}"/>
    <cellStyle name="Normal 12 11 2 6" xfId="10350" xr:uid="{00000000-0005-0000-0000-00003F0F0000}"/>
    <cellStyle name="Normal 12 11 2 6 2" xfId="48624" xr:uid="{00000000-0005-0000-0000-0000400F0000}"/>
    <cellStyle name="Normal 12 11 2 6 3" xfId="32524" xr:uid="{00000000-0005-0000-0000-0000410F0000}"/>
    <cellStyle name="Normal 12 11 2 6 4" xfId="22955" xr:uid="{00000000-0005-0000-0000-0000420F0000}"/>
    <cellStyle name="Normal 12 11 2 7" xfId="3373" xr:uid="{00000000-0005-0000-0000-0000430F0000}"/>
    <cellStyle name="Normal 12 11 2 7 2" xfId="51214" xr:uid="{00000000-0005-0000-0000-0000440F0000}"/>
    <cellStyle name="Normal 12 11 2 7 3" xfId="35114" xr:uid="{00000000-0005-0000-0000-0000450F0000}"/>
    <cellStyle name="Normal 12 11 2 7 4" xfId="15978" xr:uid="{00000000-0005-0000-0000-0000460F0000}"/>
    <cellStyle name="Normal 12 11 2 8" xfId="41647" xr:uid="{00000000-0005-0000-0000-0000470F0000}"/>
    <cellStyle name="Normal 12 11 2 9" xfId="25547" xr:uid="{00000000-0005-0000-0000-0000480F0000}"/>
    <cellStyle name="Normal 12 11 3" xfId="638" xr:uid="{00000000-0005-0000-0000-0000490F0000}"/>
    <cellStyle name="Normal 12 11 3 2" xfId="2666" xr:uid="{00000000-0005-0000-0000-00004A0F0000}"/>
    <cellStyle name="Normal 12 11 3 2 2" xfId="9198" xr:uid="{00000000-0005-0000-0000-00004B0F0000}"/>
    <cellStyle name="Normal 12 11 3 2 2 2" xfId="40939" xr:uid="{00000000-0005-0000-0000-00004C0F0000}"/>
    <cellStyle name="Normal 12 11 3 2 2 2 2" xfId="57039" xr:uid="{00000000-0005-0000-0000-00004D0F0000}"/>
    <cellStyle name="Normal 12 11 3 2 2 3" xfId="47472" xr:uid="{00000000-0005-0000-0000-00004E0F0000}"/>
    <cellStyle name="Normal 12 11 3 2 2 4" xfId="31372" xr:uid="{00000000-0005-0000-0000-00004F0F0000}"/>
    <cellStyle name="Normal 12 11 3 2 2 5" xfId="21803" xr:uid="{00000000-0005-0000-0000-0000500F0000}"/>
    <cellStyle name="Normal 12 11 3 2 3" xfId="12234" xr:uid="{00000000-0005-0000-0000-0000510F0000}"/>
    <cellStyle name="Normal 12 11 3 2 3 2" xfId="50508" xr:uid="{00000000-0005-0000-0000-0000520F0000}"/>
    <cellStyle name="Normal 12 11 3 2 3 3" xfId="34408" xr:uid="{00000000-0005-0000-0000-0000530F0000}"/>
    <cellStyle name="Normal 12 11 3 2 3 4" xfId="24839" xr:uid="{00000000-0005-0000-0000-0000540F0000}"/>
    <cellStyle name="Normal 12 11 3 2 4" xfId="6162" xr:uid="{00000000-0005-0000-0000-0000550F0000}"/>
    <cellStyle name="Normal 12 11 3 2 4 2" xfId="54003" xr:uid="{00000000-0005-0000-0000-0000560F0000}"/>
    <cellStyle name="Normal 12 11 3 2 4 3" xfId="37903" xr:uid="{00000000-0005-0000-0000-0000570F0000}"/>
    <cellStyle name="Normal 12 11 3 2 4 4" xfId="18767" xr:uid="{00000000-0005-0000-0000-0000580F0000}"/>
    <cellStyle name="Normal 12 11 3 2 5" xfId="44436" xr:uid="{00000000-0005-0000-0000-0000590F0000}"/>
    <cellStyle name="Normal 12 11 3 2 6" xfId="28336" xr:uid="{00000000-0005-0000-0000-00005A0F0000}"/>
    <cellStyle name="Normal 12 11 3 2 7" xfId="15272" xr:uid="{00000000-0005-0000-0000-00005B0F0000}"/>
    <cellStyle name="Normal 12 11 3 3" xfId="1648" xr:uid="{00000000-0005-0000-0000-00005C0F0000}"/>
    <cellStyle name="Normal 12 11 3 3 2" xfId="8182" xr:uid="{00000000-0005-0000-0000-00005D0F0000}"/>
    <cellStyle name="Normal 12 11 3 3 2 2" xfId="39923" xr:uid="{00000000-0005-0000-0000-00005E0F0000}"/>
    <cellStyle name="Normal 12 11 3 3 2 2 2" xfId="56023" xr:uid="{00000000-0005-0000-0000-00005F0F0000}"/>
    <cellStyle name="Normal 12 11 3 3 2 3" xfId="46456" xr:uid="{00000000-0005-0000-0000-0000600F0000}"/>
    <cellStyle name="Normal 12 11 3 3 2 4" xfId="30356" xr:uid="{00000000-0005-0000-0000-0000610F0000}"/>
    <cellStyle name="Normal 12 11 3 3 2 5" xfId="20787" xr:uid="{00000000-0005-0000-0000-0000620F0000}"/>
    <cellStyle name="Normal 12 11 3 3 3" xfId="11218" xr:uid="{00000000-0005-0000-0000-0000630F0000}"/>
    <cellStyle name="Normal 12 11 3 3 3 2" xfId="49492" xr:uid="{00000000-0005-0000-0000-0000640F0000}"/>
    <cellStyle name="Normal 12 11 3 3 3 3" xfId="33392" xr:uid="{00000000-0005-0000-0000-0000650F0000}"/>
    <cellStyle name="Normal 12 11 3 3 3 4" xfId="23823" xr:uid="{00000000-0005-0000-0000-0000660F0000}"/>
    <cellStyle name="Normal 12 11 3 3 4" xfId="5146" xr:uid="{00000000-0005-0000-0000-0000670F0000}"/>
    <cellStyle name="Normal 12 11 3 3 4 2" xfId="52987" xr:uid="{00000000-0005-0000-0000-0000680F0000}"/>
    <cellStyle name="Normal 12 11 3 3 4 3" xfId="36887" xr:uid="{00000000-0005-0000-0000-0000690F0000}"/>
    <cellStyle name="Normal 12 11 3 3 4 4" xfId="17751" xr:uid="{00000000-0005-0000-0000-00006A0F0000}"/>
    <cellStyle name="Normal 12 11 3 3 5" xfId="43420" xr:uid="{00000000-0005-0000-0000-00006B0F0000}"/>
    <cellStyle name="Normal 12 11 3 3 6" xfId="27320" xr:uid="{00000000-0005-0000-0000-00006C0F0000}"/>
    <cellStyle name="Normal 12 11 3 3 7" xfId="14256" xr:uid="{00000000-0005-0000-0000-00006D0F0000}"/>
    <cellStyle name="Normal 12 11 3 4" xfId="7172" xr:uid="{00000000-0005-0000-0000-00006E0F0000}"/>
    <cellStyle name="Normal 12 11 3 4 2" xfId="38913" xr:uid="{00000000-0005-0000-0000-00006F0F0000}"/>
    <cellStyle name="Normal 12 11 3 4 2 2" xfId="55013" xr:uid="{00000000-0005-0000-0000-0000700F0000}"/>
    <cellStyle name="Normal 12 11 3 4 3" xfId="45446" xr:uid="{00000000-0005-0000-0000-0000710F0000}"/>
    <cellStyle name="Normal 12 11 3 4 4" xfId="29346" xr:uid="{00000000-0005-0000-0000-0000720F0000}"/>
    <cellStyle name="Normal 12 11 3 4 5" xfId="19777" xr:uid="{00000000-0005-0000-0000-0000730F0000}"/>
    <cellStyle name="Normal 12 11 3 5" xfId="10208" xr:uid="{00000000-0005-0000-0000-0000740F0000}"/>
    <cellStyle name="Normal 12 11 3 5 2" xfId="48482" xr:uid="{00000000-0005-0000-0000-0000750F0000}"/>
    <cellStyle name="Normal 12 11 3 5 3" xfId="32382" xr:uid="{00000000-0005-0000-0000-0000760F0000}"/>
    <cellStyle name="Normal 12 11 3 5 4" xfId="22813" xr:uid="{00000000-0005-0000-0000-0000770F0000}"/>
    <cellStyle name="Normal 12 11 3 6" xfId="4136" xr:uid="{00000000-0005-0000-0000-0000780F0000}"/>
    <cellStyle name="Normal 12 11 3 6 2" xfId="51977" xr:uid="{00000000-0005-0000-0000-0000790F0000}"/>
    <cellStyle name="Normal 12 11 3 6 3" xfId="35877" xr:uid="{00000000-0005-0000-0000-00007A0F0000}"/>
    <cellStyle name="Normal 12 11 3 6 4" xfId="16741" xr:uid="{00000000-0005-0000-0000-00007B0F0000}"/>
    <cellStyle name="Normal 12 11 3 7" xfId="42410" xr:uid="{00000000-0005-0000-0000-00007C0F0000}"/>
    <cellStyle name="Normal 12 11 3 8" xfId="26310" xr:uid="{00000000-0005-0000-0000-00007D0F0000}"/>
    <cellStyle name="Normal 12 11 3 9" xfId="13246" xr:uid="{00000000-0005-0000-0000-00007E0F0000}"/>
    <cellStyle name="Normal 12 11 4" xfId="2438" xr:uid="{00000000-0005-0000-0000-00007F0F0000}"/>
    <cellStyle name="Normal 12 11 4 2" xfId="8970" xr:uid="{00000000-0005-0000-0000-0000800F0000}"/>
    <cellStyle name="Normal 12 11 4 2 2" xfId="40711" xr:uid="{00000000-0005-0000-0000-0000810F0000}"/>
    <cellStyle name="Normal 12 11 4 2 2 2" xfId="56811" xr:uid="{00000000-0005-0000-0000-0000820F0000}"/>
    <cellStyle name="Normal 12 11 4 2 3" xfId="47244" xr:uid="{00000000-0005-0000-0000-0000830F0000}"/>
    <cellStyle name="Normal 12 11 4 2 4" xfId="31144" xr:uid="{00000000-0005-0000-0000-0000840F0000}"/>
    <cellStyle name="Normal 12 11 4 2 5" xfId="21575" xr:uid="{00000000-0005-0000-0000-0000850F0000}"/>
    <cellStyle name="Normal 12 11 4 3" xfId="12006" xr:uid="{00000000-0005-0000-0000-0000860F0000}"/>
    <cellStyle name="Normal 12 11 4 3 2" xfId="50280" xr:uid="{00000000-0005-0000-0000-0000870F0000}"/>
    <cellStyle name="Normal 12 11 4 3 3" xfId="34180" xr:uid="{00000000-0005-0000-0000-0000880F0000}"/>
    <cellStyle name="Normal 12 11 4 3 4" xfId="24611" xr:uid="{00000000-0005-0000-0000-0000890F0000}"/>
    <cellStyle name="Normal 12 11 4 4" xfId="5934" xr:uid="{00000000-0005-0000-0000-00008A0F0000}"/>
    <cellStyle name="Normal 12 11 4 4 2" xfId="53775" xr:uid="{00000000-0005-0000-0000-00008B0F0000}"/>
    <cellStyle name="Normal 12 11 4 4 3" xfId="37675" xr:uid="{00000000-0005-0000-0000-00008C0F0000}"/>
    <cellStyle name="Normal 12 11 4 4 4" xfId="18539" xr:uid="{00000000-0005-0000-0000-00008D0F0000}"/>
    <cellStyle name="Normal 12 11 4 5" xfId="44208" xr:uid="{00000000-0005-0000-0000-00008E0F0000}"/>
    <cellStyle name="Normal 12 11 4 6" xfId="28108" xr:uid="{00000000-0005-0000-0000-00008F0F0000}"/>
    <cellStyle name="Normal 12 11 4 7" xfId="15044" xr:uid="{00000000-0005-0000-0000-0000900F0000}"/>
    <cellStyle name="Normal 12 11 5" xfId="1107" xr:uid="{00000000-0005-0000-0000-0000910F0000}"/>
    <cellStyle name="Normal 12 11 5 2" xfId="7641" xr:uid="{00000000-0005-0000-0000-0000920F0000}"/>
    <cellStyle name="Normal 12 11 5 2 2" xfId="39382" xr:uid="{00000000-0005-0000-0000-0000930F0000}"/>
    <cellStyle name="Normal 12 11 5 2 2 2" xfId="55482" xr:uid="{00000000-0005-0000-0000-0000940F0000}"/>
    <cellStyle name="Normal 12 11 5 2 3" xfId="45915" xr:uid="{00000000-0005-0000-0000-0000950F0000}"/>
    <cellStyle name="Normal 12 11 5 2 4" xfId="29815" xr:uid="{00000000-0005-0000-0000-0000960F0000}"/>
    <cellStyle name="Normal 12 11 5 2 5" xfId="20246" xr:uid="{00000000-0005-0000-0000-0000970F0000}"/>
    <cellStyle name="Normal 12 11 5 3" xfId="10677" xr:uid="{00000000-0005-0000-0000-0000980F0000}"/>
    <cellStyle name="Normal 12 11 5 3 2" xfId="48951" xr:uid="{00000000-0005-0000-0000-0000990F0000}"/>
    <cellStyle name="Normal 12 11 5 3 3" xfId="32851" xr:uid="{00000000-0005-0000-0000-00009A0F0000}"/>
    <cellStyle name="Normal 12 11 5 3 4" xfId="23282" xr:uid="{00000000-0005-0000-0000-00009B0F0000}"/>
    <cellStyle name="Normal 12 11 5 4" xfId="4605" xr:uid="{00000000-0005-0000-0000-00009C0F0000}"/>
    <cellStyle name="Normal 12 11 5 4 2" xfId="52446" xr:uid="{00000000-0005-0000-0000-00009D0F0000}"/>
    <cellStyle name="Normal 12 11 5 4 3" xfId="36346" xr:uid="{00000000-0005-0000-0000-00009E0F0000}"/>
    <cellStyle name="Normal 12 11 5 4 4" xfId="17210" xr:uid="{00000000-0005-0000-0000-00009F0F0000}"/>
    <cellStyle name="Normal 12 11 5 5" xfId="42879" xr:uid="{00000000-0005-0000-0000-0000A00F0000}"/>
    <cellStyle name="Normal 12 11 5 6" xfId="26779" xr:uid="{00000000-0005-0000-0000-0000A10F0000}"/>
    <cellStyle name="Normal 12 11 5 7" xfId="13715" xr:uid="{00000000-0005-0000-0000-0000A20F0000}"/>
    <cellStyle name="Normal 12 11 6" xfId="3595" xr:uid="{00000000-0005-0000-0000-0000A30F0000}"/>
    <cellStyle name="Normal 12 11 6 2" xfId="35336" xr:uid="{00000000-0005-0000-0000-0000A40F0000}"/>
    <cellStyle name="Normal 12 11 6 2 2" xfId="51436" xr:uid="{00000000-0005-0000-0000-0000A50F0000}"/>
    <cellStyle name="Normal 12 11 6 3" xfId="41869" xr:uid="{00000000-0005-0000-0000-0000A60F0000}"/>
    <cellStyle name="Normal 12 11 6 4" xfId="25769" xr:uid="{00000000-0005-0000-0000-0000A70F0000}"/>
    <cellStyle name="Normal 12 11 6 5" xfId="16200" xr:uid="{00000000-0005-0000-0000-0000A80F0000}"/>
    <cellStyle name="Normal 12 11 7" xfId="6631" xr:uid="{00000000-0005-0000-0000-0000A90F0000}"/>
    <cellStyle name="Normal 12 11 7 2" xfId="38372" xr:uid="{00000000-0005-0000-0000-0000AA0F0000}"/>
    <cellStyle name="Normal 12 11 7 2 2" xfId="54472" xr:uid="{00000000-0005-0000-0000-0000AB0F0000}"/>
    <cellStyle name="Normal 12 11 7 3" xfId="44905" xr:uid="{00000000-0005-0000-0000-0000AC0F0000}"/>
    <cellStyle name="Normal 12 11 7 4" xfId="28805" xr:uid="{00000000-0005-0000-0000-0000AD0F0000}"/>
    <cellStyle name="Normal 12 11 7 5" xfId="19236" xr:uid="{00000000-0005-0000-0000-0000AE0F0000}"/>
    <cellStyle name="Normal 12 11 8" xfId="9667" xr:uid="{00000000-0005-0000-0000-0000AF0F0000}"/>
    <cellStyle name="Normal 12 11 8 2" xfId="47941" xr:uid="{00000000-0005-0000-0000-0000B00F0000}"/>
    <cellStyle name="Normal 12 11 8 3" xfId="31841" xr:uid="{00000000-0005-0000-0000-0000B10F0000}"/>
    <cellStyle name="Normal 12 11 8 4" xfId="22272" xr:uid="{00000000-0005-0000-0000-0000B20F0000}"/>
    <cellStyle name="Normal 12 11 9" xfId="3135" xr:uid="{00000000-0005-0000-0000-0000B30F0000}"/>
    <cellStyle name="Normal 12 11 9 2" xfId="50977" xr:uid="{00000000-0005-0000-0000-0000B40F0000}"/>
    <cellStyle name="Normal 12 11 9 3" xfId="34877" xr:uid="{00000000-0005-0000-0000-0000B50F0000}"/>
    <cellStyle name="Normal 12 11 9 4" xfId="15741" xr:uid="{00000000-0005-0000-0000-0000B60F0000}"/>
    <cellStyle name="Normal 12 12" xfId="403" xr:uid="{00000000-0005-0000-0000-0000B70F0000}"/>
    <cellStyle name="Normal 12 12 10" xfId="41393" xr:uid="{00000000-0005-0000-0000-0000B80F0000}"/>
    <cellStyle name="Normal 12 12 11" xfId="25293" xr:uid="{00000000-0005-0000-0000-0000B90F0000}"/>
    <cellStyle name="Normal 12 12 12" xfId="12688" xr:uid="{00000000-0005-0000-0000-0000BA0F0000}"/>
    <cellStyle name="Normal 12 12 2" xfId="763" xr:uid="{00000000-0005-0000-0000-0000BB0F0000}"/>
    <cellStyle name="Normal 12 12 2 10" xfId="13371" xr:uid="{00000000-0005-0000-0000-0000BC0F0000}"/>
    <cellStyle name="Normal 12 12 2 2" xfId="2791" xr:uid="{00000000-0005-0000-0000-0000BD0F0000}"/>
    <cellStyle name="Normal 12 12 2 2 2" xfId="9323" xr:uid="{00000000-0005-0000-0000-0000BE0F0000}"/>
    <cellStyle name="Normal 12 12 2 2 2 2" xfId="41064" xr:uid="{00000000-0005-0000-0000-0000BF0F0000}"/>
    <cellStyle name="Normal 12 12 2 2 2 2 2" xfId="57164" xr:uid="{00000000-0005-0000-0000-0000C00F0000}"/>
    <cellStyle name="Normal 12 12 2 2 2 3" xfId="47597" xr:uid="{00000000-0005-0000-0000-0000C10F0000}"/>
    <cellStyle name="Normal 12 12 2 2 2 4" xfId="31497" xr:uid="{00000000-0005-0000-0000-0000C20F0000}"/>
    <cellStyle name="Normal 12 12 2 2 2 5" xfId="21928" xr:uid="{00000000-0005-0000-0000-0000C30F0000}"/>
    <cellStyle name="Normal 12 12 2 2 3" xfId="12359" xr:uid="{00000000-0005-0000-0000-0000C40F0000}"/>
    <cellStyle name="Normal 12 12 2 2 3 2" xfId="50633" xr:uid="{00000000-0005-0000-0000-0000C50F0000}"/>
    <cellStyle name="Normal 12 12 2 2 3 3" xfId="34533" xr:uid="{00000000-0005-0000-0000-0000C60F0000}"/>
    <cellStyle name="Normal 12 12 2 2 3 4" xfId="24964" xr:uid="{00000000-0005-0000-0000-0000C70F0000}"/>
    <cellStyle name="Normal 12 12 2 2 4" xfId="6287" xr:uid="{00000000-0005-0000-0000-0000C80F0000}"/>
    <cellStyle name="Normal 12 12 2 2 4 2" xfId="54128" xr:uid="{00000000-0005-0000-0000-0000C90F0000}"/>
    <cellStyle name="Normal 12 12 2 2 4 3" xfId="38028" xr:uid="{00000000-0005-0000-0000-0000CA0F0000}"/>
    <cellStyle name="Normal 12 12 2 2 4 4" xfId="18892" xr:uid="{00000000-0005-0000-0000-0000CB0F0000}"/>
    <cellStyle name="Normal 12 12 2 2 5" xfId="44561" xr:uid="{00000000-0005-0000-0000-0000CC0F0000}"/>
    <cellStyle name="Normal 12 12 2 2 6" xfId="28461" xr:uid="{00000000-0005-0000-0000-0000CD0F0000}"/>
    <cellStyle name="Normal 12 12 2 2 7" xfId="15397" xr:uid="{00000000-0005-0000-0000-0000CE0F0000}"/>
    <cellStyle name="Normal 12 12 2 3" xfId="1773" xr:uid="{00000000-0005-0000-0000-0000CF0F0000}"/>
    <cellStyle name="Normal 12 12 2 3 2" xfId="8307" xr:uid="{00000000-0005-0000-0000-0000D00F0000}"/>
    <cellStyle name="Normal 12 12 2 3 2 2" xfId="40048" xr:uid="{00000000-0005-0000-0000-0000D10F0000}"/>
    <cellStyle name="Normal 12 12 2 3 2 2 2" xfId="56148" xr:uid="{00000000-0005-0000-0000-0000D20F0000}"/>
    <cellStyle name="Normal 12 12 2 3 2 3" xfId="46581" xr:uid="{00000000-0005-0000-0000-0000D30F0000}"/>
    <cellStyle name="Normal 12 12 2 3 2 4" xfId="30481" xr:uid="{00000000-0005-0000-0000-0000D40F0000}"/>
    <cellStyle name="Normal 12 12 2 3 2 5" xfId="20912" xr:uid="{00000000-0005-0000-0000-0000D50F0000}"/>
    <cellStyle name="Normal 12 12 2 3 3" xfId="11343" xr:uid="{00000000-0005-0000-0000-0000D60F0000}"/>
    <cellStyle name="Normal 12 12 2 3 3 2" xfId="49617" xr:uid="{00000000-0005-0000-0000-0000D70F0000}"/>
    <cellStyle name="Normal 12 12 2 3 3 3" xfId="33517" xr:uid="{00000000-0005-0000-0000-0000D80F0000}"/>
    <cellStyle name="Normal 12 12 2 3 3 4" xfId="23948" xr:uid="{00000000-0005-0000-0000-0000D90F0000}"/>
    <cellStyle name="Normal 12 12 2 3 4" xfId="5271" xr:uid="{00000000-0005-0000-0000-0000DA0F0000}"/>
    <cellStyle name="Normal 12 12 2 3 4 2" xfId="53112" xr:uid="{00000000-0005-0000-0000-0000DB0F0000}"/>
    <cellStyle name="Normal 12 12 2 3 4 3" xfId="37012" xr:uid="{00000000-0005-0000-0000-0000DC0F0000}"/>
    <cellStyle name="Normal 12 12 2 3 4 4" xfId="17876" xr:uid="{00000000-0005-0000-0000-0000DD0F0000}"/>
    <cellStyle name="Normal 12 12 2 3 5" xfId="43545" xr:uid="{00000000-0005-0000-0000-0000DE0F0000}"/>
    <cellStyle name="Normal 12 12 2 3 6" xfId="27445" xr:uid="{00000000-0005-0000-0000-0000DF0F0000}"/>
    <cellStyle name="Normal 12 12 2 3 7" xfId="14381" xr:uid="{00000000-0005-0000-0000-0000E00F0000}"/>
    <cellStyle name="Normal 12 12 2 4" xfId="4261" xr:uid="{00000000-0005-0000-0000-0000E10F0000}"/>
    <cellStyle name="Normal 12 12 2 4 2" xfId="36002" xr:uid="{00000000-0005-0000-0000-0000E20F0000}"/>
    <cellStyle name="Normal 12 12 2 4 2 2" xfId="52102" xr:uid="{00000000-0005-0000-0000-0000E30F0000}"/>
    <cellStyle name="Normal 12 12 2 4 3" xfId="42535" xr:uid="{00000000-0005-0000-0000-0000E40F0000}"/>
    <cellStyle name="Normal 12 12 2 4 4" xfId="26435" xr:uid="{00000000-0005-0000-0000-0000E50F0000}"/>
    <cellStyle name="Normal 12 12 2 4 5" xfId="16866" xr:uid="{00000000-0005-0000-0000-0000E60F0000}"/>
    <cellStyle name="Normal 12 12 2 5" xfId="7297" xr:uid="{00000000-0005-0000-0000-0000E70F0000}"/>
    <cellStyle name="Normal 12 12 2 5 2" xfId="39038" xr:uid="{00000000-0005-0000-0000-0000E80F0000}"/>
    <cellStyle name="Normal 12 12 2 5 2 2" xfId="55138" xr:uid="{00000000-0005-0000-0000-0000E90F0000}"/>
    <cellStyle name="Normal 12 12 2 5 3" xfId="45571" xr:uid="{00000000-0005-0000-0000-0000EA0F0000}"/>
    <cellStyle name="Normal 12 12 2 5 4" xfId="29471" xr:uid="{00000000-0005-0000-0000-0000EB0F0000}"/>
    <cellStyle name="Normal 12 12 2 5 5" xfId="19902" xr:uid="{00000000-0005-0000-0000-0000EC0F0000}"/>
    <cellStyle name="Normal 12 12 2 6" xfId="10333" xr:uid="{00000000-0005-0000-0000-0000ED0F0000}"/>
    <cellStyle name="Normal 12 12 2 6 2" xfId="48607" xr:uid="{00000000-0005-0000-0000-0000EE0F0000}"/>
    <cellStyle name="Normal 12 12 2 6 3" xfId="32507" xr:uid="{00000000-0005-0000-0000-0000EF0F0000}"/>
    <cellStyle name="Normal 12 12 2 6 4" xfId="22938" xr:uid="{00000000-0005-0000-0000-0000F00F0000}"/>
    <cellStyle name="Normal 12 12 2 7" xfId="3356" xr:uid="{00000000-0005-0000-0000-0000F10F0000}"/>
    <cellStyle name="Normal 12 12 2 7 2" xfId="51197" xr:uid="{00000000-0005-0000-0000-0000F20F0000}"/>
    <cellStyle name="Normal 12 12 2 7 3" xfId="35097" xr:uid="{00000000-0005-0000-0000-0000F30F0000}"/>
    <cellStyle name="Normal 12 12 2 7 4" xfId="15961" xr:uid="{00000000-0005-0000-0000-0000F40F0000}"/>
    <cellStyle name="Normal 12 12 2 8" xfId="41630" xr:uid="{00000000-0005-0000-0000-0000F50F0000}"/>
    <cellStyle name="Normal 12 12 2 9" xfId="25530" xr:uid="{00000000-0005-0000-0000-0000F60F0000}"/>
    <cellStyle name="Normal 12 12 3" xfId="621" xr:uid="{00000000-0005-0000-0000-0000F70F0000}"/>
    <cellStyle name="Normal 12 12 3 2" xfId="2649" xr:uid="{00000000-0005-0000-0000-0000F80F0000}"/>
    <cellStyle name="Normal 12 12 3 2 2" xfId="9181" xr:uid="{00000000-0005-0000-0000-0000F90F0000}"/>
    <cellStyle name="Normal 12 12 3 2 2 2" xfId="40922" xr:uid="{00000000-0005-0000-0000-0000FA0F0000}"/>
    <cellStyle name="Normal 12 12 3 2 2 2 2" xfId="57022" xr:uid="{00000000-0005-0000-0000-0000FB0F0000}"/>
    <cellStyle name="Normal 12 12 3 2 2 3" xfId="47455" xr:uid="{00000000-0005-0000-0000-0000FC0F0000}"/>
    <cellStyle name="Normal 12 12 3 2 2 4" xfId="31355" xr:uid="{00000000-0005-0000-0000-0000FD0F0000}"/>
    <cellStyle name="Normal 12 12 3 2 2 5" xfId="21786" xr:uid="{00000000-0005-0000-0000-0000FE0F0000}"/>
    <cellStyle name="Normal 12 12 3 2 3" xfId="12217" xr:uid="{00000000-0005-0000-0000-0000FF0F0000}"/>
    <cellStyle name="Normal 12 12 3 2 3 2" xfId="50491" xr:uid="{00000000-0005-0000-0000-000000100000}"/>
    <cellStyle name="Normal 12 12 3 2 3 3" xfId="34391" xr:uid="{00000000-0005-0000-0000-000001100000}"/>
    <cellStyle name="Normal 12 12 3 2 3 4" xfId="24822" xr:uid="{00000000-0005-0000-0000-000002100000}"/>
    <cellStyle name="Normal 12 12 3 2 4" xfId="6145" xr:uid="{00000000-0005-0000-0000-000003100000}"/>
    <cellStyle name="Normal 12 12 3 2 4 2" xfId="53986" xr:uid="{00000000-0005-0000-0000-000004100000}"/>
    <cellStyle name="Normal 12 12 3 2 4 3" xfId="37886" xr:uid="{00000000-0005-0000-0000-000005100000}"/>
    <cellStyle name="Normal 12 12 3 2 4 4" xfId="18750" xr:uid="{00000000-0005-0000-0000-000006100000}"/>
    <cellStyle name="Normal 12 12 3 2 5" xfId="44419" xr:uid="{00000000-0005-0000-0000-000007100000}"/>
    <cellStyle name="Normal 12 12 3 2 6" xfId="28319" xr:uid="{00000000-0005-0000-0000-000008100000}"/>
    <cellStyle name="Normal 12 12 3 2 7" xfId="15255" xr:uid="{00000000-0005-0000-0000-000009100000}"/>
    <cellStyle name="Normal 12 12 3 3" xfId="1631" xr:uid="{00000000-0005-0000-0000-00000A100000}"/>
    <cellStyle name="Normal 12 12 3 3 2" xfId="8165" xr:uid="{00000000-0005-0000-0000-00000B100000}"/>
    <cellStyle name="Normal 12 12 3 3 2 2" xfId="39906" xr:uid="{00000000-0005-0000-0000-00000C100000}"/>
    <cellStyle name="Normal 12 12 3 3 2 2 2" xfId="56006" xr:uid="{00000000-0005-0000-0000-00000D100000}"/>
    <cellStyle name="Normal 12 12 3 3 2 3" xfId="46439" xr:uid="{00000000-0005-0000-0000-00000E100000}"/>
    <cellStyle name="Normal 12 12 3 3 2 4" xfId="30339" xr:uid="{00000000-0005-0000-0000-00000F100000}"/>
    <cellStyle name="Normal 12 12 3 3 2 5" xfId="20770" xr:uid="{00000000-0005-0000-0000-000010100000}"/>
    <cellStyle name="Normal 12 12 3 3 3" xfId="11201" xr:uid="{00000000-0005-0000-0000-000011100000}"/>
    <cellStyle name="Normal 12 12 3 3 3 2" xfId="49475" xr:uid="{00000000-0005-0000-0000-000012100000}"/>
    <cellStyle name="Normal 12 12 3 3 3 3" xfId="33375" xr:uid="{00000000-0005-0000-0000-000013100000}"/>
    <cellStyle name="Normal 12 12 3 3 3 4" xfId="23806" xr:uid="{00000000-0005-0000-0000-000014100000}"/>
    <cellStyle name="Normal 12 12 3 3 4" xfId="5129" xr:uid="{00000000-0005-0000-0000-000015100000}"/>
    <cellStyle name="Normal 12 12 3 3 4 2" xfId="52970" xr:uid="{00000000-0005-0000-0000-000016100000}"/>
    <cellStyle name="Normal 12 12 3 3 4 3" xfId="36870" xr:uid="{00000000-0005-0000-0000-000017100000}"/>
    <cellStyle name="Normal 12 12 3 3 4 4" xfId="17734" xr:uid="{00000000-0005-0000-0000-000018100000}"/>
    <cellStyle name="Normal 12 12 3 3 5" xfId="43403" xr:uid="{00000000-0005-0000-0000-000019100000}"/>
    <cellStyle name="Normal 12 12 3 3 6" xfId="27303" xr:uid="{00000000-0005-0000-0000-00001A100000}"/>
    <cellStyle name="Normal 12 12 3 3 7" xfId="14239" xr:uid="{00000000-0005-0000-0000-00001B100000}"/>
    <cellStyle name="Normal 12 12 3 4" xfId="7155" xr:uid="{00000000-0005-0000-0000-00001C100000}"/>
    <cellStyle name="Normal 12 12 3 4 2" xfId="38896" xr:uid="{00000000-0005-0000-0000-00001D100000}"/>
    <cellStyle name="Normal 12 12 3 4 2 2" xfId="54996" xr:uid="{00000000-0005-0000-0000-00001E100000}"/>
    <cellStyle name="Normal 12 12 3 4 3" xfId="45429" xr:uid="{00000000-0005-0000-0000-00001F100000}"/>
    <cellStyle name="Normal 12 12 3 4 4" xfId="29329" xr:uid="{00000000-0005-0000-0000-000020100000}"/>
    <cellStyle name="Normal 12 12 3 4 5" xfId="19760" xr:uid="{00000000-0005-0000-0000-000021100000}"/>
    <cellStyle name="Normal 12 12 3 5" xfId="10191" xr:uid="{00000000-0005-0000-0000-000022100000}"/>
    <cellStyle name="Normal 12 12 3 5 2" xfId="48465" xr:uid="{00000000-0005-0000-0000-000023100000}"/>
    <cellStyle name="Normal 12 12 3 5 3" xfId="32365" xr:uid="{00000000-0005-0000-0000-000024100000}"/>
    <cellStyle name="Normal 12 12 3 5 4" xfId="22796" xr:uid="{00000000-0005-0000-0000-000025100000}"/>
    <cellStyle name="Normal 12 12 3 6" xfId="4119" xr:uid="{00000000-0005-0000-0000-000026100000}"/>
    <cellStyle name="Normal 12 12 3 6 2" xfId="51960" xr:uid="{00000000-0005-0000-0000-000027100000}"/>
    <cellStyle name="Normal 12 12 3 6 3" xfId="35860" xr:uid="{00000000-0005-0000-0000-000028100000}"/>
    <cellStyle name="Normal 12 12 3 6 4" xfId="16724" xr:uid="{00000000-0005-0000-0000-000029100000}"/>
    <cellStyle name="Normal 12 12 3 7" xfId="42393" xr:uid="{00000000-0005-0000-0000-00002A100000}"/>
    <cellStyle name="Normal 12 12 3 8" xfId="26293" xr:uid="{00000000-0005-0000-0000-00002B100000}"/>
    <cellStyle name="Normal 12 12 3 9" xfId="13229" xr:uid="{00000000-0005-0000-0000-00002C100000}"/>
    <cellStyle name="Normal 12 12 4" xfId="2421" xr:uid="{00000000-0005-0000-0000-00002D100000}"/>
    <cellStyle name="Normal 12 12 4 2" xfId="8953" xr:uid="{00000000-0005-0000-0000-00002E100000}"/>
    <cellStyle name="Normal 12 12 4 2 2" xfId="40694" xr:uid="{00000000-0005-0000-0000-00002F100000}"/>
    <cellStyle name="Normal 12 12 4 2 2 2" xfId="56794" xr:uid="{00000000-0005-0000-0000-000030100000}"/>
    <cellStyle name="Normal 12 12 4 2 3" xfId="47227" xr:uid="{00000000-0005-0000-0000-000031100000}"/>
    <cellStyle name="Normal 12 12 4 2 4" xfId="31127" xr:uid="{00000000-0005-0000-0000-000032100000}"/>
    <cellStyle name="Normal 12 12 4 2 5" xfId="21558" xr:uid="{00000000-0005-0000-0000-000033100000}"/>
    <cellStyle name="Normal 12 12 4 3" xfId="11989" xr:uid="{00000000-0005-0000-0000-000034100000}"/>
    <cellStyle name="Normal 12 12 4 3 2" xfId="50263" xr:uid="{00000000-0005-0000-0000-000035100000}"/>
    <cellStyle name="Normal 12 12 4 3 3" xfId="34163" xr:uid="{00000000-0005-0000-0000-000036100000}"/>
    <cellStyle name="Normal 12 12 4 3 4" xfId="24594" xr:uid="{00000000-0005-0000-0000-000037100000}"/>
    <cellStyle name="Normal 12 12 4 4" xfId="5917" xr:uid="{00000000-0005-0000-0000-000038100000}"/>
    <cellStyle name="Normal 12 12 4 4 2" xfId="53758" xr:uid="{00000000-0005-0000-0000-000039100000}"/>
    <cellStyle name="Normal 12 12 4 4 3" xfId="37658" xr:uid="{00000000-0005-0000-0000-00003A100000}"/>
    <cellStyle name="Normal 12 12 4 4 4" xfId="18522" xr:uid="{00000000-0005-0000-0000-00003B100000}"/>
    <cellStyle name="Normal 12 12 4 5" xfId="44191" xr:uid="{00000000-0005-0000-0000-00003C100000}"/>
    <cellStyle name="Normal 12 12 4 6" xfId="28091" xr:uid="{00000000-0005-0000-0000-00003D100000}"/>
    <cellStyle name="Normal 12 12 4 7" xfId="15027" xr:uid="{00000000-0005-0000-0000-00003E100000}"/>
    <cellStyle name="Normal 12 12 5" xfId="1090" xr:uid="{00000000-0005-0000-0000-00003F100000}"/>
    <cellStyle name="Normal 12 12 5 2" xfId="7624" xr:uid="{00000000-0005-0000-0000-000040100000}"/>
    <cellStyle name="Normal 12 12 5 2 2" xfId="39365" xr:uid="{00000000-0005-0000-0000-000041100000}"/>
    <cellStyle name="Normal 12 12 5 2 2 2" xfId="55465" xr:uid="{00000000-0005-0000-0000-000042100000}"/>
    <cellStyle name="Normal 12 12 5 2 3" xfId="45898" xr:uid="{00000000-0005-0000-0000-000043100000}"/>
    <cellStyle name="Normal 12 12 5 2 4" xfId="29798" xr:uid="{00000000-0005-0000-0000-000044100000}"/>
    <cellStyle name="Normal 12 12 5 2 5" xfId="20229" xr:uid="{00000000-0005-0000-0000-000045100000}"/>
    <cellStyle name="Normal 12 12 5 3" xfId="10660" xr:uid="{00000000-0005-0000-0000-000046100000}"/>
    <cellStyle name="Normal 12 12 5 3 2" xfId="48934" xr:uid="{00000000-0005-0000-0000-000047100000}"/>
    <cellStyle name="Normal 12 12 5 3 3" xfId="32834" xr:uid="{00000000-0005-0000-0000-000048100000}"/>
    <cellStyle name="Normal 12 12 5 3 4" xfId="23265" xr:uid="{00000000-0005-0000-0000-000049100000}"/>
    <cellStyle name="Normal 12 12 5 4" xfId="4588" xr:uid="{00000000-0005-0000-0000-00004A100000}"/>
    <cellStyle name="Normal 12 12 5 4 2" xfId="52429" xr:uid="{00000000-0005-0000-0000-00004B100000}"/>
    <cellStyle name="Normal 12 12 5 4 3" xfId="36329" xr:uid="{00000000-0005-0000-0000-00004C100000}"/>
    <cellStyle name="Normal 12 12 5 4 4" xfId="17193" xr:uid="{00000000-0005-0000-0000-00004D100000}"/>
    <cellStyle name="Normal 12 12 5 5" xfId="42862" xr:uid="{00000000-0005-0000-0000-00004E100000}"/>
    <cellStyle name="Normal 12 12 5 6" xfId="26762" xr:uid="{00000000-0005-0000-0000-00004F100000}"/>
    <cellStyle name="Normal 12 12 5 7" xfId="13698" xr:uid="{00000000-0005-0000-0000-000050100000}"/>
    <cellStyle name="Normal 12 12 6" xfId="3578" xr:uid="{00000000-0005-0000-0000-000051100000}"/>
    <cellStyle name="Normal 12 12 6 2" xfId="35319" xr:uid="{00000000-0005-0000-0000-000052100000}"/>
    <cellStyle name="Normal 12 12 6 2 2" xfId="51419" xr:uid="{00000000-0005-0000-0000-000053100000}"/>
    <cellStyle name="Normal 12 12 6 3" xfId="41852" xr:uid="{00000000-0005-0000-0000-000054100000}"/>
    <cellStyle name="Normal 12 12 6 4" xfId="25752" xr:uid="{00000000-0005-0000-0000-000055100000}"/>
    <cellStyle name="Normal 12 12 6 5" xfId="16183" xr:uid="{00000000-0005-0000-0000-000056100000}"/>
    <cellStyle name="Normal 12 12 7" xfId="6614" xr:uid="{00000000-0005-0000-0000-000057100000}"/>
    <cellStyle name="Normal 12 12 7 2" xfId="38355" xr:uid="{00000000-0005-0000-0000-000058100000}"/>
    <cellStyle name="Normal 12 12 7 2 2" xfId="54455" xr:uid="{00000000-0005-0000-0000-000059100000}"/>
    <cellStyle name="Normal 12 12 7 3" xfId="44888" xr:uid="{00000000-0005-0000-0000-00005A100000}"/>
    <cellStyle name="Normal 12 12 7 4" xfId="28788" xr:uid="{00000000-0005-0000-0000-00005B100000}"/>
    <cellStyle name="Normal 12 12 7 5" xfId="19219" xr:uid="{00000000-0005-0000-0000-00005C100000}"/>
    <cellStyle name="Normal 12 12 8" xfId="9650" xr:uid="{00000000-0005-0000-0000-00005D100000}"/>
    <cellStyle name="Normal 12 12 8 2" xfId="47924" xr:uid="{00000000-0005-0000-0000-00005E100000}"/>
    <cellStyle name="Normal 12 12 8 3" xfId="31824" xr:uid="{00000000-0005-0000-0000-00005F100000}"/>
    <cellStyle name="Normal 12 12 8 4" xfId="22255" xr:uid="{00000000-0005-0000-0000-000060100000}"/>
    <cellStyle name="Normal 12 12 9" xfId="3118" xr:uid="{00000000-0005-0000-0000-000061100000}"/>
    <cellStyle name="Normal 12 12 9 2" xfId="50960" xr:uid="{00000000-0005-0000-0000-000062100000}"/>
    <cellStyle name="Normal 12 12 9 3" xfId="34860" xr:uid="{00000000-0005-0000-0000-000063100000}"/>
    <cellStyle name="Normal 12 12 9 4" xfId="15724" xr:uid="{00000000-0005-0000-0000-000064100000}"/>
    <cellStyle name="Normal 12 13" xfId="502" xr:uid="{00000000-0005-0000-0000-000065100000}"/>
    <cellStyle name="Normal 12 13 10" xfId="25485" xr:uid="{00000000-0005-0000-0000-000066100000}"/>
    <cellStyle name="Normal 12 13 11" xfId="12879" xr:uid="{00000000-0005-0000-0000-000067100000}"/>
    <cellStyle name="Normal 12 13 2" xfId="954" xr:uid="{00000000-0005-0000-0000-000068100000}"/>
    <cellStyle name="Normal 12 13 2 2" xfId="2982" xr:uid="{00000000-0005-0000-0000-000069100000}"/>
    <cellStyle name="Normal 12 13 2 2 2" xfId="9514" xr:uid="{00000000-0005-0000-0000-00006A100000}"/>
    <cellStyle name="Normal 12 13 2 2 2 2" xfId="41255" xr:uid="{00000000-0005-0000-0000-00006B100000}"/>
    <cellStyle name="Normal 12 13 2 2 2 2 2" xfId="57355" xr:uid="{00000000-0005-0000-0000-00006C100000}"/>
    <cellStyle name="Normal 12 13 2 2 2 3" xfId="47788" xr:uid="{00000000-0005-0000-0000-00006D100000}"/>
    <cellStyle name="Normal 12 13 2 2 2 4" xfId="31688" xr:uid="{00000000-0005-0000-0000-00006E100000}"/>
    <cellStyle name="Normal 12 13 2 2 2 5" xfId="22119" xr:uid="{00000000-0005-0000-0000-00006F100000}"/>
    <cellStyle name="Normal 12 13 2 2 3" xfId="12550" xr:uid="{00000000-0005-0000-0000-000070100000}"/>
    <cellStyle name="Normal 12 13 2 2 3 2" xfId="50824" xr:uid="{00000000-0005-0000-0000-000071100000}"/>
    <cellStyle name="Normal 12 13 2 2 3 3" xfId="34724" xr:uid="{00000000-0005-0000-0000-000072100000}"/>
    <cellStyle name="Normal 12 13 2 2 3 4" xfId="25155" xr:uid="{00000000-0005-0000-0000-000073100000}"/>
    <cellStyle name="Normal 12 13 2 2 4" xfId="6478" xr:uid="{00000000-0005-0000-0000-000074100000}"/>
    <cellStyle name="Normal 12 13 2 2 4 2" xfId="54319" xr:uid="{00000000-0005-0000-0000-000075100000}"/>
    <cellStyle name="Normal 12 13 2 2 4 3" xfId="38219" xr:uid="{00000000-0005-0000-0000-000076100000}"/>
    <cellStyle name="Normal 12 13 2 2 4 4" xfId="19083" xr:uid="{00000000-0005-0000-0000-000077100000}"/>
    <cellStyle name="Normal 12 13 2 2 5" xfId="44752" xr:uid="{00000000-0005-0000-0000-000078100000}"/>
    <cellStyle name="Normal 12 13 2 2 6" xfId="28652" xr:uid="{00000000-0005-0000-0000-000079100000}"/>
    <cellStyle name="Normal 12 13 2 2 7" xfId="15588" xr:uid="{00000000-0005-0000-0000-00007A100000}"/>
    <cellStyle name="Normal 12 13 2 3" xfId="1964" xr:uid="{00000000-0005-0000-0000-00007B100000}"/>
    <cellStyle name="Normal 12 13 2 3 2" xfId="8498" xr:uid="{00000000-0005-0000-0000-00007C100000}"/>
    <cellStyle name="Normal 12 13 2 3 2 2" xfId="40239" xr:uid="{00000000-0005-0000-0000-00007D100000}"/>
    <cellStyle name="Normal 12 13 2 3 2 2 2" xfId="56339" xr:uid="{00000000-0005-0000-0000-00007E100000}"/>
    <cellStyle name="Normal 12 13 2 3 2 3" xfId="46772" xr:uid="{00000000-0005-0000-0000-00007F100000}"/>
    <cellStyle name="Normal 12 13 2 3 2 4" xfId="30672" xr:uid="{00000000-0005-0000-0000-000080100000}"/>
    <cellStyle name="Normal 12 13 2 3 2 5" xfId="21103" xr:uid="{00000000-0005-0000-0000-000081100000}"/>
    <cellStyle name="Normal 12 13 2 3 3" xfId="11534" xr:uid="{00000000-0005-0000-0000-000082100000}"/>
    <cellStyle name="Normal 12 13 2 3 3 2" xfId="49808" xr:uid="{00000000-0005-0000-0000-000083100000}"/>
    <cellStyle name="Normal 12 13 2 3 3 3" xfId="33708" xr:uid="{00000000-0005-0000-0000-000084100000}"/>
    <cellStyle name="Normal 12 13 2 3 3 4" xfId="24139" xr:uid="{00000000-0005-0000-0000-000085100000}"/>
    <cellStyle name="Normal 12 13 2 3 4" xfId="5462" xr:uid="{00000000-0005-0000-0000-000086100000}"/>
    <cellStyle name="Normal 12 13 2 3 4 2" xfId="53303" xr:uid="{00000000-0005-0000-0000-000087100000}"/>
    <cellStyle name="Normal 12 13 2 3 4 3" xfId="37203" xr:uid="{00000000-0005-0000-0000-000088100000}"/>
    <cellStyle name="Normal 12 13 2 3 4 4" xfId="18067" xr:uid="{00000000-0005-0000-0000-000089100000}"/>
    <cellStyle name="Normal 12 13 2 3 5" xfId="43736" xr:uid="{00000000-0005-0000-0000-00008A100000}"/>
    <cellStyle name="Normal 12 13 2 3 6" xfId="27636" xr:uid="{00000000-0005-0000-0000-00008B100000}"/>
    <cellStyle name="Normal 12 13 2 3 7" xfId="14572" xr:uid="{00000000-0005-0000-0000-00008C100000}"/>
    <cellStyle name="Normal 12 13 2 4" xfId="7488" xr:uid="{00000000-0005-0000-0000-00008D100000}"/>
    <cellStyle name="Normal 12 13 2 4 2" xfId="39229" xr:uid="{00000000-0005-0000-0000-00008E100000}"/>
    <cellStyle name="Normal 12 13 2 4 2 2" xfId="55329" xr:uid="{00000000-0005-0000-0000-00008F100000}"/>
    <cellStyle name="Normal 12 13 2 4 3" xfId="45762" xr:uid="{00000000-0005-0000-0000-000090100000}"/>
    <cellStyle name="Normal 12 13 2 4 4" xfId="29662" xr:uid="{00000000-0005-0000-0000-000091100000}"/>
    <cellStyle name="Normal 12 13 2 4 5" xfId="20093" xr:uid="{00000000-0005-0000-0000-000092100000}"/>
    <cellStyle name="Normal 12 13 2 5" xfId="10524" xr:uid="{00000000-0005-0000-0000-000093100000}"/>
    <cellStyle name="Normal 12 13 2 5 2" xfId="48798" xr:uid="{00000000-0005-0000-0000-000094100000}"/>
    <cellStyle name="Normal 12 13 2 5 3" xfId="32698" xr:uid="{00000000-0005-0000-0000-000095100000}"/>
    <cellStyle name="Normal 12 13 2 5 4" xfId="23129" xr:uid="{00000000-0005-0000-0000-000096100000}"/>
    <cellStyle name="Normal 12 13 2 6" xfId="4452" xr:uid="{00000000-0005-0000-0000-000097100000}"/>
    <cellStyle name="Normal 12 13 2 6 2" xfId="52293" xr:uid="{00000000-0005-0000-0000-000098100000}"/>
    <cellStyle name="Normal 12 13 2 6 3" xfId="36193" xr:uid="{00000000-0005-0000-0000-000099100000}"/>
    <cellStyle name="Normal 12 13 2 6 4" xfId="17057" xr:uid="{00000000-0005-0000-0000-00009A100000}"/>
    <cellStyle name="Normal 12 13 2 7" xfId="42726" xr:uid="{00000000-0005-0000-0000-00009B100000}"/>
    <cellStyle name="Normal 12 13 2 8" xfId="26626" xr:uid="{00000000-0005-0000-0000-00009C100000}"/>
    <cellStyle name="Normal 12 13 2 9" xfId="13562" xr:uid="{00000000-0005-0000-0000-00009D100000}"/>
    <cellStyle name="Normal 12 13 3" xfId="2532" xr:uid="{00000000-0005-0000-0000-00009E100000}"/>
    <cellStyle name="Normal 12 13 3 2" xfId="9064" xr:uid="{00000000-0005-0000-0000-00009F100000}"/>
    <cellStyle name="Normal 12 13 3 2 2" xfId="40805" xr:uid="{00000000-0005-0000-0000-0000A0100000}"/>
    <cellStyle name="Normal 12 13 3 2 2 2" xfId="56905" xr:uid="{00000000-0005-0000-0000-0000A1100000}"/>
    <cellStyle name="Normal 12 13 3 2 3" xfId="47338" xr:uid="{00000000-0005-0000-0000-0000A2100000}"/>
    <cellStyle name="Normal 12 13 3 2 4" xfId="31238" xr:uid="{00000000-0005-0000-0000-0000A3100000}"/>
    <cellStyle name="Normal 12 13 3 2 5" xfId="21669" xr:uid="{00000000-0005-0000-0000-0000A4100000}"/>
    <cellStyle name="Normal 12 13 3 3" xfId="12100" xr:uid="{00000000-0005-0000-0000-0000A5100000}"/>
    <cellStyle name="Normal 12 13 3 3 2" xfId="50374" xr:uid="{00000000-0005-0000-0000-0000A6100000}"/>
    <cellStyle name="Normal 12 13 3 3 3" xfId="34274" xr:uid="{00000000-0005-0000-0000-0000A7100000}"/>
    <cellStyle name="Normal 12 13 3 3 4" xfId="24705" xr:uid="{00000000-0005-0000-0000-0000A8100000}"/>
    <cellStyle name="Normal 12 13 3 4" xfId="6028" xr:uid="{00000000-0005-0000-0000-0000A9100000}"/>
    <cellStyle name="Normal 12 13 3 4 2" xfId="53869" xr:uid="{00000000-0005-0000-0000-0000AA100000}"/>
    <cellStyle name="Normal 12 13 3 4 3" xfId="37769" xr:uid="{00000000-0005-0000-0000-0000AB100000}"/>
    <cellStyle name="Normal 12 13 3 4 4" xfId="18633" xr:uid="{00000000-0005-0000-0000-0000AC100000}"/>
    <cellStyle name="Normal 12 13 3 5" xfId="44302" xr:uid="{00000000-0005-0000-0000-0000AD100000}"/>
    <cellStyle name="Normal 12 13 3 6" xfId="28202" xr:uid="{00000000-0005-0000-0000-0000AE100000}"/>
    <cellStyle name="Normal 12 13 3 7" xfId="15138" xr:uid="{00000000-0005-0000-0000-0000AF100000}"/>
    <cellStyle name="Normal 12 13 4" xfId="1281" xr:uid="{00000000-0005-0000-0000-0000B0100000}"/>
    <cellStyle name="Normal 12 13 4 2" xfId="7815" xr:uid="{00000000-0005-0000-0000-0000B1100000}"/>
    <cellStyle name="Normal 12 13 4 2 2" xfId="39556" xr:uid="{00000000-0005-0000-0000-0000B2100000}"/>
    <cellStyle name="Normal 12 13 4 2 2 2" xfId="55656" xr:uid="{00000000-0005-0000-0000-0000B3100000}"/>
    <cellStyle name="Normal 12 13 4 2 3" xfId="46089" xr:uid="{00000000-0005-0000-0000-0000B4100000}"/>
    <cellStyle name="Normal 12 13 4 2 4" xfId="29989" xr:uid="{00000000-0005-0000-0000-0000B5100000}"/>
    <cellStyle name="Normal 12 13 4 2 5" xfId="20420" xr:uid="{00000000-0005-0000-0000-0000B6100000}"/>
    <cellStyle name="Normal 12 13 4 3" xfId="10851" xr:uid="{00000000-0005-0000-0000-0000B7100000}"/>
    <cellStyle name="Normal 12 13 4 3 2" xfId="49125" xr:uid="{00000000-0005-0000-0000-0000B8100000}"/>
    <cellStyle name="Normal 12 13 4 3 3" xfId="33025" xr:uid="{00000000-0005-0000-0000-0000B9100000}"/>
    <cellStyle name="Normal 12 13 4 3 4" xfId="23456" xr:uid="{00000000-0005-0000-0000-0000BA100000}"/>
    <cellStyle name="Normal 12 13 4 4" xfId="4779" xr:uid="{00000000-0005-0000-0000-0000BB100000}"/>
    <cellStyle name="Normal 12 13 4 4 2" xfId="52620" xr:uid="{00000000-0005-0000-0000-0000BC100000}"/>
    <cellStyle name="Normal 12 13 4 4 3" xfId="36520" xr:uid="{00000000-0005-0000-0000-0000BD100000}"/>
    <cellStyle name="Normal 12 13 4 4 4" xfId="17384" xr:uid="{00000000-0005-0000-0000-0000BE100000}"/>
    <cellStyle name="Normal 12 13 4 5" xfId="43053" xr:uid="{00000000-0005-0000-0000-0000BF100000}"/>
    <cellStyle name="Normal 12 13 4 6" xfId="26953" xr:uid="{00000000-0005-0000-0000-0000C0100000}"/>
    <cellStyle name="Normal 12 13 4 7" xfId="13889" xr:uid="{00000000-0005-0000-0000-0000C1100000}"/>
    <cellStyle name="Normal 12 13 5" xfId="3769" xr:uid="{00000000-0005-0000-0000-0000C2100000}"/>
    <cellStyle name="Normal 12 13 5 2" xfId="35510" xr:uid="{00000000-0005-0000-0000-0000C3100000}"/>
    <cellStyle name="Normal 12 13 5 2 2" xfId="51610" xr:uid="{00000000-0005-0000-0000-0000C4100000}"/>
    <cellStyle name="Normal 12 13 5 3" xfId="42043" xr:uid="{00000000-0005-0000-0000-0000C5100000}"/>
    <cellStyle name="Normal 12 13 5 4" xfId="25943" xr:uid="{00000000-0005-0000-0000-0000C6100000}"/>
    <cellStyle name="Normal 12 13 5 5" xfId="16374" xr:uid="{00000000-0005-0000-0000-0000C7100000}"/>
    <cellStyle name="Normal 12 13 6" xfId="6805" xr:uid="{00000000-0005-0000-0000-0000C8100000}"/>
    <cellStyle name="Normal 12 13 6 2" xfId="38546" xr:uid="{00000000-0005-0000-0000-0000C9100000}"/>
    <cellStyle name="Normal 12 13 6 2 2" xfId="54646" xr:uid="{00000000-0005-0000-0000-0000CA100000}"/>
    <cellStyle name="Normal 12 13 6 3" xfId="45079" xr:uid="{00000000-0005-0000-0000-0000CB100000}"/>
    <cellStyle name="Normal 12 13 6 4" xfId="28979" xr:uid="{00000000-0005-0000-0000-0000CC100000}"/>
    <cellStyle name="Normal 12 13 6 5" xfId="19410" xr:uid="{00000000-0005-0000-0000-0000CD100000}"/>
    <cellStyle name="Normal 12 13 7" xfId="9841" xr:uid="{00000000-0005-0000-0000-0000CE100000}"/>
    <cellStyle name="Normal 12 13 7 2" xfId="48115" xr:uid="{00000000-0005-0000-0000-0000CF100000}"/>
    <cellStyle name="Normal 12 13 7 3" xfId="32015" xr:uid="{00000000-0005-0000-0000-0000D0100000}"/>
    <cellStyle name="Normal 12 13 7 4" xfId="22446" xr:uid="{00000000-0005-0000-0000-0000D1100000}"/>
    <cellStyle name="Normal 12 13 8" xfId="3311" xr:uid="{00000000-0005-0000-0000-0000D2100000}"/>
    <cellStyle name="Normal 12 13 8 2" xfId="51152" xr:uid="{00000000-0005-0000-0000-0000D3100000}"/>
    <cellStyle name="Normal 12 13 8 3" xfId="35052" xr:uid="{00000000-0005-0000-0000-0000D4100000}"/>
    <cellStyle name="Normal 12 13 8 4" xfId="15916" xr:uid="{00000000-0005-0000-0000-0000D5100000}"/>
    <cellStyle name="Normal 12 13 9" xfId="41585" xr:uid="{00000000-0005-0000-0000-0000D6100000}"/>
    <cellStyle name="Normal 12 14" xfId="732" xr:uid="{00000000-0005-0000-0000-0000D7100000}"/>
    <cellStyle name="Normal 12 14 10" xfId="13340" xr:uid="{00000000-0005-0000-0000-0000D8100000}"/>
    <cellStyle name="Normal 12 14 2" xfId="2760" xr:uid="{00000000-0005-0000-0000-0000D9100000}"/>
    <cellStyle name="Normal 12 14 2 2" xfId="9292" xr:uid="{00000000-0005-0000-0000-0000DA100000}"/>
    <cellStyle name="Normal 12 14 2 2 2" xfId="41033" xr:uid="{00000000-0005-0000-0000-0000DB100000}"/>
    <cellStyle name="Normal 12 14 2 2 2 2" xfId="57133" xr:uid="{00000000-0005-0000-0000-0000DC100000}"/>
    <cellStyle name="Normal 12 14 2 2 3" xfId="47566" xr:uid="{00000000-0005-0000-0000-0000DD100000}"/>
    <cellStyle name="Normal 12 14 2 2 4" xfId="31466" xr:uid="{00000000-0005-0000-0000-0000DE100000}"/>
    <cellStyle name="Normal 12 14 2 2 5" xfId="21897" xr:uid="{00000000-0005-0000-0000-0000DF100000}"/>
    <cellStyle name="Normal 12 14 2 3" xfId="12328" xr:uid="{00000000-0005-0000-0000-0000E0100000}"/>
    <cellStyle name="Normal 12 14 2 3 2" xfId="50602" xr:uid="{00000000-0005-0000-0000-0000E1100000}"/>
    <cellStyle name="Normal 12 14 2 3 3" xfId="34502" xr:uid="{00000000-0005-0000-0000-0000E2100000}"/>
    <cellStyle name="Normal 12 14 2 3 4" xfId="24933" xr:uid="{00000000-0005-0000-0000-0000E3100000}"/>
    <cellStyle name="Normal 12 14 2 4" xfId="6256" xr:uid="{00000000-0005-0000-0000-0000E4100000}"/>
    <cellStyle name="Normal 12 14 2 4 2" xfId="54097" xr:uid="{00000000-0005-0000-0000-0000E5100000}"/>
    <cellStyle name="Normal 12 14 2 4 3" xfId="37997" xr:uid="{00000000-0005-0000-0000-0000E6100000}"/>
    <cellStyle name="Normal 12 14 2 4 4" xfId="18861" xr:uid="{00000000-0005-0000-0000-0000E7100000}"/>
    <cellStyle name="Normal 12 14 2 5" xfId="44530" xr:uid="{00000000-0005-0000-0000-0000E8100000}"/>
    <cellStyle name="Normal 12 14 2 6" xfId="28430" xr:uid="{00000000-0005-0000-0000-0000E9100000}"/>
    <cellStyle name="Normal 12 14 2 7" xfId="15366" xr:uid="{00000000-0005-0000-0000-0000EA100000}"/>
    <cellStyle name="Normal 12 14 3" xfId="1742" xr:uid="{00000000-0005-0000-0000-0000EB100000}"/>
    <cellStyle name="Normal 12 14 3 2" xfId="8276" xr:uid="{00000000-0005-0000-0000-0000EC100000}"/>
    <cellStyle name="Normal 12 14 3 2 2" xfId="40017" xr:uid="{00000000-0005-0000-0000-0000ED100000}"/>
    <cellStyle name="Normal 12 14 3 2 2 2" xfId="56117" xr:uid="{00000000-0005-0000-0000-0000EE100000}"/>
    <cellStyle name="Normal 12 14 3 2 3" xfId="46550" xr:uid="{00000000-0005-0000-0000-0000EF100000}"/>
    <cellStyle name="Normal 12 14 3 2 4" xfId="30450" xr:uid="{00000000-0005-0000-0000-0000F0100000}"/>
    <cellStyle name="Normal 12 14 3 2 5" xfId="20881" xr:uid="{00000000-0005-0000-0000-0000F1100000}"/>
    <cellStyle name="Normal 12 14 3 3" xfId="11312" xr:uid="{00000000-0005-0000-0000-0000F2100000}"/>
    <cellStyle name="Normal 12 14 3 3 2" xfId="49586" xr:uid="{00000000-0005-0000-0000-0000F3100000}"/>
    <cellStyle name="Normal 12 14 3 3 3" xfId="33486" xr:uid="{00000000-0005-0000-0000-0000F4100000}"/>
    <cellStyle name="Normal 12 14 3 3 4" xfId="23917" xr:uid="{00000000-0005-0000-0000-0000F5100000}"/>
    <cellStyle name="Normal 12 14 3 4" xfId="5240" xr:uid="{00000000-0005-0000-0000-0000F6100000}"/>
    <cellStyle name="Normal 12 14 3 4 2" xfId="53081" xr:uid="{00000000-0005-0000-0000-0000F7100000}"/>
    <cellStyle name="Normal 12 14 3 4 3" xfId="36981" xr:uid="{00000000-0005-0000-0000-0000F8100000}"/>
    <cellStyle name="Normal 12 14 3 4 4" xfId="17845" xr:uid="{00000000-0005-0000-0000-0000F9100000}"/>
    <cellStyle name="Normal 12 14 3 5" xfId="43514" xr:uid="{00000000-0005-0000-0000-0000FA100000}"/>
    <cellStyle name="Normal 12 14 3 6" xfId="27414" xr:uid="{00000000-0005-0000-0000-0000FB100000}"/>
    <cellStyle name="Normal 12 14 3 7" xfId="14350" xr:uid="{00000000-0005-0000-0000-0000FC100000}"/>
    <cellStyle name="Normal 12 14 4" xfId="4230" xr:uid="{00000000-0005-0000-0000-0000FD100000}"/>
    <cellStyle name="Normal 12 14 4 2" xfId="35971" xr:uid="{00000000-0005-0000-0000-0000FE100000}"/>
    <cellStyle name="Normal 12 14 4 2 2" xfId="52071" xr:uid="{00000000-0005-0000-0000-0000FF100000}"/>
    <cellStyle name="Normal 12 14 4 3" xfId="42504" xr:uid="{00000000-0005-0000-0000-000000110000}"/>
    <cellStyle name="Normal 12 14 4 4" xfId="26404" xr:uid="{00000000-0005-0000-0000-000001110000}"/>
    <cellStyle name="Normal 12 14 4 5" xfId="16835" xr:uid="{00000000-0005-0000-0000-000002110000}"/>
    <cellStyle name="Normal 12 14 5" xfId="7266" xr:uid="{00000000-0005-0000-0000-000003110000}"/>
    <cellStyle name="Normal 12 14 5 2" xfId="39007" xr:uid="{00000000-0005-0000-0000-000004110000}"/>
    <cellStyle name="Normal 12 14 5 2 2" xfId="55107" xr:uid="{00000000-0005-0000-0000-000005110000}"/>
    <cellStyle name="Normal 12 14 5 3" xfId="45540" xr:uid="{00000000-0005-0000-0000-000006110000}"/>
    <cellStyle name="Normal 12 14 5 4" xfId="29440" xr:uid="{00000000-0005-0000-0000-000007110000}"/>
    <cellStyle name="Normal 12 14 5 5" xfId="19871" xr:uid="{00000000-0005-0000-0000-000008110000}"/>
    <cellStyle name="Normal 12 14 6" xfId="10302" xr:uid="{00000000-0005-0000-0000-000009110000}"/>
    <cellStyle name="Normal 12 14 6 2" xfId="48576" xr:uid="{00000000-0005-0000-0000-00000A110000}"/>
    <cellStyle name="Normal 12 14 6 3" xfId="32476" xr:uid="{00000000-0005-0000-0000-00000B110000}"/>
    <cellStyle name="Normal 12 14 6 4" xfId="22907" xr:uid="{00000000-0005-0000-0000-00000C110000}"/>
    <cellStyle name="Normal 12 14 7" xfId="3325" xr:uid="{00000000-0005-0000-0000-00000D110000}"/>
    <cellStyle name="Normal 12 14 7 2" xfId="51166" xr:uid="{00000000-0005-0000-0000-00000E110000}"/>
    <cellStyle name="Normal 12 14 7 3" xfId="35066" xr:uid="{00000000-0005-0000-0000-00000F110000}"/>
    <cellStyle name="Normal 12 14 7 4" xfId="15930" xr:uid="{00000000-0005-0000-0000-000010110000}"/>
    <cellStyle name="Normal 12 14 8" xfId="41599" xr:uid="{00000000-0005-0000-0000-000011110000}"/>
    <cellStyle name="Normal 12 14 9" xfId="25499" xr:uid="{00000000-0005-0000-0000-000012110000}"/>
    <cellStyle name="Normal 12 15" xfId="2069" xr:uid="{00000000-0005-0000-0000-000013110000}"/>
    <cellStyle name="Normal 12 15 2" xfId="8603" xr:uid="{00000000-0005-0000-0000-000014110000}"/>
    <cellStyle name="Normal 12 15 2 2" xfId="40344" xr:uid="{00000000-0005-0000-0000-000015110000}"/>
    <cellStyle name="Normal 12 15 2 2 2" xfId="56444" xr:uid="{00000000-0005-0000-0000-000016110000}"/>
    <cellStyle name="Normal 12 15 2 3" xfId="46877" xr:uid="{00000000-0005-0000-0000-000017110000}"/>
    <cellStyle name="Normal 12 15 2 4" xfId="30777" xr:uid="{00000000-0005-0000-0000-000018110000}"/>
    <cellStyle name="Normal 12 15 2 5" xfId="21208" xr:uid="{00000000-0005-0000-0000-000019110000}"/>
    <cellStyle name="Normal 12 15 3" xfId="11639" xr:uid="{00000000-0005-0000-0000-00001A110000}"/>
    <cellStyle name="Normal 12 15 3 2" xfId="49913" xr:uid="{00000000-0005-0000-0000-00001B110000}"/>
    <cellStyle name="Normal 12 15 3 3" xfId="33813" xr:uid="{00000000-0005-0000-0000-00001C110000}"/>
    <cellStyle name="Normal 12 15 3 4" xfId="24244" xr:uid="{00000000-0005-0000-0000-00001D110000}"/>
    <cellStyle name="Normal 12 15 4" xfId="5567" xr:uid="{00000000-0005-0000-0000-00001E110000}"/>
    <cellStyle name="Normal 12 15 4 2" xfId="53408" xr:uid="{00000000-0005-0000-0000-00001F110000}"/>
    <cellStyle name="Normal 12 15 4 3" xfId="37308" xr:uid="{00000000-0005-0000-0000-000020110000}"/>
    <cellStyle name="Normal 12 15 4 4" xfId="18172" xr:uid="{00000000-0005-0000-0000-000021110000}"/>
    <cellStyle name="Normal 12 15 5" xfId="43841" xr:uid="{00000000-0005-0000-0000-000022110000}"/>
    <cellStyle name="Normal 12 15 6" xfId="27741" xr:uid="{00000000-0005-0000-0000-000023110000}"/>
    <cellStyle name="Normal 12 15 7" xfId="14677" xr:uid="{00000000-0005-0000-0000-000024110000}"/>
    <cellStyle name="Normal 12 16" xfId="1059" xr:uid="{00000000-0005-0000-0000-000025110000}"/>
    <cellStyle name="Normal 12 16 2" xfId="7593" xr:uid="{00000000-0005-0000-0000-000026110000}"/>
    <cellStyle name="Normal 12 16 2 2" xfId="39334" xr:uid="{00000000-0005-0000-0000-000027110000}"/>
    <cellStyle name="Normal 12 16 2 2 2" xfId="55434" xr:uid="{00000000-0005-0000-0000-000028110000}"/>
    <cellStyle name="Normal 12 16 2 3" xfId="45867" xr:uid="{00000000-0005-0000-0000-000029110000}"/>
    <cellStyle name="Normal 12 16 2 4" xfId="29767" xr:uid="{00000000-0005-0000-0000-00002A110000}"/>
    <cellStyle name="Normal 12 16 2 5" xfId="20198" xr:uid="{00000000-0005-0000-0000-00002B110000}"/>
    <cellStyle name="Normal 12 16 3" xfId="10629" xr:uid="{00000000-0005-0000-0000-00002C110000}"/>
    <cellStyle name="Normal 12 16 3 2" xfId="48903" xr:uid="{00000000-0005-0000-0000-00002D110000}"/>
    <cellStyle name="Normal 12 16 3 3" xfId="32803" xr:uid="{00000000-0005-0000-0000-00002E110000}"/>
    <cellStyle name="Normal 12 16 3 4" xfId="23234" xr:uid="{00000000-0005-0000-0000-00002F110000}"/>
    <cellStyle name="Normal 12 16 4" xfId="4557" xr:uid="{00000000-0005-0000-0000-000030110000}"/>
    <cellStyle name="Normal 12 16 4 2" xfId="52398" xr:uid="{00000000-0005-0000-0000-000031110000}"/>
    <cellStyle name="Normal 12 16 4 3" xfId="36298" xr:uid="{00000000-0005-0000-0000-000032110000}"/>
    <cellStyle name="Normal 12 16 4 4" xfId="17162" xr:uid="{00000000-0005-0000-0000-000033110000}"/>
    <cellStyle name="Normal 12 16 5" xfId="42831" xr:uid="{00000000-0005-0000-0000-000034110000}"/>
    <cellStyle name="Normal 12 16 6" xfId="26731" xr:uid="{00000000-0005-0000-0000-000035110000}"/>
    <cellStyle name="Normal 12 16 7" xfId="13667" xr:uid="{00000000-0005-0000-0000-000036110000}"/>
    <cellStyle name="Normal 12 17" xfId="3547" xr:uid="{00000000-0005-0000-0000-000037110000}"/>
    <cellStyle name="Normal 12 17 2" xfId="35288" xr:uid="{00000000-0005-0000-0000-000038110000}"/>
    <cellStyle name="Normal 12 17 2 2" xfId="51388" xr:uid="{00000000-0005-0000-0000-000039110000}"/>
    <cellStyle name="Normal 12 17 3" xfId="41821" xr:uid="{00000000-0005-0000-0000-00003A110000}"/>
    <cellStyle name="Normal 12 17 4" xfId="25721" xr:uid="{00000000-0005-0000-0000-00003B110000}"/>
    <cellStyle name="Normal 12 17 5" xfId="16152" xr:uid="{00000000-0005-0000-0000-00003C110000}"/>
    <cellStyle name="Normal 12 18" xfId="6583" xr:uid="{00000000-0005-0000-0000-00003D110000}"/>
    <cellStyle name="Normal 12 18 2" xfId="38324" xr:uid="{00000000-0005-0000-0000-00003E110000}"/>
    <cellStyle name="Normal 12 18 2 2" xfId="54424" xr:uid="{00000000-0005-0000-0000-00003F110000}"/>
    <cellStyle name="Normal 12 18 3" xfId="44857" xr:uid="{00000000-0005-0000-0000-000040110000}"/>
    <cellStyle name="Normal 12 18 4" xfId="28757" xr:uid="{00000000-0005-0000-0000-000041110000}"/>
    <cellStyle name="Normal 12 18 5" xfId="19188" xr:uid="{00000000-0005-0000-0000-000042110000}"/>
    <cellStyle name="Normal 12 19" xfId="9619" xr:uid="{00000000-0005-0000-0000-000043110000}"/>
    <cellStyle name="Normal 12 19 2" xfId="47893" xr:uid="{00000000-0005-0000-0000-000044110000}"/>
    <cellStyle name="Normal 12 19 3" xfId="31793" xr:uid="{00000000-0005-0000-0000-000045110000}"/>
    <cellStyle name="Normal 12 19 4" xfId="22224" xr:uid="{00000000-0005-0000-0000-000046110000}"/>
    <cellStyle name="Normal 12 2" xfId="64" xr:uid="{00000000-0005-0000-0000-000047110000}"/>
    <cellStyle name="Normal 12 2 10" xfId="3565" xr:uid="{00000000-0005-0000-0000-000048110000}"/>
    <cellStyle name="Normal 12 2 10 2" xfId="35306" xr:uid="{00000000-0005-0000-0000-000049110000}"/>
    <cellStyle name="Normal 12 2 10 2 2" xfId="51406" xr:uid="{00000000-0005-0000-0000-00004A110000}"/>
    <cellStyle name="Normal 12 2 10 3" xfId="41839" xr:uid="{00000000-0005-0000-0000-00004B110000}"/>
    <cellStyle name="Normal 12 2 10 4" xfId="25739" xr:uid="{00000000-0005-0000-0000-00004C110000}"/>
    <cellStyle name="Normal 12 2 10 5" xfId="16170" xr:uid="{00000000-0005-0000-0000-00004D110000}"/>
    <cellStyle name="Normal 12 2 11" xfId="6601" xr:uid="{00000000-0005-0000-0000-00004E110000}"/>
    <cellStyle name="Normal 12 2 11 2" xfId="38342" xr:uid="{00000000-0005-0000-0000-00004F110000}"/>
    <cellStyle name="Normal 12 2 11 2 2" xfId="54442" xr:uid="{00000000-0005-0000-0000-000050110000}"/>
    <cellStyle name="Normal 12 2 11 3" xfId="44875" xr:uid="{00000000-0005-0000-0000-000051110000}"/>
    <cellStyle name="Normal 12 2 11 4" xfId="28775" xr:uid="{00000000-0005-0000-0000-000052110000}"/>
    <cellStyle name="Normal 12 2 11 5" xfId="19206" xr:uid="{00000000-0005-0000-0000-000053110000}"/>
    <cellStyle name="Normal 12 2 12" xfId="9637" xr:uid="{00000000-0005-0000-0000-000054110000}"/>
    <cellStyle name="Normal 12 2 12 2" xfId="47911" xr:uid="{00000000-0005-0000-0000-000055110000}"/>
    <cellStyle name="Normal 12 2 12 3" xfId="31811" xr:uid="{00000000-0005-0000-0000-000056110000}"/>
    <cellStyle name="Normal 12 2 12 4" xfId="22242" xr:uid="{00000000-0005-0000-0000-000057110000}"/>
    <cellStyle name="Normal 12 2 13" xfId="3105" xr:uid="{00000000-0005-0000-0000-000058110000}"/>
    <cellStyle name="Normal 12 2 13 2" xfId="50947" xr:uid="{00000000-0005-0000-0000-000059110000}"/>
    <cellStyle name="Normal 12 2 13 3" xfId="34847" xr:uid="{00000000-0005-0000-0000-00005A110000}"/>
    <cellStyle name="Normal 12 2 13 4" xfId="15711" xr:uid="{00000000-0005-0000-0000-00005B110000}"/>
    <cellStyle name="Normal 12 2 14" xfId="41380" xr:uid="{00000000-0005-0000-0000-00005C110000}"/>
    <cellStyle name="Normal 12 2 15" xfId="25280" xr:uid="{00000000-0005-0000-0000-00005D110000}"/>
    <cellStyle name="Normal 12 2 16" xfId="12675" xr:uid="{00000000-0005-0000-0000-00005E110000}"/>
    <cellStyle name="Normal 12 2 2" xfId="135" xr:uid="{00000000-0005-0000-0000-00005F110000}"/>
    <cellStyle name="Normal 12 2 2 10" xfId="9684" xr:uid="{00000000-0005-0000-0000-000060110000}"/>
    <cellStyle name="Normal 12 2 2 10 2" xfId="47958" xr:uid="{00000000-0005-0000-0000-000061110000}"/>
    <cellStyle name="Normal 12 2 2 10 3" xfId="31858" xr:uid="{00000000-0005-0000-0000-000062110000}"/>
    <cellStyle name="Normal 12 2 2 10 4" xfId="22289" xr:uid="{00000000-0005-0000-0000-000063110000}"/>
    <cellStyle name="Normal 12 2 2 11" xfId="3152" xr:uid="{00000000-0005-0000-0000-000064110000}"/>
    <cellStyle name="Normal 12 2 2 11 2" xfId="50994" xr:uid="{00000000-0005-0000-0000-000065110000}"/>
    <cellStyle name="Normal 12 2 2 11 3" xfId="34894" xr:uid="{00000000-0005-0000-0000-000066110000}"/>
    <cellStyle name="Normal 12 2 2 11 4" xfId="15758" xr:uid="{00000000-0005-0000-0000-000067110000}"/>
    <cellStyle name="Normal 12 2 2 12" xfId="41427" xr:uid="{00000000-0005-0000-0000-000068110000}"/>
    <cellStyle name="Normal 12 2 2 13" xfId="25327" xr:uid="{00000000-0005-0000-0000-000069110000}"/>
    <cellStyle name="Normal 12 2 2 14" xfId="12722" xr:uid="{00000000-0005-0000-0000-00006A110000}"/>
    <cellStyle name="Normal 12 2 2 2" xfId="210" xr:uid="{00000000-0005-0000-0000-00006B110000}"/>
    <cellStyle name="Normal 12 2 2 2 10" xfId="41664" xr:uid="{00000000-0005-0000-0000-00006C110000}"/>
    <cellStyle name="Normal 12 2 2 2 11" xfId="25564" xr:uid="{00000000-0005-0000-0000-00006D110000}"/>
    <cellStyle name="Normal 12 2 2 2 12" xfId="13039" xr:uid="{00000000-0005-0000-0000-00006E110000}"/>
    <cellStyle name="Normal 12 2 2 2 2" xfId="387" xr:uid="{00000000-0005-0000-0000-00006F110000}"/>
    <cellStyle name="Normal 12 2 2 2 2 2" xfId="2406" xr:uid="{00000000-0005-0000-0000-000070110000}"/>
    <cellStyle name="Normal 12 2 2 2 2 2 2" xfId="8940" xr:uid="{00000000-0005-0000-0000-000071110000}"/>
    <cellStyle name="Normal 12 2 2 2 2 2 2 2" xfId="40681" xr:uid="{00000000-0005-0000-0000-000072110000}"/>
    <cellStyle name="Normal 12 2 2 2 2 2 2 2 2" xfId="56781" xr:uid="{00000000-0005-0000-0000-000073110000}"/>
    <cellStyle name="Normal 12 2 2 2 2 2 2 3" xfId="47214" xr:uid="{00000000-0005-0000-0000-000074110000}"/>
    <cellStyle name="Normal 12 2 2 2 2 2 2 4" xfId="31114" xr:uid="{00000000-0005-0000-0000-000075110000}"/>
    <cellStyle name="Normal 12 2 2 2 2 2 2 5" xfId="21545" xr:uid="{00000000-0005-0000-0000-000076110000}"/>
    <cellStyle name="Normal 12 2 2 2 2 2 3" xfId="11976" xr:uid="{00000000-0005-0000-0000-000077110000}"/>
    <cellStyle name="Normal 12 2 2 2 2 2 3 2" xfId="50250" xr:uid="{00000000-0005-0000-0000-000078110000}"/>
    <cellStyle name="Normal 12 2 2 2 2 2 3 3" xfId="34150" xr:uid="{00000000-0005-0000-0000-000079110000}"/>
    <cellStyle name="Normal 12 2 2 2 2 2 3 4" xfId="24581" xr:uid="{00000000-0005-0000-0000-00007A110000}"/>
    <cellStyle name="Normal 12 2 2 2 2 2 4" xfId="5904" xr:uid="{00000000-0005-0000-0000-00007B110000}"/>
    <cellStyle name="Normal 12 2 2 2 2 2 4 2" xfId="53745" xr:uid="{00000000-0005-0000-0000-00007C110000}"/>
    <cellStyle name="Normal 12 2 2 2 2 2 4 3" xfId="37645" xr:uid="{00000000-0005-0000-0000-00007D110000}"/>
    <cellStyle name="Normal 12 2 2 2 2 2 4 4" xfId="18509" xr:uid="{00000000-0005-0000-0000-00007E110000}"/>
    <cellStyle name="Normal 12 2 2 2 2 2 5" xfId="44178" xr:uid="{00000000-0005-0000-0000-00007F110000}"/>
    <cellStyle name="Normal 12 2 2 2 2 2 6" xfId="28078" xr:uid="{00000000-0005-0000-0000-000080110000}"/>
    <cellStyle name="Normal 12 2 2 2 2 2 7" xfId="15014" xr:uid="{00000000-0005-0000-0000-000081110000}"/>
    <cellStyle name="Normal 12 2 2 2 2 3" xfId="1618" xr:uid="{00000000-0005-0000-0000-000082110000}"/>
    <cellStyle name="Normal 12 2 2 2 2 3 2" xfId="8152" xr:uid="{00000000-0005-0000-0000-000083110000}"/>
    <cellStyle name="Normal 12 2 2 2 2 3 2 2" xfId="39893" xr:uid="{00000000-0005-0000-0000-000084110000}"/>
    <cellStyle name="Normal 12 2 2 2 2 3 2 2 2" xfId="55993" xr:uid="{00000000-0005-0000-0000-000085110000}"/>
    <cellStyle name="Normal 12 2 2 2 2 3 2 3" xfId="46426" xr:uid="{00000000-0005-0000-0000-000086110000}"/>
    <cellStyle name="Normal 12 2 2 2 2 3 2 4" xfId="30326" xr:uid="{00000000-0005-0000-0000-000087110000}"/>
    <cellStyle name="Normal 12 2 2 2 2 3 2 5" xfId="20757" xr:uid="{00000000-0005-0000-0000-000088110000}"/>
    <cellStyle name="Normal 12 2 2 2 2 3 3" xfId="11188" xr:uid="{00000000-0005-0000-0000-000089110000}"/>
    <cellStyle name="Normal 12 2 2 2 2 3 3 2" xfId="49462" xr:uid="{00000000-0005-0000-0000-00008A110000}"/>
    <cellStyle name="Normal 12 2 2 2 2 3 3 3" xfId="33362" xr:uid="{00000000-0005-0000-0000-00008B110000}"/>
    <cellStyle name="Normal 12 2 2 2 2 3 3 4" xfId="23793" xr:uid="{00000000-0005-0000-0000-00008C110000}"/>
    <cellStyle name="Normal 12 2 2 2 2 3 4" xfId="5116" xr:uid="{00000000-0005-0000-0000-00008D110000}"/>
    <cellStyle name="Normal 12 2 2 2 2 3 4 2" xfId="52957" xr:uid="{00000000-0005-0000-0000-00008E110000}"/>
    <cellStyle name="Normal 12 2 2 2 2 3 4 3" xfId="36857" xr:uid="{00000000-0005-0000-0000-00008F110000}"/>
    <cellStyle name="Normal 12 2 2 2 2 3 4 4" xfId="17721" xr:uid="{00000000-0005-0000-0000-000090110000}"/>
    <cellStyle name="Normal 12 2 2 2 2 3 5" xfId="43390" xr:uid="{00000000-0005-0000-0000-000091110000}"/>
    <cellStyle name="Normal 12 2 2 2 2 3 6" xfId="27290" xr:uid="{00000000-0005-0000-0000-000092110000}"/>
    <cellStyle name="Normal 12 2 2 2 2 3 7" xfId="14226" xr:uid="{00000000-0005-0000-0000-000093110000}"/>
    <cellStyle name="Normal 12 2 2 2 2 4" xfId="7142" xr:uid="{00000000-0005-0000-0000-000094110000}"/>
    <cellStyle name="Normal 12 2 2 2 2 4 2" xfId="38883" xr:uid="{00000000-0005-0000-0000-000095110000}"/>
    <cellStyle name="Normal 12 2 2 2 2 4 2 2" xfId="54983" xr:uid="{00000000-0005-0000-0000-000096110000}"/>
    <cellStyle name="Normal 12 2 2 2 2 4 3" xfId="45416" xr:uid="{00000000-0005-0000-0000-000097110000}"/>
    <cellStyle name="Normal 12 2 2 2 2 4 4" xfId="29316" xr:uid="{00000000-0005-0000-0000-000098110000}"/>
    <cellStyle name="Normal 12 2 2 2 2 4 5" xfId="19747" xr:uid="{00000000-0005-0000-0000-000099110000}"/>
    <cellStyle name="Normal 12 2 2 2 2 5" xfId="10178" xr:uid="{00000000-0005-0000-0000-00009A110000}"/>
    <cellStyle name="Normal 12 2 2 2 2 5 2" xfId="48452" xr:uid="{00000000-0005-0000-0000-00009B110000}"/>
    <cellStyle name="Normal 12 2 2 2 2 5 3" xfId="32352" xr:uid="{00000000-0005-0000-0000-00009C110000}"/>
    <cellStyle name="Normal 12 2 2 2 2 5 4" xfId="22783" xr:uid="{00000000-0005-0000-0000-00009D110000}"/>
    <cellStyle name="Normal 12 2 2 2 2 6" xfId="4106" xr:uid="{00000000-0005-0000-0000-00009E110000}"/>
    <cellStyle name="Normal 12 2 2 2 2 6 2" xfId="51947" xr:uid="{00000000-0005-0000-0000-00009F110000}"/>
    <cellStyle name="Normal 12 2 2 2 2 6 3" xfId="35847" xr:uid="{00000000-0005-0000-0000-0000A0110000}"/>
    <cellStyle name="Normal 12 2 2 2 2 6 4" xfId="16711" xr:uid="{00000000-0005-0000-0000-0000A1110000}"/>
    <cellStyle name="Normal 12 2 2 2 2 7" xfId="42380" xr:uid="{00000000-0005-0000-0000-0000A2110000}"/>
    <cellStyle name="Normal 12 2 2 2 2 8" xfId="26280" xr:uid="{00000000-0005-0000-0000-0000A3110000}"/>
    <cellStyle name="Normal 12 2 2 2 2 9" xfId="13216" xr:uid="{00000000-0005-0000-0000-0000A4110000}"/>
    <cellStyle name="Normal 12 2 2 2 3" xfId="1025" xr:uid="{00000000-0005-0000-0000-0000A5110000}"/>
    <cellStyle name="Normal 12 2 2 2 3 2" xfId="3053" xr:uid="{00000000-0005-0000-0000-0000A6110000}"/>
    <cellStyle name="Normal 12 2 2 2 3 2 2" xfId="9585" xr:uid="{00000000-0005-0000-0000-0000A7110000}"/>
    <cellStyle name="Normal 12 2 2 2 3 2 2 2" xfId="41326" xr:uid="{00000000-0005-0000-0000-0000A8110000}"/>
    <cellStyle name="Normal 12 2 2 2 3 2 2 2 2" xfId="57426" xr:uid="{00000000-0005-0000-0000-0000A9110000}"/>
    <cellStyle name="Normal 12 2 2 2 3 2 2 3" xfId="47859" xr:uid="{00000000-0005-0000-0000-0000AA110000}"/>
    <cellStyle name="Normal 12 2 2 2 3 2 2 4" xfId="31759" xr:uid="{00000000-0005-0000-0000-0000AB110000}"/>
    <cellStyle name="Normal 12 2 2 2 3 2 2 5" xfId="22190" xr:uid="{00000000-0005-0000-0000-0000AC110000}"/>
    <cellStyle name="Normal 12 2 2 2 3 2 3" xfId="12621" xr:uid="{00000000-0005-0000-0000-0000AD110000}"/>
    <cellStyle name="Normal 12 2 2 2 3 2 3 2" xfId="50895" xr:uid="{00000000-0005-0000-0000-0000AE110000}"/>
    <cellStyle name="Normal 12 2 2 2 3 2 3 3" xfId="34795" xr:uid="{00000000-0005-0000-0000-0000AF110000}"/>
    <cellStyle name="Normal 12 2 2 2 3 2 3 4" xfId="25226" xr:uid="{00000000-0005-0000-0000-0000B0110000}"/>
    <cellStyle name="Normal 12 2 2 2 3 2 4" xfId="6549" xr:uid="{00000000-0005-0000-0000-0000B1110000}"/>
    <cellStyle name="Normal 12 2 2 2 3 2 4 2" xfId="54390" xr:uid="{00000000-0005-0000-0000-0000B2110000}"/>
    <cellStyle name="Normal 12 2 2 2 3 2 4 3" xfId="38290" xr:uid="{00000000-0005-0000-0000-0000B3110000}"/>
    <cellStyle name="Normal 12 2 2 2 3 2 4 4" xfId="19154" xr:uid="{00000000-0005-0000-0000-0000B4110000}"/>
    <cellStyle name="Normal 12 2 2 2 3 2 5" xfId="44823" xr:uid="{00000000-0005-0000-0000-0000B5110000}"/>
    <cellStyle name="Normal 12 2 2 2 3 2 6" xfId="28723" xr:uid="{00000000-0005-0000-0000-0000B6110000}"/>
    <cellStyle name="Normal 12 2 2 2 3 2 7" xfId="15659" xr:uid="{00000000-0005-0000-0000-0000B7110000}"/>
    <cellStyle name="Normal 12 2 2 2 3 3" xfId="2035" xr:uid="{00000000-0005-0000-0000-0000B8110000}"/>
    <cellStyle name="Normal 12 2 2 2 3 3 2" xfId="8569" xr:uid="{00000000-0005-0000-0000-0000B9110000}"/>
    <cellStyle name="Normal 12 2 2 2 3 3 2 2" xfId="40310" xr:uid="{00000000-0005-0000-0000-0000BA110000}"/>
    <cellStyle name="Normal 12 2 2 2 3 3 2 2 2" xfId="56410" xr:uid="{00000000-0005-0000-0000-0000BB110000}"/>
    <cellStyle name="Normal 12 2 2 2 3 3 2 3" xfId="46843" xr:uid="{00000000-0005-0000-0000-0000BC110000}"/>
    <cellStyle name="Normal 12 2 2 2 3 3 2 4" xfId="30743" xr:uid="{00000000-0005-0000-0000-0000BD110000}"/>
    <cellStyle name="Normal 12 2 2 2 3 3 2 5" xfId="21174" xr:uid="{00000000-0005-0000-0000-0000BE110000}"/>
    <cellStyle name="Normal 12 2 2 2 3 3 3" xfId="11605" xr:uid="{00000000-0005-0000-0000-0000BF110000}"/>
    <cellStyle name="Normal 12 2 2 2 3 3 3 2" xfId="49879" xr:uid="{00000000-0005-0000-0000-0000C0110000}"/>
    <cellStyle name="Normal 12 2 2 2 3 3 3 3" xfId="33779" xr:uid="{00000000-0005-0000-0000-0000C1110000}"/>
    <cellStyle name="Normal 12 2 2 2 3 3 3 4" xfId="24210" xr:uid="{00000000-0005-0000-0000-0000C2110000}"/>
    <cellStyle name="Normal 12 2 2 2 3 3 4" xfId="5533" xr:uid="{00000000-0005-0000-0000-0000C3110000}"/>
    <cellStyle name="Normal 12 2 2 2 3 3 4 2" xfId="53374" xr:uid="{00000000-0005-0000-0000-0000C4110000}"/>
    <cellStyle name="Normal 12 2 2 2 3 3 4 3" xfId="37274" xr:uid="{00000000-0005-0000-0000-0000C5110000}"/>
    <cellStyle name="Normal 12 2 2 2 3 3 4 4" xfId="18138" xr:uid="{00000000-0005-0000-0000-0000C6110000}"/>
    <cellStyle name="Normal 12 2 2 2 3 3 5" xfId="43807" xr:uid="{00000000-0005-0000-0000-0000C7110000}"/>
    <cellStyle name="Normal 12 2 2 2 3 3 6" xfId="27707" xr:uid="{00000000-0005-0000-0000-0000C8110000}"/>
    <cellStyle name="Normal 12 2 2 2 3 3 7" xfId="14643" xr:uid="{00000000-0005-0000-0000-0000C9110000}"/>
    <cellStyle name="Normal 12 2 2 2 3 4" xfId="7559" xr:uid="{00000000-0005-0000-0000-0000CA110000}"/>
    <cellStyle name="Normal 12 2 2 2 3 4 2" xfId="39300" xr:uid="{00000000-0005-0000-0000-0000CB110000}"/>
    <cellStyle name="Normal 12 2 2 2 3 4 2 2" xfId="55400" xr:uid="{00000000-0005-0000-0000-0000CC110000}"/>
    <cellStyle name="Normal 12 2 2 2 3 4 3" xfId="45833" xr:uid="{00000000-0005-0000-0000-0000CD110000}"/>
    <cellStyle name="Normal 12 2 2 2 3 4 4" xfId="29733" xr:uid="{00000000-0005-0000-0000-0000CE110000}"/>
    <cellStyle name="Normal 12 2 2 2 3 4 5" xfId="20164" xr:uid="{00000000-0005-0000-0000-0000CF110000}"/>
    <cellStyle name="Normal 12 2 2 2 3 5" xfId="10595" xr:uid="{00000000-0005-0000-0000-0000D0110000}"/>
    <cellStyle name="Normal 12 2 2 2 3 5 2" xfId="48869" xr:uid="{00000000-0005-0000-0000-0000D1110000}"/>
    <cellStyle name="Normal 12 2 2 2 3 5 3" xfId="32769" xr:uid="{00000000-0005-0000-0000-0000D2110000}"/>
    <cellStyle name="Normal 12 2 2 2 3 5 4" xfId="23200" xr:uid="{00000000-0005-0000-0000-0000D3110000}"/>
    <cellStyle name="Normal 12 2 2 2 3 6" xfId="4523" xr:uid="{00000000-0005-0000-0000-0000D4110000}"/>
    <cellStyle name="Normal 12 2 2 2 3 6 2" xfId="52364" xr:uid="{00000000-0005-0000-0000-0000D5110000}"/>
    <cellStyle name="Normal 12 2 2 2 3 6 3" xfId="36264" xr:uid="{00000000-0005-0000-0000-0000D6110000}"/>
    <cellStyle name="Normal 12 2 2 2 3 6 4" xfId="17128" xr:uid="{00000000-0005-0000-0000-0000D7110000}"/>
    <cellStyle name="Normal 12 2 2 2 3 7" xfId="42797" xr:uid="{00000000-0005-0000-0000-0000D8110000}"/>
    <cellStyle name="Normal 12 2 2 2 3 8" xfId="26697" xr:uid="{00000000-0005-0000-0000-0000D9110000}"/>
    <cellStyle name="Normal 12 2 2 2 3 9" xfId="13633" xr:uid="{00000000-0005-0000-0000-0000DA110000}"/>
    <cellStyle name="Normal 12 2 2 2 4" xfId="2229" xr:uid="{00000000-0005-0000-0000-0000DB110000}"/>
    <cellStyle name="Normal 12 2 2 2 4 2" xfId="8763" xr:uid="{00000000-0005-0000-0000-0000DC110000}"/>
    <cellStyle name="Normal 12 2 2 2 4 2 2" xfId="40504" xr:uid="{00000000-0005-0000-0000-0000DD110000}"/>
    <cellStyle name="Normal 12 2 2 2 4 2 2 2" xfId="56604" xr:uid="{00000000-0005-0000-0000-0000DE110000}"/>
    <cellStyle name="Normal 12 2 2 2 4 2 3" xfId="47037" xr:uid="{00000000-0005-0000-0000-0000DF110000}"/>
    <cellStyle name="Normal 12 2 2 2 4 2 4" xfId="30937" xr:uid="{00000000-0005-0000-0000-0000E0110000}"/>
    <cellStyle name="Normal 12 2 2 2 4 2 5" xfId="21368" xr:uid="{00000000-0005-0000-0000-0000E1110000}"/>
    <cellStyle name="Normal 12 2 2 2 4 3" xfId="11799" xr:uid="{00000000-0005-0000-0000-0000E2110000}"/>
    <cellStyle name="Normal 12 2 2 2 4 3 2" xfId="50073" xr:uid="{00000000-0005-0000-0000-0000E3110000}"/>
    <cellStyle name="Normal 12 2 2 2 4 3 3" xfId="33973" xr:uid="{00000000-0005-0000-0000-0000E4110000}"/>
    <cellStyle name="Normal 12 2 2 2 4 3 4" xfId="24404" xr:uid="{00000000-0005-0000-0000-0000E5110000}"/>
    <cellStyle name="Normal 12 2 2 2 4 4" xfId="5727" xr:uid="{00000000-0005-0000-0000-0000E6110000}"/>
    <cellStyle name="Normal 12 2 2 2 4 4 2" xfId="53568" xr:uid="{00000000-0005-0000-0000-0000E7110000}"/>
    <cellStyle name="Normal 12 2 2 2 4 4 3" xfId="37468" xr:uid="{00000000-0005-0000-0000-0000E8110000}"/>
    <cellStyle name="Normal 12 2 2 2 4 4 4" xfId="18332" xr:uid="{00000000-0005-0000-0000-0000E9110000}"/>
    <cellStyle name="Normal 12 2 2 2 4 5" xfId="44001" xr:uid="{00000000-0005-0000-0000-0000EA110000}"/>
    <cellStyle name="Normal 12 2 2 2 4 6" xfId="27901" xr:uid="{00000000-0005-0000-0000-0000EB110000}"/>
    <cellStyle name="Normal 12 2 2 2 4 7" xfId="14837" xr:uid="{00000000-0005-0000-0000-0000EC110000}"/>
    <cellStyle name="Normal 12 2 2 2 5" xfId="1441" xr:uid="{00000000-0005-0000-0000-0000ED110000}"/>
    <cellStyle name="Normal 12 2 2 2 5 2" xfId="7975" xr:uid="{00000000-0005-0000-0000-0000EE110000}"/>
    <cellStyle name="Normal 12 2 2 2 5 2 2" xfId="39716" xr:uid="{00000000-0005-0000-0000-0000EF110000}"/>
    <cellStyle name="Normal 12 2 2 2 5 2 2 2" xfId="55816" xr:uid="{00000000-0005-0000-0000-0000F0110000}"/>
    <cellStyle name="Normal 12 2 2 2 5 2 3" xfId="46249" xr:uid="{00000000-0005-0000-0000-0000F1110000}"/>
    <cellStyle name="Normal 12 2 2 2 5 2 4" xfId="30149" xr:uid="{00000000-0005-0000-0000-0000F2110000}"/>
    <cellStyle name="Normal 12 2 2 2 5 2 5" xfId="20580" xr:uid="{00000000-0005-0000-0000-0000F3110000}"/>
    <cellStyle name="Normal 12 2 2 2 5 3" xfId="11011" xr:uid="{00000000-0005-0000-0000-0000F4110000}"/>
    <cellStyle name="Normal 12 2 2 2 5 3 2" xfId="49285" xr:uid="{00000000-0005-0000-0000-0000F5110000}"/>
    <cellStyle name="Normal 12 2 2 2 5 3 3" xfId="33185" xr:uid="{00000000-0005-0000-0000-0000F6110000}"/>
    <cellStyle name="Normal 12 2 2 2 5 3 4" xfId="23616" xr:uid="{00000000-0005-0000-0000-0000F7110000}"/>
    <cellStyle name="Normal 12 2 2 2 5 4" xfId="4939" xr:uid="{00000000-0005-0000-0000-0000F8110000}"/>
    <cellStyle name="Normal 12 2 2 2 5 4 2" xfId="52780" xr:uid="{00000000-0005-0000-0000-0000F9110000}"/>
    <cellStyle name="Normal 12 2 2 2 5 4 3" xfId="36680" xr:uid="{00000000-0005-0000-0000-0000FA110000}"/>
    <cellStyle name="Normal 12 2 2 2 5 4 4" xfId="17544" xr:uid="{00000000-0005-0000-0000-0000FB110000}"/>
    <cellStyle name="Normal 12 2 2 2 5 5" xfId="43213" xr:uid="{00000000-0005-0000-0000-0000FC110000}"/>
    <cellStyle name="Normal 12 2 2 2 5 6" xfId="27113" xr:uid="{00000000-0005-0000-0000-0000FD110000}"/>
    <cellStyle name="Normal 12 2 2 2 5 7" xfId="14049" xr:uid="{00000000-0005-0000-0000-0000FE110000}"/>
    <cellStyle name="Normal 12 2 2 2 6" xfId="3929" xr:uid="{00000000-0005-0000-0000-0000FF110000}"/>
    <cellStyle name="Normal 12 2 2 2 6 2" xfId="35670" xr:uid="{00000000-0005-0000-0000-000000120000}"/>
    <cellStyle name="Normal 12 2 2 2 6 2 2" xfId="51770" xr:uid="{00000000-0005-0000-0000-000001120000}"/>
    <cellStyle name="Normal 12 2 2 2 6 3" xfId="42203" xr:uid="{00000000-0005-0000-0000-000002120000}"/>
    <cellStyle name="Normal 12 2 2 2 6 4" xfId="26103" xr:uid="{00000000-0005-0000-0000-000003120000}"/>
    <cellStyle name="Normal 12 2 2 2 6 5" xfId="16534" xr:uid="{00000000-0005-0000-0000-000004120000}"/>
    <cellStyle name="Normal 12 2 2 2 7" xfId="6965" xr:uid="{00000000-0005-0000-0000-000005120000}"/>
    <cellStyle name="Normal 12 2 2 2 7 2" xfId="38706" xr:uid="{00000000-0005-0000-0000-000006120000}"/>
    <cellStyle name="Normal 12 2 2 2 7 2 2" xfId="54806" xr:uid="{00000000-0005-0000-0000-000007120000}"/>
    <cellStyle name="Normal 12 2 2 2 7 3" xfId="45239" xr:uid="{00000000-0005-0000-0000-000008120000}"/>
    <cellStyle name="Normal 12 2 2 2 7 4" xfId="29139" xr:uid="{00000000-0005-0000-0000-000009120000}"/>
    <cellStyle name="Normal 12 2 2 2 7 5" xfId="19570" xr:uid="{00000000-0005-0000-0000-00000A120000}"/>
    <cellStyle name="Normal 12 2 2 2 8" xfId="10001" xr:uid="{00000000-0005-0000-0000-00000B120000}"/>
    <cellStyle name="Normal 12 2 2 2 8 2" xfId="48275" xr:uid="{00000000-0005-0000-0000-00000C120000}"/>
    <cellStyle name="Normal 12 2 2 2 8 3" xfId="32175" xr:uid="{00000000-0005-0000-0000-00000D120000}"/>
    <cellStyle name="Normal 12 2 2 2 8 4" xfId="22606" xr:uid="{00000000-0005-0000-0000-00000E120000}"/>
    <cellStyle name="Normal 12 2 2 2 9" xfId="3390" xr:uid="{00000000-0005-0000-0000-00000F120000}"/>
    <cellStyle name="Normal 12 2 2 2 9 2" xfId="51231" xr:uid="{00000000-0005-0000-0000-000010120000}"/>
    <cellStyle name="Normal 12 2 2 2 9 3" xfId="35131" xr:uid="{00000000-0005-0000-0000-000011120000}"/>
    <cellStyle name="Normal 12 2 2 2 9 4" xfId="15995" xr:uid="{00000000-0005-0000-0000-000012120000}"/>
    <cellStyle name="Normal 12 2 2 3" xfId="316" xr:uid="{00000000-0005-0000-0000-000013120000}"/>
    <cellStyle name="Normal 12 2 2 3 2" xfId="2335" xr:uid="{00000000-0005-0000-0000-000014120000}"/>
    <cellStyle name="Normal 12 2 2 3 2 2" xfId="8869" xr:uid="{00000000-0005-0000-0000-000015120000}"/>
    <cellStyle name="Normal 12 2 2 3 2 2 2" xfId="40610" xr:uid="{00000000-0005-0000-0000-000016120000}"/>
    <cellStyle name="Normal 12 2 2 3 2 2 2 2" xfId="56710" xr:uid="{00000000-0005-0000-0000-000017120000}"/>
    <cellStyle name="Normal 12 2 2 3 2 2 3" xfId="47143" xr:uid="{00000000-0005-0000-0000-000018120000}"/>
    <cellStyle name="Normal 12 2 2 3 2 2 4" xfId="31043" xr:uid="{00000000-0005-0000-0000-000019120000}"/>
    <cellStyle name="Normal 12 2 2 3 2 2 5" xfId="21474" xr:uid="{00000000-0005-0000-0000-00001A120000}"/>
    <cellStyle name="Normal 12 2 2 3 2 3" xfId="11905" xr:uid="{00000000-0005-0000-0000-00001B120000}"/>
    <cellStyle name="Normal 12 2 2 3 2 3 2" xfId="50179" xr:uid="{00000000-0005-0000-0000-00001C120000}"/>
    <cellStyle name="Normal 12 2 2 3 2 3 3" xfId="34079" xr:uid="{00000000-0005-0000-0000-00001D120000}"/>
    <cellStyle name="Normal 12 2 2 3 2 3 4" xfId="24510" xr:uid="{00000000-0005-0000-0000-00001E120000}"/>
    <cellStyle name="Normal 12 2 2 3 2 4" xfId="5833" xr:uid="{00000000-0005-0000-0000-00001F120000}"/>
    <cellStyle name="Normal 12 2 2 3 2 4 2" xfId="53674" xr:uid="{00000000-0005-0000-0000-000020120000}"/>
    <cellStyle name="Normal 12 2 2 3 2 4 3" xfId="37574" xr:uid="{00000000-0005-0000-0000-000021120000}"/>
    <cellStyle name="Normal 12 2 2 3 2 4 4" xfId="18438" xr:uid="{00000000-0005-0000-0000-000022120000}"/>
    <cellStyle name="Normal 12 2 2 3 2 5" xfId="44107" xr:uid="{00000000-0005-0000-0000-000023120000}"/>
    <cellStyle name="Normal 12 2 2 3 2 6" xfId="28007" xr:uid="{00000000-0005-0000-0000-000024120000}"/>
    <cellStyle name="Normal 12 2 2 3 2 7" xfId="14943" xr:uid="{00000000-0005-0000-0000-000025120000}"/>
    <cellStyle name="Normal 12 2 2 3 3" xfId="1547" xr:uid="{00000000-0005-0000-0000-000026120000}"/>
    <cellStyle name="Normal 12 2 2 3 3 2" xfId="8081" xr:uid="{00000000-0005-0000-0000-000027120000}"/>
    <cellStyle name="Normal 12 2 2 3 3 2 2" xfId="39822" xr:uid="{00000000-0005-0000-0000-000028120000}"/>
    <cellStyle name="Normal 12 2 2 3 3 2 2 2" xfId="55922" xr:uid="{00000000-0005-0000-0000-000029120000}"/>
    <cellStyle name="Normal 12 2 2 3 3 2 3" xfId="46355" xr:uid="{00000000-0005-0000-0000-00002A120000}"/>
    <cellStyle name="Normal 12 2 2 3 3 2 4" xfId="30255" xr:uid="{00000000-0005-0000-0000-00002B120000}"/>
    <cellStyle name="Normal 12 2 2 3 3 2 5" xfId="20686" xr:uid="{00000000-0005-0000-0000-00002C120000}"/>
    <cellStyle name="Normal 12 2 2 3 3 3" xfId="11117" xr:uid="{00000000-0005-0000-0000-00002D120000}"/>
    <cellStyle name="Normal 12 2 2 3 3 3 2" xfId="49391" xr:uid="{00000000-0005-0000-0000-00002E120000}"/>
    <cellStyle name="Normal 12 2 2 3 3 3 3" xfId="33291" xr:uid="{00000000-0005-0000-0000-00002F120000}"/>
    <cellStyle name="Normal 12 2 2 3 3 3 4" xfId="23722" xr:uid="{00000000-0005-0000-0000-000030120000}"/>
    <cellStyle name="Normal 12 2 2 3 3 4" xfId="5045" xr:uid="{00000000-0005-0000-0000-000031120000}"/>
    <cellStyle name="Normal 12 2 2 3 3 4 2" xfId="52886" xr:uid="{00000000-0005-0000-0000-000032120000}"/>
    <cellStyle name="Normal 12 2 2 3 3 4 3" xfId="36786" xr:uid="{00000000-0005-0000-0000-000033120000}"/>
    <cellStyle name="Normal 12 2 2 3 3 4 4" xfId="17650" xr:uid="{00000000-0005-0000-0000-000034120000}"/>
    <cellStyle name="Normal 12 2 2 3 3 5" xfId="43319" xr:uid="{00000000-0005-0000-0000-000035120000}"/>
    <cellStyle name="Normal 12 2 2 3 3 6" xfId="27219" xr:uid="{00000000-0005-0000-0000-000036120000}"/>
    <cellStyle name="Normal 12 2 2 3 3 7" xfId="14155" xr:uid="{00000000-0005-0000-0000-000037120000}"/>
    <cellStyle name="Normal 12 2 2 3 4" xfId="7071" xr:uid="{00000000-0005-0000-0000-000038120000}"/>
    <cellStyle name="Normal 12 2 2 3 4 2" xfId="38812" xr:uid="{00000000-0005-0000-0000-000039120000}"/>
    <cellStyle name="Normal 12 2 2 3 4 2 2" xfId="54912" xr:uid="{00000000-0005-0000-0000-00003A120000}"/>
    <cellStyle name="Normal 12 2 2 3 4 3" xfId="45345" xr:uid="{00000000-0005-0000-0000-00003B120000}"/>
    <cellStyle name="Normal 12 2 2 3 4 4" xfId="29245" xr:uid="{00000000-0005-0000-0000-00003C120000}"/>
    <cellStyle name="Normal 12 2 2 3 4 5" xfId="19676" xr:uid="{00000000-0005-0000-0000-00003D120000}"/>
    <cellStyle name="Normal 12 2 2 3 5" xfId="10107" xr:uid="{00000000-0005-0000-0000-00003E120000}"/>
    <cellStyle name="Normal 12 2 2 3 5 2" xfId="48381" xr:uid="{00000000-0005-0000-0000-00003F120000}"/>
    <cellStyle name="Normal 12 2 2 3 5 3" xfId="32281" xr:uid="{00000000-0005-0000-0000-000040120000}"/>
    <cellStyle name="Normal 12 2 2 3 5 4" xfId="22712" xr:uid="{00000000-0005-0000-0000-000041120000}"/>
    <cellStyle name="Normal 12 2 2 3 6" xfId="4035" xr:uid="{00000000-0005-0000-0000-000042120000}"/>
    <cellStyle name="Normal 12 2 2 3 6 2" xfId="51876" xr:uid="{00000000-0005-0000-0000-000043120000}"/>
    <cellStyle name="Normal 12 2 2 3 6 3" xfId="35776" xr:uid="{00000000-0005-0000-0000-000044120000}"/>
    <cellStyle name="Normal 12 2 2 3 6 4" xfId="16640" xr:uid="{00000000-0005-0000-0000-000045120000}"/>
    <cellStyle name="Normal 12 2 2 3 7" xfId="42309" xr:uid="{00000000-0005-0000-0000-000046120000}"/>
    <cellStyle name="Normal 12 2 2 3 8" xfId="26209" xr:uid="{00000000-0005-0000-0000-000047120000}"/>
    <cellStyle name="Normal 12 2 2 3 9" xfId="13145" xr:uid="{00000000-0005-0000-0000-000048120000}"/>
    <cellStyle name="Normal 12 2 2 4" xfId="573" xr:uid="{00000000-0005-0000-0000-000049120000}"/>
    <cellStyle name="Normal 12 2 2 4 2" xfId="2602" xr:uid="{00000000-0005-0000-0000-00004A120000}"/>
    <cellStyle name="Normal 12 2 2 4 2 2" xfId="9134" xr:uid="{00000000-0005-0000-0000-00004B120000}"/>
    <cellStyle name="Normal 12 2 2 4 2 2 2" xfId="40875" xr:uid="{00000000-0005-0000-0000-00004C120000}"/>
    <cellStyle name="Normal 12 2 2 4 2 2 2 2" xfId="56975" xr:uid="{00000000-0005-0000-0000-00004D120000}"/>
    <cellStyle name="Normal 12 2 2 4 2 2 3" xfId="47408" xr:uid="{00000000-0005-0000-0000-00004E120000}"/>
    <cellStyle name="Normal 12 2 2 4 2 2 4" xfId="31308" xr:uid="{00000000-0005-0000-0000-00004F120000}"/>
    <cellStyle name="Normal 12 2 2 4 2 2 5" xfId="21739" xr:uid="{00000000-0005-0000-0000-000050120000}"/>
    <cellStyle name="Normal 12 2 2 4 2 3" xfId="12170" xr:uid="{00000000-0005-0000-0000-000051120000}"/>
    <cellStyle name="Normal 12 2 2 4 2 3 2" xfId="50444" xr:uid="{00000000-0005-0000-0000-000052120000}"/>
    <cellStyle name="Normal 12 2 2 4 2 3 3" xfId="34344" xr:uid="{00000000-0005-0000-0000-000053120000}"/>
    <cellStyle name="Normal 12 2 2 4 2 3 4" xfId="24775" xr:uid="{00000000-0005-0000-0000-000054120000}"/>
    <cellStyle name="Normal 12 2 2 4 2 4" xfId="6098" xr:uid="{00000000-0005-0000-0000-000055120000}"/>
    <cellStyle name="Normal 12 2 2 4 2 4 2" xfId="53939" xr:uid="{00000000-0005-0000-0000-000056120000}"/>
    <cellStyle name="Normal 12 2 2 4 2 4 3" xfId="37839" xr:uid="{00000000-0005-0000-0000-000057120000}"/>
    <cellStyle name="Normal 12 2 2 4 2 4 4" xfId="18703" xr:uid="{00000000-0005-0000-0000-000058120000}"/>
    <cellStyle name="Normal 12 2 2 4 2 5" xfId="44372" xr:uid="{00000000-0005-0000-0000-000059120000}"/>
    <cellStyle name="Normal 12 2 2 4 2 6" xfId="28272" xr:uid="{00000000-0005-0000-0000-00005A120000}"/>
    <cellStyle name="Normal 12 2 2 4 2 7" xfId="15208" xr:uid="{00000000-0005-0000-0000-00005B120000}"/>
    <cellStyle name="Normal 12 2 2 4 3" xfId="1370" xr:uid="{00000000-0005-0000-0000-00005C120000}"/>
    <cellStyle name="Normal 12 2 2 4 3 2" xfId="7904" xr:uid="{00000000-0005-0000-0000-00005D120000}"/>
    <cellStyle name="Normal 12 2 2 4 3 2 2" xfId="39645" xr:uid="{00000000-0005-0000-0000-00005E120000}"/>
    <cellStyle name="Normal 12 2 2 4 3 2 2 2" xfId="55745" xr:uid="{00000000-0005-0000-0000-00005F120000}"/>
    <cellStyle name="Normal 12 2 2 4 3 2 3" xfId="46178" xr:uid="{00000000-0005-0000-0000-000060120000}"/>
    <cellStyle name="Normal 12 2 2 4 3 2 4" xfId="30078" xr:uid="{00000000-0005-0000-0000-000061120000}"/>
    <cellStyle name="Normal 12 2 2 4 3 2 5" xfId="20509" xr:uid="{00000000-0005-0000-0000-000062120000}"/>
    <cellStyle name="Normal 12 2 2 4 3 3" xfId="10940" xr:uid="{00000000-0005-0000-0000-000063120000}"/>
    <cellStyle name="Normal 12 2 2 4 3 3 2" xfId="49214" xr:uid="{00000000-0005-0000-0000-000064120000}"/>
    <cellStyle name="Normal 12 2 2 4 3 3 3" xfId="33114" xr:uid="{00000000-0005-0000-0000-000065120000}"/>
    <cellStyle name="Normal 12 2 2 4 3 3 4" xfId="23545" xr:uid="{00000000-0005-0000-0000-000066120000}"/>
    <cellStyle name="Normal 12 2 2 4 3 4" xfId="4868" xr:uid="{00000000-0005-0000-0000-000067120000}"/>
    <cellStyle name="Normal 12 2 2 4 3 4 2" xfId="52709" xr:uid="{00000000-0005-0000-0000-000068120000}"/>
    <cellStyle name="Normal 12 2 2 4 3 4 3" xfId="36609" xr:uid="{00000000-0005-0000-0000-000069120000}"/>
    <cellStyle name="Normal 12 2 2 4 3 4 4" xfId="17473" xr:uid="{00000000-0005-0000-0000-00006A120000}"/>
    <cellStyle name="Normal 12 2 2 4 3 5" xfId="43142" xr:uid="{00000000-0005-0000-0000-00006B120000}"/>
    <cellStyle name="Normal 12 2 2 4 3 6" xfId="27042" xr:uid="{00000000-0005-0000-0000-00006C120000}"/>
    <cellStyle name="Normal 12 2 2 4 3 7" xfId="13978" xr:uid="{00000000-0005-0000-0000-00006D120000}"/>
    <cellStyle name="Normal 12 2 2 4 4" xfId="6894" xr:uid="{00000000-0005-0000-0000-00006E120000}"/>
    <cellStyle name="Normal 12 2 2 4 4 2" xfId="38635" xr:uid="{00000000-0005-0000-0000-00006F120000}"/>
    <cellStyle name="Normal 12 2 2 4 4 2 2" xfId="54735" xr:uid="{00000000-0005-0000-0000-000070120000}"/>
    <cellStyle name="Normal 12 2 2 4 4 3" xfId="45168" xr:uid="{00000000-0005-0000-0000-000071120000}"/>
    <cellStyle name="Normal 12 2 2 4 4 4" xfId="29068" xr:uid="{00000000-0005-0000-0000-000072120000}"/>
    <cellStyle name="Normal 12 2 2 4 4 5" xfId="19499" xr:uid="{00000000-0005-0000-0000-000073120000}"/>
    <cellStyle name="Normal 12 2 2 4 5" xfId="9930" xr:uid="{00000000-0005-0000-0000-000074120000}"/>
    <cellStyle name="Normal 12 2 2 4 5 2" xfId="48204" xr:uid="{00000000-0005-0000-0000-000075120000}"/>
    <cellStyle name="Normal 12 2 2 4 5 3" xfId="32104" xr:uid="{00000000-0005-0000-0000-000076120000}"/>
    <cellStyle name="Normal 12 2 2 4 5 4" xfId="22535" xr:uid="{00000000-0005-0000-0000-000077120000}"/>
    <cellStyle name="Normal 12 2 2 4 6" xfId="3858" xr:uid="{00000000-0005-0000-0000-000078120000}"/>
    <cellStyle name="Normal 12 2 2 4 6 2" xfId="51699" xr:uid="{00000000-0005-0000-0000-000079120000}"/>
    <cellStyle name="Normal 12 2 2 4 6 3" xfId="35599" xr:uid="{00000000-0005-0000-0000-00007A120000}"/>
    <cellStyle name="Normal 12 2 2 4 6 4" xfId="16463" xr:uid="{00000000-0005-0000-0000-00007B120000}"/>
    <cellStyle name="Normal 12 2 2 4 7" xfId="42132" xr:uid="{00000000-0005-0000-0000-00007C120000}"/>
    <cellStyle name="Normal 12 2 2 4 8" xfId="26032" xr:uid="{00000000-0005-0000-0000-00007D120000}"/>
    <cellStyle name="Normal 12 2 2 4 9" xfId="12968" xr:uid="{00000000-0005-0000-0000-00007E120000}"/>
    <cellStyle name="Normal 12 2 2 5" xfId="797" xr:uid="{00000000-0005-0000-0000-00007F120000}"/>
    <cellStyle name="Normal 12 2 2 5 2" xfId="2825" xr:uid="{00000000-0005-0000-0000-000080120000}"/>
    <cellStyle name="Normal 12 2 2 5 2 2" xfId="9357" xr:uid="{00000000-0005-0000-0000-000081120000}"/>
    <cellStyle name="Normal 12 2 2 5 2 2 2" xfId="41098" xr:uid="{00000000-0005-0000-0000-000082120000}"/>
    <cellStyle name="Normal 12 2 2 5 2 2 2 2" xfId="57198" xr:uid="{00000000-0005-0000-0000-000083120000}"/>
    <cellStyle name="Normal 12 2 2 5 2 2 3" xfId="47631" xr:uid="{00000000-0005-0000-0000-000084120000}"/>
    <cellStyle name="Normal 12 2 2 5 2 2 4" xfId="31531" xr:uid="{00000000-0005-0000-0000-000085120000}"/>
    <cellStyle name="Normal 12 2 2 5 2 2 5" xfId="21962" xr:uid="{00000000-0005-0000-0000-000086120000}"/>
    <cellStyle name="Normal 12 2 2 5 2 3" xfId="12393" xr:uid="{00000000-0005-0000-0000-000087120000}"/>
    <cellStyle name="Normal 12 2 2 5 2 3 2" xfId="50667" xr:uid="{00000000-0005-0000-0000-000088120000}"/>
    <cellStyle name="Normal 12 2 2 5 2 3 3" xfId="34567" xr:uid="{00000000-0005-0000-0000-000089120000}"/>
    <cellStyle name="Normal 12 2 2 5 2 3 4" xfId="24998" xr:uid="{00000000-0005-0000-0000-00008A120000}"/>
    <cellStyle name="Normal 12 2 2 5 2 4" xfId="6321" xr:uid="{00000000-0005-0000-0000-00008B120000}"/>
    <cellStyle name="Normal 12 2 2 5 2 4 2" xfId="54162" xr:uid="{00000000-0005-0000-0000-00008C120000}"/>
    <cellStyle name="Normal 12 2 2 5 2 4 3" xfId="38062" xr:uid="{00000000-0005-0000-0000-00008D120000}"/>
    <cellStyle name="Normal 12 2 2 5 2 4 4" xfId="18926" xr:uid="{00000000-0005-0000-0000-00008E120000}"/>
    <cellStyle name="Normal 12 2 2 5 2 5" xfId="44595" xr:uid="{00000000-0005-0000-0000-00008F120000}"/>
    <cellStyle name="Normal 12 2 2 5 2 6" xfId="28495" xr:uid="{00000000-0005-0000-0000-000090120000}"/>
    <cellStyle name="Normal 12 2 2 5 2 7" xfId="15431" xr:uid="{00000000-0005-0000-0000-000091120000}"/>
    <cellStyle name="Normal 12 2 2 5 3" xfId="1807" xr:uid="{00000000-0005-0000-0000-000092120000}"/>
    <cellStyle name="Normal 12 2 2 5 3 2" xfId="8341" xr:uid="{00000000-0005-0000-0000-000093120000}"/>
    <cellStyle name="Normal 12 2 2 5 3 2 2" xfId="40082" xr:uid="{00000000-0005-0000-0000-000094120000}"/>
    <cellStyle name="Normal 12 2 2 5 3 2 2 2" xfId="56182" xr:uid="{00000000-0005-0000-0000-000095120000}"/>
    <cellStyle name="Normal 12 2 2 5 3 2 3" xfId="46615" xr:uid="{00000000-0005-0000-0000-000096120000}"/>
    <cellStyle name="Normal 12 2 2 5 3 2 4" xfId="30515" xr:uid="{00000000-0005-0000-0000-000097120000}"/>
    <cellStyle name="Normal 12 2 2 5 3 2 5" xfId="20946" xr:uid="{00000000-0005-0000-0000-000098120000}"/>
    <cellStyle name="Normal 12 2 2 5 3 3" xfId="11377" xr:uid="{00000000-0005-0000-0000-000099120000}"/>
    <cellStyle name="Normal 12 2 2 5 3 3 2" xfId="49651" xr:uid="{00000000-0005-0000-0000-00009A120000}"/>
    <cellStyle name="Normal 12 2 2 5 3 3 3" xfId="33551" xr:uid="{00000000-0005-0000-0000-00009B120000}"/>
    <cellStyle name="Normal 12 2 2 5 3 3 4" xfId="23982" xr:uid="{00000000-0005-0000-0000-00009C120000}"/>
    <cellStyle name="Normal 12 2 2 5 3 4" xfId="5305" xr:uid="{00000000-0005-0000-0000-00009D120000}"/>
    <cellStyle name="Normal 12 2 2 5 3 4 2" xfId="53146" xr:uid="{00000000-0005-0000-0000-00009E120000}"/>
    <cellStyle name="Normal 12 2 2 5 3 4 3" xfId="37046" xr:uid="{00000000-0005-0000-0000-00009F120000}"/>
    <cellStyle name="Normal 12 2 2 5 3 4 4" xfId="17910" xr:uid="{00000000-0005-0000-0000-0000A0120000}"/>
    <cellStyle name="Normal 12 2 2 5 3 5" xfId="43579" xr:uid="{00000000-0005-0000-0000-0000A1120000}"/>
    <cellStyle name="Normal 12 2 2 5 3 6" xfId="27479" xr:uid="{00000000-0005-0000-0000-0000A2120000}"/>
    <cellStyle name="Normal 12 2 2 5 3 7" xfId="14415" xr:uid="{00000000-0005-0000-0000-0000A3120000}"/>
    <cellStyle name="Normal 12 2 2 5 4" xfId="7331" xr:uid="{00000000-0005-0000-0000-0000A4120000}"/>
    <cellStyle name="Normal 12 2 2 5 4 2" xfId="39072" xr:uid="{00000000-0005-0000-0000-0000A5120000}"/>
    <cellStyle name="Normal 12 2 2 5 4 2 2" xfId="55172" xr:uid="{00000000-0005-0000-0000-0000A6120000}"/>
    <cellStyle name="Normal 12 2 2 5 4 3" xfId="45605" xr:uid="{00000000-0005-0000-0000-0000A7120000}"/>
    <cellStyle name="Normal 12 2 2 5 4 4" xfId="29505" xr:uid="{00000000-0005-0000-0000-0000A8120000}"/>
    <cellStyle name="Normal 12 2 2 5 4 5" xfId="19936" xr:uid="{00000000-0005-0000-0000-0000A9120000}"/>
    <cellStyle name="Normal 12 2 2 5 5" xfId="10367" xr:uid="{00000000-0005-0000-0000-0000AA120000}"/>
    <cellStyle name="Normal 12 2 2 5 5 2" xfId="48641" xr:uid="{00000000-0005-0000-0000-0000AB120000}"/>
    <cellStyle name="Normal 12 2 2 5 5 3" xfId="32541" xr:uid="{00000000-0005-0000-0000-0000AC120000}"/>
    <cellStyle name="Normal 12 2 2 5 5 4" xfId="22972" xr:uid="{00000000-0005-0000-0000-0000AD120000}"/>
    <cellStyle name="Normal 12 2 2 5 6" xfId="4295" xr:uid="{00000000-0005-0000-0000-0000AE120000}"/>
    <cellStyle name="Normal 12 2 2 5 6 2" xfId="52136" xr:uid="{00000000-0005-0000-0000-0000AF120000}"/>
    <cellStyle name="Normal 12 2 2 5 6 3" xfId="36036" xr:uid="{00000000-0005-0000-0000-0000B0120000}"/>
    <cellStyle name="Normal 12 2 2 5 6 4" xfId="16900" xr:uid="{00000000-0005-0000-0000-0000B1120000}"/>
    <cellStyle name="Normal 12 2 2 5 7" xfId="42569" xr:uid="{00000000-0005-0000-0000-0000B2120000}"/>
    <cellStyle name="Normal 12 2 2 5 8" xfId="26469" xr:uid="{00000000-0005-0000-0000-0000B3120000}"/>
    <cellStyle name="Normal 12 2 2 5 9" xfId="13405" xr:uid="{00000000-0005-0000-0000-0000B4120000}"/>
    <cellStyle name="Normal 12 2 2 6" xfId="2158" xr:uid="{00000000-0005-0000-0000-0000B5120000}"/>
    <cellStyle name="Normal 12 2 2 6 2" xfId="8692" xr:uid="{00000000-0005-0000-0000-0000B6120000}"/>
    <cellStyle name="Normal 12 2 2 6 2 2" xfId="40433" xr:uid="{00000000-0005-0000-0000-0000B7120000}"/>
    <cellStyle name="Normal 12 2 2 6 2 2 2" xfId="56533" xr:uid="{00000000-0005-0000-0000-0000B8120000}"/>
    <cellStyle name="Normal 12 2 2 6 2 3" xfId="46966" xr:uid="{00000000-0005-0000-0000-0000B9120000}"/>
    <cellStyle name="Normal 12 2 2 6 2 4" xfId="30866" xr:uid="{00000000-0005-0000-0000-0000BA120000}"/>
    <cellStyle name="Normal 12 2 2 6 2 5" xfId="21297" xr:uid="{00000000-0005-0000-0000-0000BB120000}"/>
    <cellStyle name="Normal 12 2 2 6 3" xfId="11728" xr:uid="{00000000-0005-0000-0000-0000BC120000}"/>
    <cellStyle name="Normal 12 2 2 6 3 2" xfId="50002" xr:uid="{00000000-0005-0000-0000-0000BD120000}"/>
    <cellStyle name="Normal 12 2 2 6 3 3" xfId="33902" xr:uid="{00000000-0005-0000-0000-0000BE120000}"/>
    <cellStyle name="Normal 12 2 2 6 3 4" xfId="24333" xr:uid="{00000000-0005-0000-0000-0000BF120000}"/>
    <cellStyle name="Normal 12 2 2 6 4" xfId="5656" xr:uid="{00000000-0005-0000-0000-0000C0120000}"/>
    <cellStyle name="Normal 12 2 2 6 4 2" xfId="53497" xr:uid="{00000000-0005-0000-0000-0000C1120000}"/>
    <cellStyle name="Normal 12 2 2 6 4 3" xfId="37397" xr:uid="{00000000-0005-0000-0000-0000C2120000}"/>
    <cellStyle name="Normal 12 2 2 6 4 4" xfId="18261" xr:uid="{00000000-0005-0000-0000-0000C3120000}"/>
    <cellStyle name="Normal 12 2 2 6 5" xfId="43930" xr:uid="{00000000-0005-0000-0000-0000C4120000}"/>
    <cellStyle name="Normal 12 2 2 6 6" xfId="27830" xr:uid="{00000000-0005-0000-0000-0000C5120000}"/>
    <cellStyle name="Normal 12 2 2 6 7" xfId="14766" xr:uid="{00000000-0005-0000-0000-0000C6120000}"/>
    <cellStyle name="Normal 12 2 2 7" xfId="1124" xr:uid="{00000000-0005-0000-0000-0000C7120000}"/>
    <cellStyle name="Normal 12 2 2 7 2" xfId="7658" xr:uid="{00000000-0005-0000-0000-0000C8120000}"/>
    <cellStyle name="Normal 12 2 2 7 2 2" xfId="39399" xr:uid="{00000000-0005-0000-0000-0000C9120000}"/>
    <cellStyle name="Normal 12 2 2 7 2 2 2" xfId="55499" xr:uid="{00000000-0005-0000-0000-0000CA120000}"/>
    <cellStyle name="Normal 12 2 2 7 2 3" xfId="45932" xr:uid="{00000000-0005-0000-0000-0000CB120000}"/>
    <cellStyle name="Normal 12 2 2 7 2 4" xfId="29832" xr:uid="{00000000-0005-0000-0000-0000CC120000}"/>
    <cellStyle name="Normal 12 2 2 7 2 5" xfId="20263" xr:uid="{00000000-0005-0000-0000-0000CD120000}"/>
    <cellStyle name="Normal 12 2 2 7 3" xfId="10694" xr:uid="{00000000-0005-0000-0000-0000CE120000}"/>
    <cellStyle name="Normal 12 2 2 7 3 2" xfId="48968" xr:uid="{00000000-0005-0000-0000-0000CF120000}"/>
    <cellStyle name="Normal 12 2 2 7 3 3" xfId="32868" xr:uid="{00000000-0005-0000-0000-0000D0120000}"/>
    <cellStyle name="Normal 12 2 2 7 3 4" xfId="23299" xr:uid="{00000000-0005-0000-0000-0000D1120000}"/>
    <cellStyle name="Normal 12 2 2 7 4" xfId="4622" xr:uid="{00000000-0005-0000-0000-0000D2120000}"/>
    <cellStyle name="Normal 12 2 2 7 4 2" xfId="52463" xr:uid="{00000000-0005-0000-0000-0000D3120000}"/>
    <cellStyle name="Normal 12 2 2 7 4 3" xfId="36363" xr:uid="{00000000-0005-0000-0000-0000D4120000}"/>
    <cellStyle name="Normal 12 2 2 7 4 4" xfId="17227" xr:uid="{00000000-0005-0000-0000-0000D5120000}"/>
    <cellStyle name="Normal 12 2 2 7 5" xfId="42896" xr:uid="{00000000-0005-0000-0000-0000D6120000}"/>
    <cellStyle name="Normal 12 2 2 7 6" xfId="26796" xr:uid="{00000000-0005-0000-0000-0000D7120000}"/>
    <cellStyle name="Normal 12 2 2 7 7" xfId="13732" xr:uid="{00000000-0005-0000-0000-0000D8120000}"/>
    <cellStyle name="Normal 12 2 2 8" xfId="3612" xr:uid="{00000000-0005-0000-0000-0000D9120000}"/>
    <cellStyle name="Normal 12 2 2 8 2" xfId="35353" xr:uid="{00000000-0005-0000-0000-0000DA120000}"/>
    <cellStyle name="Normal 12 2 2 8 2 2" xfId="51453" xr:uid="{00000000-0005-0000-0000-0000DB120000}"/>
    <cellStyle name="Normal 12 2 2 8 3" xfId="41886" xr:uid="{00000000-0005-0000-0000-0000DC120000}"/>
    <cellStyle name="Normal 12 2 2 8 4" xfId="25786" xr:uid="{00000000-0005-0000-0000-0000DD120000}"/>
    <cellStyle name="Normal 12 2 2 8 5" xfId="16217" xr:uid="{00000000-0005-0000-0000-0000DE120000}"/>
    <cellStyle name="Normal 12 2 2 9" xfId="6648" xr:uid="{00000000-0005-0000-0000-0000DF120000}"/>
    <cellStyle name="Normal 12 2 2 9 2" xfId="38389" xr:uid="{00000000-0005-0000-0000-0000E0120000}"/>
    <cellStyle name="Normal 12 2 2 9 2 2" xfId="54489" xr:uid="{00000000-0005-0000-0000-0000E1120000}"/>
    <cellStyle name="Normal 12 2 2 9 3" xfId="44922" xr:uid="{00000000-0005-0000-0000-0000E2120000}"/>
    <cellStyle name="Normal 12 2 2 9 4" xfId="28822" xr:uid="{00000000-0005-0000-0000-0000E3120000}"/>
    <cellStyle name="Normal 12 2 2 9 5" xfId="19253" xr:uid="{00000000-0005-0000-0000-0000E4120000}"/>
    <cellStyle name="Normal 12 2 3" xfId="99" xr:uid="{00000000-0005-0000-0000-0000E5120000}"/>
    <cellStyle name="Normal 12 2 3 10" xfId="41617" xr:uid="{00000000-0005-0000-0000-0000E6120000}"/>
    <cellStyle name="Normal 12 2 3 11" xfId="25517" xr:uid="{00000000-0005-0000-0000-0000E7120000}"/>
    <cellStyle name="Normal 12 2 3 12" xfId="12932" xr:uid="{00000000-0005-0000-0000-0000E8120000}"/>
    <cellStyle name="Normal 12 2 3 2" xfId="280" xr:uid="{00000000-0005-0000-0000-0000E9120000}"/>
    <cellStyle name="Normal 12 2 3 2 2" xfId="2299" xr:uid="{00000000-0005-0000-0000-0000EA120000}"/>
    <cellStyle name="Normal 12 2 3 2 2 2" xfId="8833" xr:uid="{00000000-0005-0000-0000-0000EB120000}"/>
    <cellStyle name="Normal 12 2 3 2 2 2 2" xfId="40574" xr:uid="{00000000-0005-0000-0000-0000EC120000}"/>
    <cellStyle name="Normal 12 2 3 2 2 2 2 2" xfId="56674" xr:uid="{00000000-0005-0000-0000-0000ED120000}"/>
    <cellStyle name="Normal 12 2 3 2 2 2 3" xfId="47107" xr:uid="{00000000-0005-0000-0000-0000EE120000}"/>
    <cellStyle name="Normal 12 2 3 2 2 2 4" xfId="31007" xr:uid="{00000000-0005-0000-0000-0000EF120000}"/>
    <cellStyle name="Normal 12 2 3 2 2 2 5" xfId="21438" xr:uid="{00000000-0005-0000-0000-0000F0120000}"/>
    <cellStyle name="Normal 12 2 3 2 2 3" xfId="11869" xr:uid="{00000000-0005-0000-0000-0000F1120000}"/>
    <cellStyle name="Normal 12 2 3 2 2 3 2" xfId="50143" xr:uid="{00000000-0005-0000-0000-0000F2120000}"/>
    <cellStyle name="Normal 12 2 3 2 2 3 3" xfId="34043" xr:uid="{00000000-0005-0000-0000-0000F3120000}"/>
    <cellStyle name="Normal 12 2 3 2 2 3 4" xfId="24474" xr:uid="{00000000-0005-0000-0000-0000F4120000}"/>
    <cellStyle name="Normal 12 2 3 2 2 4" xfId="5797" xr:uid="{00000000-0005-0000-0000-0000F5120000}"/>
    <cellStyle name="Normal 12 2 3 2 2 4 2" xfId="53638" xr:uid="{00000000-0005-0000-0000-0000F6120000}"/>
    <cellStyle name="Normal 12 2 3 2 2 4 3" xfId="37538" xr:uid="{00000000-0005-0000-0000-0000F7120000}"/>
    <cellStyle name="Normal 12 2 3 2 2 4 4" xfId="18402" xr:uid="{00000000-0005-0000-0000-0000F8120000}"/>
    <cellStyle name="Normal 12 2 3 2 2 5" xfId="44071" xr:uid="{00000000-0005-0000-0000-0000F9120000}"/>
    <cellStyle name="Normal 12 2 3 2 2 6" xfId="27971" xr:uid="{00000000-0005-0000-0000-0000FA120000}"/>
    <cellStyle name="Normal 12 2 3 2 2 7" xfId="14907" xr:uid="{00000000-0005-0000-0000-0000FB120000}"/>
    <cellStyle name="Normal 12 2 3 2 3" xfId="1511" xr:uid="{00000000-0005-0000-0000-0000FC120000}"/>
    <cellStyle name="Normal 12 2 3 2 3 2" xfId="8045" xr:uid="{00000000-0005-0000-0000-0000FD120000}"/>
    <cellStyle name="Normal 12 2 3 2 3 2 2" xfId="39786" xr:uid="{00000000-0005-0000-0000-0000FE120000}"/>
    <cellStyle name="Normal 12 2 3 2 3 2 2 2" xfId="55886" xr:uid="{00000000-0005-0000-0000-0000FF120000}"/>
    <cellStyle name="Normal 12 2 3 2 3 2 3" xfId="46319" xr:uid="{00000000-0005-0000-0000-000000130000}"/>
    <cellStyle name="Normal 12 2 3 2 3 2 4" xfId="30219" xr:uid="{00000000-0005-0000-0000-000001130000}"/>
    <cellStyle name="Normal 12 2 3 2 3 2 5" xfId="20650" xr:uid="{00000000-0005-0000-0000-000002130000}"/>
    <cellStyle name="Normal 12 2 3 2 3 3" xfId="11081" xr:uid="{00000000-0005-0000-0000-000003130000}"/>
    <cellStyle name="Normal 12 2 3 2 3 3 2" xfId="49355" xr:uid="{00000000-0005-0000-0000-000004130000}"/>
    <cellStyle name="Normal 12 2 3 2 3 3 3" xfId="33255" xr:uid="{00000000-0005-0000-0000-000005130000}"/>
    <cellStyle name="Normal 12 2 3 2 3 3 4" xfId="23686" xr:uid="{00000000-0005-0000-0000-000006130000}"/>
    <cellStyle name="Normal 12 2 3 2 3 4" xfId="5009" xr:uid="{00000000-0005-0000-0000-000007130000}"/>
    <cellStyle name="Normal 12 2 3 2 3 4 2" xfId="52850" xr:uid="{00000000-0005-0000-0000-000008130000}"/>
    <cellStyle name="Normal 12 2 3 2 3 4 3" xfId="36750" xr:uid="{00000000-0005-0000-0000-000009130000}"/>
    <cellStyle name="Normal 12 2 3 2 3 4 4" xfId="17614" xr:uid="{00000000-0005-0000-0000-00000A130000}"/>
    <cellStyle name="Normal 12 2 3 2 3 5" xfId="43283" xr:uid="{00000000-0005-0000-0000-00000B130000}"/>
    <cellStyle name="Normal 12 2 3 2 3 6" xfId="27183" xr:uid="{00000000-0005-0000-0000-00000C130000}"/>
    <cellStyle name="Normal 12 2 3 2 3 7" xfId="14119" xr:uid="{00000000-0005-0000-0000-00000D130000}"/>
    <cellStyle name="Normal 12 2 3 2 4" xfId="7035" xr:uid="{00000000-0005-0000-0000-00000E130000}"/>
    <cellStyle name="Normal 12 2 3 2 4 2" xfId="38776" xr:uid="{00000000-0005-0000-0000-00000F130000}"/>
    <cellStyle name="Normal 12 2 3 2 4 2 2" xfId="54876" xr:uid="{00000000-0005-0000-0000-000010130000}"/>
    <cellStyle name="Normal 12 2 3 2 4 3" xfId="45309" xr:uid="{00000000-0005-0000-0000-000011130000}"/>
    <cellStyle name="Normal 12 2 3 2 4 4" xfId="29209" xr:uid="{00000000-0005-0000-0000-000012130000}"/>
    <cellStyle name="Normal 12 2 3 2 4 5" xfId="19640" xr:uid="{00000000-0005-0000-0000-000013130000}"/>
    <cellStyle name="Normal 12 2 3 2 5" xfId="10071" xr:uid="{00000000-0005-0000-0000-000014130000}"/>
    <cellStyle name="Normal 12 2 3 2 5 2" xfId="48345" xr:uid="{00000000-0005-0000-0000-000015130000}"/>
    <cellStyle name="Normal 12 2 3 2 5 3" xfId="32245" xr:uid="{00000000-0005-0000-0000-000016130000}"/>
    <cellStyle name="Normal 12 2 3 2 5 4" xfId="22676" xr:uid="{00000000-0005-0000-0000-000017130000}"/>
    <cellStyle name="Normal 12 2 3 2 6" xfId="3999" xr:uid="{00000000-0005-0000-0000-000018130000}"/>
    <cellStyle name="Normal 12 2 3 2 6 2" xfId="51840" xr:uid="{00000000-0005-0000-0000-000019130000}"/>
    <cellStyle name="Normal 12 2 3 2 6 3" xfId="35740" xr:uid="{00000000-0005-0000-0000-00001A130000}"/>
    <cellStyle name="Normal 12 2 3 2 6 4" xfId="16604" xr:uid="{00000000-0005-0000-0000-00001B130000}"/>
    <cellStyle name="Normal 12 2 3 2 7" xfId="42273" xr:uid="{00000000-0005-0000-0000-00001C130000}"/>
    <cellStyle name="Normal 12 2 3 2 8" xfId="26173" xr:uid="{00000000-0005-0000-0000-00001D130000}"/>
    <cellStyle name="Normal 12 2 3 2 9" xfId="13109" xr:uid="{00000000-0005-0000-0000-00001E130000}"/>
    <cellStyle name="Normal 12 2 3 3" xfId="972" xr:uid="{00000000-0005-0000-0000-00001F130000}"/>
    <cellStyle name="Normal 12 2 3 3 2" xfId="3000" xr:uid="{00000000-0005-0000-0000-000020130000}"/>
    <cellStyle name="Normal 12 2 3 3 2 2" xfId="9532" xr:uid="{00000000-0005-0000-0000-000021130000}"/>
    <cellStyle name="Normal 12 2 3 3 2 2 2" xfId="41273" xr:uid="{00000000-0005-0000-0000-000022130000}"/>
    <cellStyle name="Normal 12 2 3 3 2 2 2 2" xfId="57373" xr:uid="{00000000-0005-0000-0000-000023130000}"/>
    <cellStyle name="Normal 12 2 3 3 2 2 3" xfId="47806" xr:uid="{00000000-0005-0000-0000-000024130000}"/>
    <cellStyle name="Normal 12 2 3 3 2 2 4" xfId="31706" xr:uid="{00000000-0005-0000-0000-000025130000}"/>
    <cellStyle name="Normal 12 2 3 3 2 2 5" xfId="22137" xr:uid="{00000000-0005-0000-0000-000026130000}"/>
    <cellStyle name="Normal 12 2 3 3 2 3" xfId="12568" xr:uid="{00000000-0005-0000-0000-000027130000}"/>
    <cellStyle name="Normal 12 2 3 3 2 3 2" xfId="50842" xr:uid="{00000000-0005-0000-0000-000028130000}"/>
    <cellStyle name="Normal 12 2 3 3 2 3 3" xfId="34742" xr:uid="{00000000-0005-0000-0000-000029130000}"/>
    <cellStyle name="Normal 12 2 3 3 2 3 4" xfId="25173" xr:uid="{00000000-0005-0000-0000-00002A130000}"/>
    <cellStyle name="Normal 12 2 3 3 2 4" xfId="6496" xr:uid="{00000000-0005-0000-0000-00002B130000}"/>
    <cellStyle name="Normal 12 2 3 3 2 4 2" xfId="54337" xr:uid="{00000000-0005-0000-0000-00002C130000}"/>
    <cellStyle name="Normal 12 2 3 3 2 4 3" xfId="38237" xr:uid="{00000000-0005-0000-0000-00002D130000}"/>
    <cellStyle name="Normal 12 2 3 3 2 4 4" xfId="19101" xr:uid="{00000000-0005-0000-0000-00002E130000}"/>
    <cellStyle name="Normal 12 2 3 3 2 5" xfId="44770" xr:uid="{00000000-0005-0000-0000-00002F130000}"/>
    <cellStyle name="Normal 12 2 3 3 2 6" xfId="28670" xr:uid="{00000000-0005-0000-0000-000030130000}"/>
    <cellStyle name="Normal 12 2 3 3 2 7" xfId="15606" xr:uid="{00000000-0005-0000-0000-000031130000}"/>
    <cellStyle name="Normal 12 2 3 3 3" xfId="1982" xr:uid="{00000000-0005-0000-0000-000032130000}"/>
    <cellStyle name="Normal 12 2 3 3 3 2" xfId="8516" xr:uid="{00000000-0005-0000-0000-000033130000}"/>
    <cellStyle name="Normal 12 2 3 3 3 2 2" xfId="40257" xr:uid="{00000000-0005-0000-0000-000034130000}"/>
    <cellStyle name="Normal 12 2 3 3 3 2 2 2" xfId="56357" xr:uid="{00000000-0005-0000-0000-000035130000}"/>
    <cellStyle name="Normal 12 2 3 3 3 2 3" xfId="46790" xr:uid="{00000000-0005-0000-0000-000036130000}"/>
    <cellStyle name="Normal 12 2 3 3 3 2 4" xfId="30690" xr:uid="{00000000-0005-0000-0000-000037130000}"/>
    <cellStyle name="Normal 12 2 3 3 3 2 5" xfId="21121" xr:uid="{00000000-0005-0000-0000-000038130000}"/>
    <cellStyle name="Normal 12 2 3 3 3 3" xfId="11552" xr:uid="{00000000-0005-0000-0000-000039130000}"/>
    <cellStyle name="Normal 12 2 3 3 3 3 2" xfId="49826" xr:uid="{00000000-0005-0000-0000-00003A130000}"/>
    <cellStyle name="Normal 12 2 3 3 3 3 3" xfId="33726" xr:uid="{00000000-0005-0000-0000-00003B130000}"/>
    <cellStyle name="Normal 12 2 3 3 3 3 4" xfId="24157" xr:uid="{00000000-0005-0000-0000-00003C130000}"/>
    <cellStyle name="Normal 12 2 3 3 3 4" xfId="5480" xr:uid="{00000000-0005-0000-0000-00003D130000}"/>
    <cellStyle name="Normal 12 2 3 3 3 4 2" xfId="53321" xr:uid="{00000000-0005-0000-0000-00003E130000}"/>
    <cellStyle name="Normal 12 2 3 3 3 4 3" xfId="37221" xr:uid="{00000000-0005-0000-0000-00003F130000}"/>
    <cellStyle name="Normal 12 2 3 3 3 4 4" xfId="18085" xr:uid="{00000000-0005-0000-0000-000040130000}"/>
    <cellStyle name="Normal 12 2 3 3 3 5" xfId="43754" xr:uid="{00000000-0005-0000-0000-000041130000}"/>
    <cellStyle name="Normal 12 2 3 3 3 6" xfId="27654" xr:uid="{00000000-0005-0000-0000-000042130000}"/>
    <cellStyle name="Normal 12 2 3 3 3 7" xfId="14590" xr:uid="{00000000-0005-0000-0000-000043130000}"/>
    <cellStyle name="Normal 12 2 3 3 4" xfId="7506" xr:uid="{00000000-0005-0000-0000-000044130000}"/>
    <cellStyle name="Normal 12 2 3 3 4 2" xfId="39247" xr:uid="{00000000-0005-0000-0000-000045130000}"/>
    <cellStyle name="Normal 12 2 3 3 4 2 2" xfId="55347" xr:uid="{00000000-0005-0000-0000-000046130000}"/>
    <cellStyle name="Normal 12 2 3 3 4 3" xfId="45780" xr:uid="{00000000-0005-0000-0000-000047130000}"/>
    <cellStyle name="Normal 12 2 3 3 4 4" xfId="29680" xr:uid="{00000000-0005-0000-0000-000048130000}"/>
    <cellStyle name="Normal 12 2 3 3 4 5" xfId="20111" xr:uid="{00000000-0005-0000-0000-000049130000}"/>
    <cellStyle name="Normal 12 2 3 3 5" xfId="10542" xr:uid="{00000000-0005-0000-0000-00004A130000}"/>
    <cellStyle name="Normal 12 2 3 3 5 2" xfId="48816" xr:uid="{00000000-0005-0000-0000-00004B130000}"/>
    <cellStyle name="Normal 12 2 3 3 5 3" xfId="32716" xr:uid="{00000000-0005-0000-0000-00004C130000}"/>
    <cellStyle name="Normal 12 2 3 3 5 4" xfId="23147" xr:uid="{00000000-0005-0000-0000-00004D130000}"/>
    <cellStyle name="Normal 12 2 3 3 6" xfId="4470" xr:uid="{00000000-0005-0000-0000-00004E130000}"/>
    <cellStyle name="Normal 12 2 3 3 6 2" xfId="52311" xr:uid="{00000000-0005-0000-0000-00004F130000}"/>
    <cellStyle name="Normal 12 2 3 3 6 3" xfId="36211" xr:uid="{00000000-0005-0000-0000-000050130000}"/>
    <cellStyle name="Normal 12 2 3 3 6 4" xfId="17075" xr:uid="{00000000-0005-0000-0000-000051130000}"/>
    <cellStyle name="Normal 12 2 3 3 7" xfId="42744" xr:uid="{00000000-0005-0000-0000-000052130000}"/>
    <cellStyle name="Normal 12 2 3 3 8" xfId="26644" xr:uid="{00000000-0005-0000-0000-000053130000}"/>
    <cellStyle name="Normal 12 2 3 3 9" xfId="13580" xr:uid="{00000000-0005-0000-0000-000054130000}"/>
    <cellStyle name="Normal 12 2 3 4" xfId="2122" xr:uid="{00000000-0005-0000-0000-000055130000}"/>
    <cellStyle name="Normal 12 2 3 4 2" xfId="8656" xr:uid="{00000000-0005-0000-0000-000056130000}"/>
    <cellStyle name="Normal 12 2 3 4 2 2" xfId="40397" xr:uid="{00000000-0005-0000-0000-000057130000}"/>
    <cellStyle name="Normal 12 2 3 4 2 2 2" xfId="56497" xr:uid="{00000000-0005-0000-0000-000058130000}"/>
    <cellStyle name="Normal 12 2 3 4 2 3" xfId="46930" xr:uid="{00000000-0005-0000-0000-000059130000}"/>
    <cellStyle name="Normal 12 2 3 4 2 4" xfId="30830" xr:uid="{00000000-0005-0000-0000-00005A130000}"/>
    <cellStyle name="Normal 12 2 3 4 2 5" xfId="21261" xr:uid="{00000000-0005-0000-0000-00005B130000}"/>
    <cellStyle name="Normal 12 2 3 4 3" xfId="11692" xr:uid="{00000000-0005-0000-0000-00005C130000}"/>
    <cellStyle name="Normal 12 2 3 4 3 2" xfId="49966" xr:uid="{00000000-0005-0000-0000-00005D130000}"/>
    <cellStyle name="Normal 12 2 3 4 3 3" xfId="33866" xr:uid="{00000000-0005-0000-0000-00005E130000}"/>
    <cellStyle name="Normal 12 2 3 4 3 4" xfId="24297" xr:uid="{00000000-0005-0000-0000-00005F130000}"/>
    <cellStyle name="Normal 12 2 3 4 4" xfId="5620" xr:uid="{00000000-0005-0000-0000-000060130000}"/>
    <cellStyle name="Normal 12 2 3 4 4 2" xfId="53461" xr:uid="{00000000-0005-0000-0000-000061130000}"/>
    <cellStyle name="Normal 12 2 3 4 4 3" xfId="37361" xr:uid="{00000000-0005-0000-0000-000062130000}"/>
    <cellStyle name="Normal 12 2 3 4 4 4" xfId="18225" xr:uid="{00000000-0005-0000-0000-000063130000}"/>
    <cellStyle name="Normal 12 2 3 4 5" xfId="43894" xr:uid="{00000000-0005-0000-0000-000064130000}"/>
    <cellStyle name="Normal 12 2 3 4 6" xfId="27794" xr:uid="{00000000-0005-0000-0000-000065130000}"/>
    <cellStyle name="Normal 12 2 3 4 7" xfId="14730" xr:uid="{00000000-0005-0000-0000-000066130000}"/>
    <cellStyle name="Normal 12 2 3 5" xfId="1334" xr:uid="{00000000-0005-0000-0000-000067130000}"/>
    <cellStyle name="Normal 12 2 3 5 2" xfId="7868" xr:uid="{00000000-0005-0000-0000-000068130000}"/>
    <cellStyle name="Normal 12 2 3 5 2 2" xfId="39609" xr:uid="{00000000-0005-0000-0000-000069130000}"/>
    <cellStyle name="Normal 12 2 3 5 2 2 2" xfId="55709" xr:uid="{00000000-0005-0000-0000-00006A130000}"/>
    <cellStyle name="Normal 12 2 3 5 2 3" xfId="46142" xr:uid="{00000000-0005-0000-0000-00006B130000}"/>
    <cellStyle name="Normal 12 2 3 5 2 4" xfId="30042" xr:uid="{00000000-0005-0000-0000-00006C130000}"/>
    <cellStyle name="Normal 12 2 3 5 2 5" xfId="20473" xr:uid="{00000000-0005-0000-0000-00006D130000}"/>
    <cellStyle name="Normal 12 2 3 5 3" xfId="10904" xr:uid="{00000000-0005-0000-0000-00006E130000}"/>
    <cellStyle name="Normal 12 2 3 5 3 2" xfId="49178" xr:uid="{00000000-0005-0000-0000-00006F130000}"/>
    <cellStyle name="Normal 12 2 3 5 3 3" xfId="33078" xr:uid="{00000000-0005-0000-0000-000070130000}"/>
    <cellStyle name="Normal 12 2 3 5 3 4" xfId="23509" xr:uid="{00000000-0005-0000-0000-000071130000}"/>
    <cellStyle name="Normal 12 2 3 5 4" xfId="4832" xr:uid="{00000000-0005-0000-0000-000072130000}"/>
    <cellStyle name="Normal 12 2 3 5 4 2" xfId="52673" xr:uid="{00000000-0005-0000-0000-000073130000}"/>
    <cellStyle name="Normal 12 2 3 5 4 3" xfId="36573" xr:uid="{00000000-0005-0000-0000-000074130000}"/>
    <cellStyle name="Normal 12 2 3 5 4 4" xfId="17437" xr:uid="{00000000-0005-0000-0000-000075130000}"/>
    <cellStyle name="Normal 12 2 3 5 5" xfId="43106" xr:uid="{00000000-0005-0000-0000-000076130000}"/>
    <cellStyle name="Normal 12 2 3 5 6" xfId="27006" xr:uid="{00000000-0005-0000-0000-000077130000}"/>
    <cellStyle name="Normal 12 2 3 5 7" xfId="13942" xr:uid="{00000000-0005-0000-0000-000078130000}"/>
    <cellStyle name="Normal 12 2 3 6" xfId="3822" xr:uid="{00000000-0005-0000-0000-000079130000}"/>
    <cellStyle name="Normal 12 2 3 6 2" xfId="35563" xr:uid="{00000000-0005-0000-0000-00007A130000}"/>
    <cellStyle name="Normal 12 2 3 6 2 2" xfId="51663" xr:uid="{00000000-0005-0000-0000-00007B130000}"/>
    <cellStyle name="Normal 12 2 3 6 3" xfId="42096" xr:uid="{00000000-0005-0000-0000-00007C130000}"/>
    <cellStyle name="Normal 12 2 3 6 4" xfId="25996" xr:uid="{00000000-0005-0000-0000-00007D130000}"/>
    <cellStyle name="Normal 12 2 3 6 5" xfId="16427" xr:uid="{00000000-0005-0000-0000-00007E130000}"/>
    <cellStyle name="Normal 12 2 3 7" xfId="6858" xr:uid="{00000000-0005-0000-0000-00007F130000}"/>
    <cellStyle name="Normal 12 2 3 7 2" xfId="38599" xr:uid="{00000000-0005-0000-0000-000080130000}"/>
    <cellStyle name="Normal 12 2 3 7 2 2" xfId="54699" xr:uid="{00000000-0005-0000-0000-000081130000}"/>
    <cellStyle name="Normal 12 2 3 7 3" xfId="45132" xr:uid="{00000000-0005-0000-0000-000082130000}"/>
    <cellStyle name="Normal 12 2 3 7 4" xfId="29032" xr:uid="{00000000-0005-0000-0000-000083130000}"/>
    <cellStyle name="Normal 12 2 3 7 5" xfId="19463" xr:uid="{00000000-0005-0000-0000-000084130000}"/>
    <cellStyle name="Normal 12 2 3 8" xfId="9894" xr:uid="{00000000-0005-0000-0000-000085130000}"/>
    <cellStyle name="Normal 12 2 3 8 2" xfId="48168" xr:uid="{00000000-0005-0000-0000-000086130000}"/>
    <cellStyle name="Normal 12 2 3 8 3" xfId="32068" xr:uid="{00000000-0005-0000-0000-000087130000}"/>
    <cellStyle name="Normal 12 2 3 8 4" xfId="22499" xr:uid="{00000000-0005-0000-0000-000088130000}"/>
    <cellStyle name="Normal 12 2 3 9" xfId="3343" xr:uid="{00000000-0005-0000-0000-000089130000}"/>
    <cellStyle name="Normal 12 2 3 9 2" xfId="51184" xr:uid="{00000000-0005-0000-0000-00008A130000}"/>
    <cellStyle name="Normal 12 2 3 9 3" xfId="35084" xr:uid="{00000000-0005-0000-0000-00008B130000}"/>
    <cellStyle name="Normal 12 2 3 9 4" xfId="15948" xr:uid="{00000000-0005-0000-0000-00008C130000}"/>
    <cellStyle name="Normal 12 2 4" xfId="174" xr:uid="{00000000-0005-0000-0000-00008D130000}"/>
    <cellStyle name="Normal 12 2 4 10" xfId="26067" xr:uid="{00000000-0005-0000-0000-00008E130000}"/>
    <cellStyle name="Normal 12 2 4 11" xfId="13003" xr:uid="{00000000-0005-0000-0000-00008F130000}"/>
    <cellStyle name="Normal 12 2 4 2" xfId="351" xr:uid="{00000000-0005-0000-0000-000090130000}"/>
    <cellStyle name="Normal 12 2 4 2 2" xfId="2370" xr:uid="{00000000-0005-0000-0000-000091130000}"/>
    <cellStyle name="Normal 12 2 4 2 2 2" xfId="8904" xr:uid="{00000000-0005-0000-0000-000092130000}"/>
    <cellStyle name="Normal 12 2 4 2 2 2 2" xfId="40645" xr:uid="{00000000-0005-0000-0000-000093130000}"/>
    <cellStyle name="Normal 12 2 4 2 2 2 2 2" xfId="56745" xr:uid="{00000000-0005-0000-0000-000094130000}"/>
    <cellStyle name="Normal 12 2 4 2 2 2 3" xfId="47178" xr:uid="{00000000-0005-0000-0000-000095130000}"/>
    <cellStyle name="Normal 12 2 4 2 2 2 4" xfId="31078" xr:uid="{00000000-0005-0000-0000-000096130000}"/>
    <cellStyle name="Normal 12 2 4 2 2 2 5" xfId="21509" xr:uid="{00000000-0005-0000-0000-000097130000}"/>
    <cellStyle name="Normal 12 2 4 2 2 3" xfId="11940" xr:uid="{00000000-0005-0000-0000-000098130000}"/>
    <cellStyle name="Normal 12 2 4 2 2 3 2" xfId="50214" xr:uid="{00000000-0005-0000-0000-000099130000}"/>
    <cellStyle name="Normal 12 2 4 2 2 3 3" xfId="34114" xr:uid="{00000000-0005-0000-0000-00009A130000}"/>
    <cellStyle name="Normal 12 2 4 2 2 3 4" xfId="24545" xr:uid="{00000000-0005-0000-0000-00009B130000}"/>
    <cellStyle name="Normal 12 2 4 2 2 4" xfId="5868" xr:uid="{00000000-0005-0000-0000-00009C130000}"/>
    <cellStyle name="Normal 12 2 4 2 2 4 2" xfId="53709" xr:uid="{00000000-0005-0000-0000-00009D130000}"/>
    <cellStyle name="Normal 12 2 4 2 2 4 3" xfId="37609" xr:uid="{00000000-0005-0000-0000-00009E130000}"/>
    <cellStyle name="Normal 12 2 4 2 2 4 4" xfId="18473" xr:uid="{00000000-0005-0000-0000-00009F130000}"/>
    <cellStyle name="Normal 12 2 4 2 2 5" xfId="44142" xr:uid="{00000000-0005-0000-0000-0000A0130000}"/>
    <cellStyle name="Normal 12 2 4 2 2 6" xfId="28042" xr:uid="{00000000-0005-0000-0000-0000A1130000}"/>
    <cellStyle name="Normal 12 2 4 2 2 7" xfId="14978" xr:uid="{00000000-0005-0000-0000-0000A2130000}"/>
    <cellStyle name="Normal 12 2 4 2 3" xfId="1582" xr:uid="{00000000-0005-0000-0000-0000A3130000}"/>
    <cellStyle name="Normal 12 2 4 2 3 2" xfId="8116" xr:uid="{00000000-0005-0000-0000-0000A4130000}"/>
    <cellStyle name="Normal 12 2 4 2 3 2 2" xfId="39857" xr:uid="{00000000-0005-0000-0000-0000A5130000}"/>
    <cellStyle name="Normal 12 2 4 2 3 2 2 2" xfId="55957" xr:uid="{00000000-0005-0000-0000-0000A6130000}"/>
    <cellStyle name="Normal 12 2 4 2 3 2 3" xfId="46390" xr:uid="{00000000-0005-0000-0000-0000A7130000}"/>
    <cellStyle name="Normal 12 2 4 2 3 2 4" xfId="30290" xr:uid="{00000000-0005-0000-0000-0000A8130000}"/>
    <cellStyle name="Normal 12 2 4 2 3 2 5" xfId="20721" xr:uid="{00000000-0005-0000-0000-0000A9130000}"/>
    <cellStyle name="Normal 12 2 4 2 3 3" xfId="11152" xr:uid="{00000000-0005-0000-0000-0000AA130000}"/>
    <cellStyle name="Normal 12 2 4 2 3 3 2" xfId="49426" xr:uid="{00000000-0005-0000-0000-0000AB130000}"/>
    <cellStyle name="Normal 12 2 4 2 3 3 3" xfId="33326" xr:uid="{00000000-0005-0000-0000-0000AC130000}"/>
    <cellStyle name="Normal 12 2 4 2 3 3 4" xfId="23757" xr:uid="{00000000-0005-0000-0000-0000AD130000}"/>
    <cellStyle name="Normal 12 2 4 2 3 4" xfId="5080" xr:uid="{00000000-0005-0000-0000-0000AE130000}"/>
    <cellStyle name="Normal 12 2 4 2 3 4 2" xfId="52921" xr:uid="{00000000-0005-0000-0000-0000AF130000}"/>
    <cellStyle name="Normal 12 2 4 2 3 4 3" xfId="36821" xr:uid="{00000000-0005-0000-0000-0000B0130000}"/>
    <cellStyle name="Normal 12 2 4 2 3 4 4" xfId="17685" xr:uid="{00000000-0005-0000-0000-0000B1130000}"/>
    <cellStyle name="Normal 12 2 4 2 3 5" xfId="43354" xr:uid="{00000000-0005-0000-0000-0000B2130000}"/>
    <cellStyle name="Normal 12 2 4 2 3 6" xfId="27254" xr:uid="{00000000-0005-0000-0000-0000B3130000}"/>
    <cellStyle name="Normal 12 2 4 2 3 7" xfId="14190" xr:uid="{00000000-0005-0000-0000-0000B4130000}"/>
    <cellStyle name="Normal 12 2 4 2 4" xfId="7106" xr:uid="{00000000-0005-0000-0000-0000B5130000}"/>
    <cellStyle name="Normal 12 2 4 2 4 2" xfId="38847" xr:uid="{00000000-0005-0000-0000-0000B6130000}"/>
    <cellStyle name="Normal 12 2 4 2 4 2 2" xfId="54947" xr:uid="{00000000-0005-0000-0000-0000B7130000}"/>
    <cellStyle name="Normal 12 2 4 2 4 3" xfId="45380" xr:uid="{00000000-0005-0000-0000-0000B8130000}"/>
    <cellStyle name="Normal 12 2 4 2 4 4" xfId="29280" xr:uid="{00000000-0005-0000-0000-0000B9130000}"/>
    <cellStyle name="Normal 12 2 4 2 4 5" xfId="19711" xr:uid="{00000000-0005-0000-0000-0000BA130000}"/>
    <cellStyle name="Normal 12 2 4 2 5" xfId="10142" xr:uid="{00000000-0005-0000-0000-0000BB130000}"/>
    <cellStyle name="Normal 12 2 4 2 5 2" xfId="48416" xr:uid="{00000000-0005-0000-0000-0000BC130000}"/>
    <cellStyle name="Normal 12 2 4 2 5 3" xfId="32316" xr:uid="{00000000-0005-0000-0000-0000BD130000}"/>
    <cellStyle name="Normal 12 2 4 2 5 4" xfId="22747" xr:uid="{00000000-0005-0000-0000-0000BE130000}"/>
    <cellStyle name="Normal 12 2 4 2 6" xfId="4070" xr:uid="{00000000-0005-0000-0000-0000BF130000}"/>
    <cellStyle name="Normal 12 2 4 2 6 2" xfId="51911" xr:uid="{00000000-0005-0000-0000-0000C0130000}"/>
    <cellStyle name="Normal 12 2 4 2 6 3" xfId="35811" xr:uid="{00000000-0005-0000-0000-0000C1130000}"/>
    <cellStyle name="Normal 12 2 4 2 6 4" xfId="16675" xr:uid="{00000000-0005-0000-0000-0000C2130000}"/>
    <cellStyle name="Normal 12 2 4 2 7" xfId="42344" xr:uid="{00000000-0005-0000-0000-0000C3130000}"/>
    <cellStyle name="Normal 12 2 4 2 8" xfId="26244" xr:uid="{00000000-0005-0000-0000-0000C4130000}"/>
    <cellStyle name="Normal 12 2 4 2 9" xfId="13180" xr:uid="{00000000-0005-0000-0000-0000C5130000}"/>
    <cellStyle name="Normal 12 2 4 3" xfId="991" xr:uid="{00000000-0005-0000-0000-0000C6130000}"/>
    <cellStyle name="Normal 12 2 4 3 2" xfId="3019" xr:uid="{00000000-0005-0000-0000-0000C7130000}"/>
    <cellStyle name="Normal 12 2 4 3 2 2" xfId="9551" xr:uid="{00000000-0005-0000-0000-0000C8130000}"/>
    <cellStyle name="Normal 12 2 4 3 2 2 2" xfId="41292" xr:uid="{00000000-0005-0000-0000-0000C9130000}"/>
    <cellStyle name="Normal 12 2 4 3 2 2 2 2" xfId="57392" xr:uid="{00000000-0005-0000-0000-0000CA130000}"/>
    <cellStyle name="Normal 12 2 4 3 2 2 3" xfId="47825" xr:uid="{00000000-0005-0000-0000-0000CB130000}"/>
    <cellStyle name="Normal 12 2 4 3 2 2 4" xfId="31725" xr:uid="{00000000-0005-0000-0000-0000CC130000}"/>
    <cellStyle name="Normal 12 2 4 3 2 2 5" xfId="22156" xr:uid="{00000000-0005-0000-0000-0000CD130000}"/>
    <cellStyle name="Normal 12 2 4 3 2 3" xfId="12587" xr:uid="{00000000-0005-0000-0000-0000CE130000}"/>
    <cellStyle name="Normal 12 2 4 3 2 3 2" xfId="50861" xr:uid="{00000000-0005-0000-0000-0000CF130000}"/>
    <cellStyle name="Normal 12 2 4 3 2 3 3" xfId="34761" xr:uid="{00000000-0005-0000-0000-0000D0130000}"/>
    <cellStyle name="Normal 12 2 4 3 2 3 4" xfId="25192" xr:uid="{00000000-0005-0000-0000-0000D1130000}"/>
    <cellStyle name="Normal 12 2 4 3 2 4" xfId="6515" xr:uid="{00000000-0005-0000-0000-0000D2130000}"/>
    <cellStyle name="Normal 12 2 4 3 2 4 2" xfId="54356" xr:uid="{00000000-0005-0000-0000-0000D3130000}"/>
    <cellStyle name="Normal 12 2 4 3 2 4 3" xfId="38256" xr:uid="{00000000-0005-0000-0000-0000D4130000}"/>
    <cellStyle name="Normal 12 2 4 3 2 4 4" xfId="19120" xr:uid="{00000000-0005-0000-0000-0000D5130000}"/>
    <cellStyle name="Normal 12 2 4 3 2 5" xfId="44789" xr:uid="{00000000-0005-0000-0000-0000D6130000}"/>
    <cellStyle name="Normal 12 2 4 3 2 6" xfId="28689" xr:uid="{00000000-0005-0000-0000-0000D7130000}"/>
    <cellStyle name="Normal 12 2 4 3 2 7" xfId="15625" xr:uid="{00000000-0005-0000-0000-0000D8130000}"/>
    <cellStyle name="Normal 12 2 4 3 3" xfId="2001" xr:uid="{00000000-0005-0000-0000-0000D9130000}"/>
    <cellStyle name="Normal 12 2 4 3 3 2" xfId="8535" xr:uid="{00000000-0005-0000-0000-0000DA130000}"/>
    <cellStyle name="Normal 12 2 4 3 3 2 2" xfId="40276" xr:uid="{00000000-0005-0000-0000-0000DB130000}"/>
    <cellStyle name="Normal 12 2 4 3 3 2 2 2" xfId="56376" xr:uid="{00000000-0005-0000-0000-0000DC130000}"/>
    <cellStyle name="Normal 12 2 4 3 3 2 3" xfId="46809" xr:uid="{00000000-0005-0000-0000-0000DD130000}"/>
    <cellStyle name="Normal 12 2 4 3 3 2 4" xfId="30709" xr:uid="{00000000-0005-0000-0000-0000DE130000}"/>
    <cellStyle name="Normal 12 2 4 3 3 2 5" xfId="21140" xr:uid="{00000000-0005-0000-0000-0000DF130000}"/>
    <cellStyle name="Normal 12 2 4 3 3 3" xfId="11571" xr:uid="{00000000-0005-0000-0000-0000E0130000}"/>
    <cellStyle name="Normal 12 2 4 3 3 3 2" xfId="49845" xr:uid="{00000000-0005-0000-0000-0000E1130000}"/>
    <cellStyle name="Normal 12 2 4 3 3 3 3" xfId="33745" xr:uid="{00000000-0005-0000-0000-0000E2130000}"/>
    <cellStyle name="Normal 12 2 4 3 3 3 4" xfId="24176" xr:uid="{00000000-0005-0000-0000-0000E3130000}"/>
    <cellStyle name="Normal 12 2 4 3 3 4" xfId="5499" xr:uid="{00000000-0005-0000-0000-0000E4130000}"/>
    <cellStyle name="Normal 12 2 4 3 3 4 2" xfId="53340" xr:uid="{00000000-0005-0000-0000-0000E5130000}"/>
    <cellStyle name="Normal 12 2 4 3 3 4 3" xfId="37240" xr:uid="{00000000-0005-0000-0000-0000E6130000}"/>
    <cellStyle name="Normal 12 2 4 3 3 4 4" xfId="18104" xr:uid="{00000000-0005-0000-0000-0000E7130000}"/>
    <cellStyle name="Normal 12 2 4 3 3 5" xfId="43773" xr:uid="{00000000-0005-0000-0000-0000E8130000}"/>
    <cellStyle name="Normal 12 2 4 3 3 6" xfId="27673" xr:uid="{00000000-0005-0000-0000-0000E9130000}"/>
    <cellStyle name="Normal 12 2 4 3 3 7" xfId="14609" xr:uid="{00000000-0005-0000-0000-0000EA130000}"/>
    <cellStyle name="Normal 12 2 4 3 4" xfId="7525" xr:uid="{00000000-0005-0000-0000-0000EB130000}"/>
    <cellStyle name="Normal 12 2 4 3 4 2" xfId="39266" xr:uid="{00000000-0005-0000-0000-0000EC130000}"/>
    <cellStyle name="Normal 12 2 4 3 4 2 2" xfId="55366" xr:uid="{00000000-0005-0000-0000-0000ED130000}"/>
    <cellStyle name="Normal 12 2 4 3 4 3" xfId="45799" xr:uid="{00000000-0005-0000-0000-0000EE130000}"/>
    <cellStyle name="Normal 12 2 4 3 4 4" xfId="29699" xr:uid="{00000000-0005-0000-0000-0000EF130000}"/>
    <cellStyle name="Normal 12 2 4 3 4 5" xfId="20130" xr:uid="{00000000-0005-0000-0000-0000F0130000}"/>
    <cellStyle name="Normal 12 2 4 3 5" xfId="10561" xr:uid="{00000000-0005-0000-0000-0000F1130000}"/>
    <cellStyle name="Normal 12 2 4 3 5 2" xfId="48835" xr:uid="{00000000-0005-0000-0000-0000F2130000}"/>
    <cellStyle name="Normal 12 2 4 3 5 3" xfId="32735" xr:uid="{00000000-0005-0000-0000-0000F3130000}"/>
    <cellStyle name="Normal 12 2 4 3 5 4" xfId="23166" xr:uid="{00000000-0005-0000-0000-0000F4130000}"/>
    <cellStyle name="Normal 12 2 4 3 6" xfId="4489" xr:uid="{00000000-0005-0000-0000-0000F5130000}"/>
    <cellStyle name="Normal 12 2 4 3 6 2" xfId="52330" xr:uid="{00000000-0005-0000-0000-0000F6130000}"/>
    <cellStyle name="Normal 12 2 4 3 6 3" xfId="36230" xr:uid="{00000000-0005-0000-0000-0000F7130000}"/>
    <cellStyle name="Normal 12 2 4 3 6 4" xfId="17094" xr:uid="{00000000-0005-0000-0000-0000F8130000}"/>
    <cellStyle name="Normal 12 2 4 3 7" xfId="42763" xr:uid="{00000000-0005-0000-0000-0000F9130000}"/>
    <cellStyle name="Normal 12 2 4 3 8" xfId="26663" xr:uid="{00000000-0005-0000-0000-0000FA130000}"/>
    <cellStyle name="Normal 12 2 4 3 9" xfId="13599" xr:uid="{00000000-0005-0000-0000-0000FB130000}"/>
    <cellStyle name="Normal 12 2 4 4" xfId="2193" xr:uid="{00000000-0005-0000-0000-0000FC130000}"/>
    <cellStyle name="Normal 12 2 4 4 2" xfId="8727" xr:uid="{00000000-0005-0000-0000-0000FD130000}"/>
    <cellStyle name="Normal 12 2 4 4 2 2" xfId="40468" xr:uid="{00000000-0005-0000-0000-0000FE130000}"/>
    <cellStyle name="Normal 12 2 4 4 2 2 2" xfId="56568" xr:uid="{00000000-0005-0000-0000-0000FF130000}"/>
    <cellStyle name="Normal 12 2 4 4 2 3" xfId="47001" xr:uid="{00000000-0005-0000-0000-000000140000}"/>
    <cellStyle name="Normal 12 2 4 4 2 4" xfId="30901" xr:uid="{00000000-0005-0000-0000-000001140000}"/>
    <cellStyle name="Normal 12 2 4 4 2 5" xfId="21332" xr:uid="{00000000-0005-0000-0000-000002140000}"/>
    <cellStyle name="Normal 12 2 4 4 3" xfId="11763" xr:uid="{00000000-0005-0000-0000-000003140000}"/>
    <cellStyle name="Normal 12 2 4 4 3 2" xfId="50037" xr:uid="{00000000-0005-0000-0000-000004140000}"/>
    <cellStyle name="Normal 12 2 4 4 3 3" xfId="33937" xr:uid="{00000000-0005-0000-0000-000005140000}"/>
    <cellStyle name="Normal 12 2 4 4 3 4" xfId="24368" xr:uid="{00000000-0005-0000-0000-000006140000}"/>
    <cellStyle name="Normal 12 2 4 4 4" xfId="5691" xr:uid="{00000000-0005-0000-0000-000007140000}"/>
    <cellStyle name="Normal 12 2 4 4 4 2" xfId="53532" xr:uid="{00000000-0005-0000-0000-000008140000}"/>
    <cellStyle name="Normal 12 2 4 4 4 3" xfId="37432" xr:uid="{00000000-0005-0000-0000-000009140000}"/>
    <cellStyle name="Normal 12 2 4 4 4 4" xfId="18296" xr:uid="{00000000-0005-0000-0000-00000A140000}"/>
    <cellStyle name="Normal 12 2 4 4 5" xfId="43965" xr:uid="{00000000-0005-0000-0000-00000B140000}"/>
    <cellStyle name="Normal 12 2 4 4 6" xfId="27865" xr:uid="{00000000-0005-0000-0000-00000C140000}"/>
    <cellStyle name="Normal 12 2 4 4 7" xfId="14801" xr:uid="{00000000-0005-0000-0000-00000D140000}"/>
    <cellStyle name="Normal 12 2 4 5" xfId="1405" xr:uid="{00000000-0005-0000-0000-00000E140000}"/>
    <cellStyle name="Normal 12 2 4 5 2" xfId="7939" xr:uid="{00000000-0005-0000-0000-00000F140000}"/>
    <cellStyle name="Normal 12 2 4 5 2 2" xfId="39680" xr:uid="{00000000-0005-0000-0000-000010140000}"/>
    <cellStyle name="Normal 12 2 4 5 2 2 2" xfId="55780" xr:uid="{00000000-0005-0000-0000-000011140000}"/>
    <cellStyle name="Normal 12 2 4 5 2 3" xfId="46213" xr:uid="{00000000-0005-0000-0000-000012140000}"/>
    <cellStyle name="Normal 12 2 4 5 2 4" xfId="30113" xr:uid="{00000000-0005-0000-0000-000013140000}"/>
    <cellStyle name="Normal 12 2 4 5 2 5" xfId="20544" xr:uid="{00000000-0005-0000-0000-000014140000}"/>
    <cellStyle name="Normal 12 2 4 5 3" xfId="10975" xr:uid="{00000000-0005-0000-0000-000015140000}"/>
    <cellStyle name="Normal 12 2 4 5 3 2" xfId="49249" xr:uid="{00000000-0005-0000-0000-000016140000}"/>
    <cellStyle name="Normal 12 2 4 5 3 3" xfId="33149" xr:uid="{00000000-0005-0000-0000-000017140000}"/>
    <cellStyle name="Normal 12 2 4 5 3 4" xfId="23580" xr:uid="{00000000-0005-0000-0000-000018140000}"/>
    <cellStyle name="Normal 12 2 4 5 4" xfId="4903" xr:uid="{00000000-0005-0000-0000-000019140000}"/>
    <cellStyle name="Normal 12 2 4 5 4 2" xfId="52744" xr:uid="{00000000-0005-0000-0000-00001A140000}"/>
    <cellStyle name="Normal 12 2 4 5 4 3" xfId="36644" xr:uid="{00000000-0005-0000-0000-00001B140000}"/>
    <cellStyle name="Normal 12 2 4 5 4 4" xfId="17508" xr:uid="{00000000-0005-0000-0000-00001C140000}"/>
    <cellStyle name="Normal 12 2 4 5 5" xfId="43177" xr:uid="{00000000-0005-0000-0000-00001D140000}"/>
    <cellStyle name="Normal 12 2 4 5 6" xfId="27077" xr:uid="{00000000-0005-0000-0000-00001E140000}"/>
    <cellStyle name="Normal 12 2 4 5 7" xfId="14013" xr:uid="{00000000-0005-0000-0000-00001F140000}"/>
    <cellStyle name="Normal 12 2 4 6" xfId="6929" xr:uid="{00000000-0005-0000-0000-000020140000}"/>
    <cellStyle name="Normal 12 2 4 6 2" xfId="38670" xr:uid="{00000000-0005-0000-0000-000021140000}"/>
    <cellStyle name="Normal 12 2 4 6 2 2" xfId="54770" xr:uid="{00000000-0005-0000-0000-000022140000}"/>
    <cellStyle name="Normal 12 2 4 6 3" xfId="45203" xr:uid="{00000000-0005-0000-0000-000023140000}"/>
    <cellStyle name="Normal 12 2 4 6 4" xfId="29103" xr:uid="{00000000-0005-0000-0000-000024140000}"/>
    <cellStyle name="Normal 12 2 4 6 5" xfId="19534" xr:uid="{00000000-0005-0000-0000-000025140000}"/>
    <cellStyle name="Normal 12 2 4 7" xfId="9965" xr:uid="{00000000-0005-0000-0000-000026140000}"/>
    <cellStyle name="Normal 12 2 4 7 2" xfId="48239" xr:uid="{00000000-0005-0000-0000-000027140000}"/>
    <cellStyle name="Normal 12 2 4 7 3" xfId="32139" xr:uid="{00000000-0005-0000-0000-000028140000}"/>
    <cellStyle name="Normal 12 2 4 7 4" xfId="22570" xr:uid="{00000000-0005-0000-0000-000029140000}"/>
    <cellStyle name="Normal 12 2 4 8" xfId="3893" xr:uid="{00000000-0005-0000-0000-00002A140000}"/>
    <cellStyle name="Normal 12 2 4 8 2" xfId="51734" xr:uid="{00000000-0005-0000-0000-00002B140000}"/>
    <cellStyle name="Normal 12 2 4 8 3" xfId="35634" xr:uid="{00000000-0005-0000-0000-00002C140000}"/>
    <cellStyle name="Normal 12 2 4 8 4" xfId="16498" xr:uid="{00000000-0005-0000-0000-00002D140000}"/>
    <cellStyle name="Normal 12 2 4 9" xfId="42167" xr:uid="{00000000-0005-0000-0000-00002E140000}"/>
    <cellStyle name="Normal 12 2 5" xfId="245" xr:uid="{00000000-0005-0000-0000-00002F140000}"/>
    <cellStyle name="Normal 12 2 5 2" xfId="2264" xr:uid="{00000000-0005-0000-0000-000030140000}"/>
    <cellStyle name="Normal 12 2 5 2 2" xfId="8798" xr:uid="{00000000-0005-0000-0000-000031140000}"/>
    <cellStyle name="Normal 12 2 5 2 2 2" xfId="40539" xr:uid="{00000000-0005-0000-0000-000032140000}"/>
    <cellStyle name="Normal 12 2 5 2 2 2 2" xfId="56639" xr:uid="{00000000-0005-0000-0000-000033140000}"/>
    <cellStyle name="Normal 12 2 5 2 2 3" xfId="47072" xr:uid="{00000000-0005-0000-0000-000034140000}"/>
    <cellStyle name="Normal 12 2 5 2 2 4" xfId="30972" xr:uid="{00000000-0005-0000-0000-000035140000}"/>
    <cellStyle name="Normal 12 2 5 2 2 5" xfId="21403" xr:uid="{00000000-0005-0000-0000-000036140000}"/>
    <cellStyle name="Normal 12 2 5 2 3" xfId="11834" xr:uid="{00000000-0005-0000-0000-000037140000}"/>
    <cellStyle name="Normal 12 2 5 2 3 2" xfId="50108" xr:uid="{00000000-0005-0000-0000-000038140000}"/>
    <cellStyle name="Normal 12 2 5 2 3 3" xfId="34008" xr:uid="{00000000-0005-0000-0000-000039140000}"/>
    <cellStyle name="Normal 12 2 5 2 3 4" xfId="24439" xr:uid="{00000000-0005-0000-0000-00003A140000}"/>
    <cellStyle name="Normal 12 2 5 2 4" xfId="5762" xr:uid="{00000000-0005-0000-0000-00003B140000}"/>
    <cellStyle name="Normal 12 2 5 2 4 2" xfId="53603" xr:uid="{00000000-0005-0000-0000-00003C140000}"/>
    <cellStyle name="Normal 12 2 5 2 4 3" xfId="37503" xr:uid="{00000000-0005-0000-0000-00003D140000}"/>
    <cellStyle name="Normal 12 2 5 2 4 4" xfId="18367" xr:uid="{00000000-0005-0000-0000-00003E140000}"/>
    <cellStyle name="Normal 12 2 5 2 5" xfId="44036" xr:uid="{00000000-0005-0000-0000-00003F140000}"/>
    <cellStyle name="Normal 12 2 5 2 6" xfId="27936" xr:uid="{00000000-0005-0000-0000-000040140000}"/>
    <cellStyle name="Normal 12 2 5 2 7" xfId="14872" xr:uid="{00000000-0005-0000-0000-000041140000}"/>
    <cellStyle name="Normal 12 2 5 3" xfId="1476" xr:uid="{00000000-0005-0000-0000-000042140000}"/>
    <cellStyle name="Normal 12 2 5 3 2" xfId="8010" xr:uid="{00000000-0005-0000-0000-000043140000}"/>
    <cellStyle name="Normal 12 2 5 3 2 2" xfId="39751" xr:uid="{00000000-0005-0000-0000-000044140000}"/>
    <cellStyle name="Normal 12 2 5 3 2 2 2" xfId="55851" xr:uid="{00000000-0005-0000-0000-000045140000}"/>
    <cellStyle name="Normal 12 2 5 3 2 3" xfId="46284" xr:uid="{00000000-0005-0000-0000-000046140000}"/>
    <cellStyle name="Normal 12 2 5 3 2 4" xfId="30184" xr:uid="{00000000-0005-0000-0000-000047140000}"/>
    <cellStyle name="Normal 12 2 5 3 2 5" xfId="20615" xr:uid="{00000000-0005-0000-0000-000048140000}"/>
    <cellStyle name="Normal 12 2 5 3 3" xfId="11046" xr:uid="{00000000-0005-0000-0000-000049140000}"/>
    <cellStyle name="Normal 12 2 5 3 3 2" xfId="49320" xr:uid="{00000000-0005-0000-0000-00004A140000}"/>
    <cellStyle name="Normal 12 2 5 3 3 3" xfId="33220" xr:uid="{00000000-0005-0000-0000-00004B140000}"/>
    <cellStyle name="Normal 12 2 5 3 3 4" xfId="23651" xr:uid="{00000000-0005-0000-0000-00004C140000}"/>
    <cellStyle name="Normal 12 2 5 3 4" xfId="4974" xr:uid="{00000000-0005-0000-0000-00004D140000}"/>
    <cellStyle name="Normal 12 2 5 3 4 2" xfId="52815" xr:uid="{00000000-0005-0000-0000-00004E140000}"/>
    <cellStyle name="Normal 12 2 5 3 4 3" xfId="36715" xr:uid="{00000000-0005-0000-0000-00004F140000}"/>
    <cellStyle name="Normal 12 2 5 3 4 4" xfId="17579" xr:uid="{00000000-0005-0000-0000-000050140000}"/>
    <cellStyle name="Normal 12 2 5 3 5" xfId="43248" xr:uid="{00000000-0005-0000-0000-000051140000}"/>
    <cellStyle name="Normal 12 2 5 3 6" xfId="27148" xr:uid="{00000000-0005-0000-0000-000052140000}"/>
    <cellStyle name="Normal 12 2 5 3 7" xfId="14084" xr:uid="{00000000-0005-0000-0000-000053140000}"/>
    <cellStyle name="Normal 12 2 5 4" xfId="7000" xr:uid="{00000000-0005-0000-0000-000054140000}"/>
    <cellStyle name="Normal 12 2 5 4 2" xfId="38741" xr:uid="{00000000-0005-0000-0000-000055140000}"/>
    <cellStyle name="Normal 12 2 5 4 2 2" xfId="54841" xr:uid="{00000000-0005-0000-0000-000056140000}"/>
    <cellStyle name="Normal 12 2 5 4 3" xfId="45274" xr:uid="{00000000-0005-0000-0000-000057140000}"/>
    <cellStyle name="Normal 12 2 5 4 4" xfId="29174" xr:uid="{00000000-0005-0000-0000-000058140000}"/>
    <cellStyle name="Normal 12 2 5 4 5" xfId="19605" xr:uid="{00000000-0005-0000-0000-000059140000}"/>
    <cellStyle name="Normal 12 2 5 5" xfId="10036" xr:uid="{00000000-0005-0000-0000-00005A140000}"/>
    <cellStyle name="Normal 12 2 5 5 2" xfId="48310" xr:uid="{00000000-0005-0000-0000-00005B140000}"/>
    <cellStyle name="Normal 12 2 5 5 3" xfId="32210" xr:uid="{00000000-0005-0000-0000-00005C140000}"/>
    <cellStyle name="Normal 12 2 5 5 4" xfId="22641" xr:uid="{00000000-0005-0000-0000-00005D140000}"/>
    <cellStyle name="Normal 12 2 5 6" xfId="3964" xr:uid="{00000000-0005-0000-0000-00005E140000}"/>
    <cellStyle name="Normal 12 2 5 6 2" xfId="51805" xr:uid="{00000000-0005-0000-0000-00005F140000}"/>
    <cellStyle name="Normal 12 2 5 6 3" xfId="35705" xr:uid="{00000000-0005-0000-0000-000060140000}"/>
    <cellStyle name="Normal 12 2 5 6 4" xfId="16569" xr:uid="{00000000-0005-0000-0000-000061140000}"/>
    <cellStyle name="Normal 12 2 5 7" xfId="42238" xr:uid="{00000000-0005-0000-0000-000062140000}"/>
    <cellStyle name="Normal 12 2 5 8" xfId="26138" xr:uid="{00000000-0005-0000-0000-000063140000}"/>
    <cellStyle name="Normal 12 2 5 9" xfId="13074" xr:uid="{00000000-0005-0000-0000-000064140000}"/>
    <cellStyle name="Normal 12 2 6" xfId="520" xr:uid="{00000000-0005-0000-0000-000065140000}"/>
    <cellStyle name="Normal 12 2 6 2" xfId="2550" xr:uid="{00000000-0005-0000-0000-000066140000}"/>
    <cellStyle name="Normal 12 2 6 2 2" xfId="9082" xr:uid="{00000000-0005-0000-0000-000067140000}"/>
    <cellStyle name="Normal 12 2 6 2 2 2" xfId="40823" xr:uid="{00000000-0005-0000-0000-000068140000}"/>
    <cellStyle name="Normal 12 2 6 2 2 2 2" xfId="56923" xr:uid="{00000000-0005-0000-0000-000069140000}"/>
    <cellStyle name="Normal 12 2 6 2 2 3" xfId="47356" xr:uid="{00000000-0005-0000-0000-00006A140000}"/>
    <cellStyle name="Normal 12 2 6 2 2 4" xfId="31256" xr:uid="{00000000-0005-0000-0000-00006B140000}"/>
    <cellStyle name="Normal 12 2 6 2 2 5" xfId="21687" xr:uid="{00000000-0005-0000-0000-00006C140000}"/>
    <cellStyle name="Normal 12 2 6 2 3" xfId="12118" xr:uid="{00000000-0005-0000-0000-00006D140000}"/>
    <cellStyle name="Normal 12 2 6 2 3 2" xfId="50392" xr:uid="{00000000-0005-0000-0000-00006E140000}"/>
    <cellStyle name="Normal 12 2 6 2 3 3" xfId="34292" xr:uid="{00000000-0005-0000-0000-00006F140000}"/>
    <cellStyle name="Normal 12 2 6 2 3 4" xfId="24723" xr:uid="{00000000-0005-0000-0000-000070140000}"/>
    <cellStyle name="Normal 12 2 6 2 4" xfId="6046" xr:uid="{00000000-0005-0000-0000-000071140000}"/>
    <cellStyle name="Normal 12 2 6 2 4 2" xfId="53887" xr:uid="{00000000-0005-0000-0000-000072140000}"/>
    <cellStyle name="Normal 12 2 6 2 4 3" xfId="37787" xr:uid="{00000000-0005-0000-0000-000073140000}"/>
    <cellStyle name="Normal 12 2 6 2 4 4" xfId="18651" xr:uid="{00000000-0005-0000-0000-000074140000}"/>
    <cellStyle name="Normal 12 2 6 2 5" xfId="44320" xr:uid="{00000000-0005-0000-0000-000075140000}"/>
    <cellStyle name="Normal 12 2 6 2 6" xfId="28220" xr:uid="{00000000-0005-0000-0000-000076140000}"/>
    <cellStyle name="Normal 12 2 6 2 7" xfId="15156" xr:uid="{00000000-0005-0000-0000-000077140000}"/>
    <cellStyle name="Normal 12 2 6 3" xfId="1299" xr:uid="{00000000-0005-0000-0000-000078140000}"/>
    <cellStyle name="Normal 12 2 6 3 2" xfId="7833" xr:uid="{00000000-0005-0000-0000-000079140000}"/>
    <cellStyle name="Normal 12 2 6 3 2 2" xfId="39574" xr:uid="{00000000-0005-0000-0000-00007A140000}"/>
    <cellStyle name="Normal 12 2 6 3 2 2 2" xfId="55674" xr:uid="{00000000-0005-0000-0000-00007B140000}"/>
    <cellStyle name="Normal 12 2 6 3 2 3" xfId="46107" xr:uid="{00000000-0005-0000-0000-00007C140000}"/>
    <cellStyle name="Normal 12 2 6 3 2 4" xfId="30007" xr:uid="{00000000-0005-0000-0000-00007D140000}"/>
    <cellStyle name="Normal 12 2 6 3 2 5" xfId="20438" xr:uid="{00000000-0005-0000-0000-00007E140000}"/>
    <cellStyle name="Normal 12 2 6 3 3" xfId="10869" xr:uid="{00000000-0005-0000-0000-00007F140000}"/>
    <cellStyle name="Normal 12 2 6 3 3 2" xfId="49143" xr:uid="{00000000-0005-0000-0000-000080140000}"/>
    <cellStyle name="Normal 12 2 6 3 3 3" xfId="33043" xr:uid="{00000000-0005-0000-0000-000081140000}"/>
    <cellStyle name="Normal 12 2 6 3 3 4" xfId="23474" xr:uid="{00000000-0005-0000-0000-000082140000}"/>
    <cellStyle name="Normal 12 2 6 3 4" xfId="4797" xr:uid="{00000000-0005-0000-0000-000083140000}"/>
    <cellStyle name="Normal 12 2 6 3 4 2" xfId="52638" xr:uid="{00000000-0005-0000-0000-000084140000}"/>
    <cellStyle name="Normal 12 2 6 3 4 3" xfId="36538" xr:uid="{00000000-0005-0000-0000-000085140000}"/>
    <cellStyle name="Normal 12 2 6 3 4 4" xfId="17402" xr:uid="{00000000-0005-0000-0000-000086140000}"/>
    <cellStyle name="Normal 12 2 6 3 5" xfId="43071" xr:uid="{00000000-0005-0000-0000-000087140000}"/>
    <cellStyle name="Normal 12 2 6 3 6" xfId="26971" xr:uid="{00000000-0005-0000-0000-000088140000}"/>
    <cellStyle name="Normal 12 2 6 3 7" xfId="13907" xr:uid="{00000000-0005-0000-0000-000089140000}"/>
    <cellStyle name="Normal 12 2 6 4" xfId="6823" xr:uid="{00000000-0005-0000-0000-00008A140000}"/>
    <cellStyle name="Normal 12 2 6 4 2" xfId="38564" xr:uid="{00000000-0005-0000-0000-00008B140000}"/>
    <cellStyle name="Normal 12 2 6 4 2 2" xfId="54664" xr:uid="{00000000-0005-0000-0000-00008C140000}"/>
    <cellStyle name="Normal 12 2 6 4 3" xfId="45097" xr:uid="{00000000-0005-0000-0000-00008D140000}"/>
    <cellStyle name="Normal 12 2 6 4 4" xfId="28997" xr:uid="{00000000-0005-0000-0000-00008E140000}"/>
    <cellStyle name="Normal 12 2 6 4 5" xfId="19428" xr:uid="{00000000-0005-0000-0000-00008F140000}"/>
    <cellStyle name="Normal 12 2 6 5" xfId="9859" xr:uid="{00000000-0005-0000-0000-000090140000}"/>
    <cellStyle name="Normal 12 2 6 5 2" xfId="48133" xr:uid="{00000000-0005-0000-0000-000091140000}"/>
    <cellStyle name="Normal 12 2 6 5 3" xfId="32033" xr:uid="{00000000-0005-0000-0000-000092140000}"/>
    <cellStyle name="Normal 12 2 6 5 4" xfId="22464" xr:uid="{00000000-0005-0000-0000-000093140000}"/>
    <cellStyle name="Normal 12 2 6 6" xfId="3787" xr:uid="{00000000-0005-0000-0000-000094140000}"/>
    <cellStyle name="Normal 12 2 6 6 2" xfId="51628" xr:uid="{00000000-0005-0000-0000-000095140000}"/>
    <cellStyle name="Normal 12 2 6 6 3" xfId="35528" xr:uid="{00000000-0005-0000-0000-000096140000}"/>
    <cellStyle name="Normal 12 2 6 6 4" xfId="16392" xr:uid="{00000000-0005-0000-0000-000097140000}"/>
    <cellStyle name="Normal 12 2 6 7" xfId="42061" xr:uid="{00000000-0005-0000-0000-000098140000}"/>
    <cellStyle name="Normal 12 2 6 8" xfId="25961" xr:uid="{00000000-0005-0000-0000-000099140000}"/>
    <cellStyle name="Normal 12 2 6 9" xfId="12897" xr:uid="{00000000-0005-0000-0000-00009A140000}"/>
    <cellStyle name="Normal 12 2 7" xfId="750" xr:uid="{00000000-0005-0000-0000-00009B140000}"/>
    <cellStyle name="Normal 12 2 7 2" xfId="2778" xr:uid="{00000000-0005-0000-0000-00009C140000}"/>
    <cellStyle name="Normal 12 2 7 2 2" xfId="9310" xr:uid="{00000000-0005-0000-0000-00009D140000}"/>
    <cellStyle name="Normal 12 2 7 2 2 2" xfId="41051" xr:uid="{00000000-0005-0000-0000-00009E140000}"/>
    <cellStyle name="Normal 12 2 7 2 2 2 2" xfId="57151" xr:uid="{00000000-0005-0000-0000-00009F140000}"/>
    <cellStyle name="Normal 12 2 7 2 2 3" xfId="47584" xr:uid="{00000000-0005-0000-0000-0000A0140000}"/>
    <cellStyle name="Normal 12 2 7 2 2 4" xfId="31484" xr:uid="{00000000-0005-0000-0000-0000A1140000}"/>
    <cellStyle name="Normal 12 2 7 2 2 5" xfId="21915" xr:uid="{00000000-0005-0000-0000-0000A2140000}"/>
    <cellStyle name="Normal 12 2 7 2 3" xfId="12346" xr:uid="{00000000-0005-0000-0000-0000A3140000}"/>
    <cellStyle name="Normal 12 2 7 2 3 2" xfId="50620" xr:uid="{00000000-0005-0000-0000-0000A4140000}"/>
    <cellStyle name="Normal 12 2 7 2 3 3" xfId="34520" xr:uid="{00000000-0005-0000-0000-0000A5140000}"/>
    <cellStyle name="Normal 12 2 7 2 3 4" xfId="24951" xr:uid="{00000000-0005-0000-0000-0000A6140000}"/>
    <cellStyle name="Normal 12 2 7 2 4" xfId="6274" xr:uid="{00000000-0005-0000-0000-0000A7140000}"/>
    <cellStyle name="Normal 12 2 7 2 4 2" xfId="54115" xr:uid="{00000000-0005-0000-0000-0000A8140000}"/>
    <cellStyle name="Normal 12 2 7 2 4 3" xfId="38015" xr:uid="{00000000-0005-0000-0000-0000A9140000}"/>
    <cellStyle name="Normal 12 2 7 2 4 4" xfId="18879" xr:uid="{00000000-0005-0000-0000-0000AA140000}"/>
    <cellStyle name="Normal 12 2 7 2 5" xfId="44548" xr:uid="{00000000-0005-0000-0000-0000AB140000}"/>
    <cellStyle name="Normal 12 2 7 2 6" xfId="28448" xr:uid="{00000000-0005-0000-0000-0000AC140000}"/>
    <cellStyle name="Normal 12 2 7 2 7" xfId="15384" xr:uid="{00000000-0005-0000-0000-0000AD140000}"/>
    <cellStyle name="Normal 12 2 7 3" xfId="1760" xr:uid="{00000000-0005-0000-0000-0000AE140000}"/>
    <cellStyle name="Normal 12 2 7 3 2" xfId="8294" xr:uid="{00000000-0005-0000-0000-0000AF140000}"/>
    <cellStyle name="Normal 12 2 7 3 2 2" xfId="40035" xr:uid="{00000000-0005-0000-0000-0000B0140000}"/>
    <cellStyle name="Normal 12 2 7 3 2 2 2" xfId="56135" xr:uid="{00000000-0005-0000-0000-0000B1140000}"/>
    <cellStyle name="Normal 12 2 7 3 2 3" xfId="46568" xr:uid="{00000000-0005-0000-0000-0000B2140000}"/>
    <cellStyle name="Normal 12 2 7 3 2 4" xfId="30468" xr:uid="{00000000-0005-0000-0000-0000B3140000}"/>
    <cellStyle name="Normal 12 2 7 3 2 5" xfId="20899" xr:uid="{00000000-0005-0000-0000-0000B4140000}"/>
    <cellStyle name="Normal 12 2 7 3 3" xfId="11330" xr:uid="{00000000-0005-0000-0000-0000B5140000}"/>
    <cellStyle name="Normal 12 2 7 3 3 2" xfId="49604" xr:uid="{00000000-0005-0000-0000-0000B6140000}"/>
    <cellStyle name="Normal 12 2 7 3 3 3" xfId="33504" xr:uid="{00000000-0005-0000-0000-0000B7140000}"/>
    <cellStyle name="Normal 12 2 7 3 3 4" xfId="23935" xr:uid="{00000000-0005-0000-0000-0000B8140000}"/>
    <cellStyle name="Normal 12 2 7 3 4" xfId="5258" xr:uid="{00000000-0005-0000-0000-0000B9140000}"/>
    <cellStyle name="Normal 12 2 7 3 4 2" xfId="53099" xr:uid="{00000000-0005-0000-0000-0000BA140000}"/>
    <cellStyle name="Normal 12 2 7 3 4 3" xfId="36999" xr:uid="{00000000-0005-0000-0000-0000BB140000}"/>
    <cellStyle name="Normal 12 2 7 3 4 4" xfId="17863" xr:uid="{00000000-0005-0000-0000-0000BC140000}"/>
    <cellStyle name="Normal 12 2 7 3 5" xfId="43532" xr:uid="{00000000-0005-0000-0000-0000BD140000}"/>
    <cellStyle name="Normal 12 2 7 3 6" xfId="27432" xr:uid="{00000000-0005-0000-0000-0000BE140000}"/>
    <cellStyle name="Normal 12 2 7 3 7" xfId="14368" xr:uid="{00000000-0005-0000-0000-0000BF140000}"/>
    <cellStyle name="Normal 12 2 7 4" xfId="7284" xr:uid="{00000000-0005-0000-0000-0000C0140000}"/>
    <cellStyle name="Normal 12 2 7 4 2" xfId="39025" xr:uid="{00000000-0005-0000-0000-0000C1140000}"/>
    <cellStyle name="Normal 12 2 7 4 2 2" xfId="55125" xr:uid="{00000000-0005-0000-0000-0000C2140000}"/>
    <cellStyle name="Normal 12 2 7 4 3" xfId="45558" xr:uid="{00000000-0005-0000-0000-0000C3140000}"/>
    <cellStyle name="Normal 12 2 7 4 4" xfId="29458" xr:uid="{00000000-0005-0000-0000-0000C4140000}"/>
    <cellStyle name="Normal 12 2 7 4 5" xfId="19889" xr:uid="{00000000-0005-0000-0000-0000C5140000}"/>
    <cellStyle name="Normal 12 2 7 5" xfId="10320" xr:uid="{00000000-0005-0000-0000-0000C6140000}"/>
    <cellStyle name="Normal 12 2 7 5 2" xfId="48594" xr:uid="{00000000-0005-0000-0000-0000C7140000}"/>
    <cellStyle name="Normal 12 2 7 5 3" xfId="32494" xr:uid="{00000000-0005-0000-0000-0000C8140000}"/>
    <cellStyle name="Normal 12 2 7 5 4" xfId="22925" xr:uid="{00000000-0005-0000-0000-0000C9140000}"/>
    <cellStyle name="Normal 12 2 7 6" xfId="4248" xr:uid="{00000000-0005-0000-0000-0000CA140000}"/>
    <cellStyle name="Normal 12 2 7 6 2" xfId="52089" xr:uid="{00000000-0005-0000-0000-0000CB140000}"/>
    <cellStyle name="Normal 12 2 7 6 3" xfId="35989" xr:uid="{00000000-0005-0000-0000-0000CC140000}"/>
    <cellStyle name="Normal 12 2 7 6 4" xfId="16853" xr:uid="{00000000-0005-0000-0000-0000CD140000}"/>
    <cellStyle name="Normal 12 2 7 7" xfId="42522" xr:uid="{00000000-0005-0000-0000-0000CE140000}"/>
    <cellStyle name="Normal 12 2 7 8" xfId="26422" xr:uid="{00000000-0005-0000-0000-0000CF140000}"/>
    <cellStyle name="Normal 12 2 7 9" xfId="13358" xr:uid="{00000000-0005-0000-0000-0000D0140000}"/>
    <cellStyle name="Normal 12 2 8" xfId="2087" xr:uid="{00000000-0005-0000-0000-0000D1140000}"/>
    <cellStyle name="Normal 12 2 8 2" xfId="8621" xr:uid="{00000000-0005-0000-0000-0000D2140000}"/>
    <cellStyle name="Normal 12 2 8 2 2" xfId="40362" xr:uid="{00000000-0005-0000-0000-0000D3140000}"/>
    <cellStyle name="Normal 12 2 8 2 2 2" xfId="56462" xr:uid="{00000000-0005-0000-0000-0000D4140000}"/>
    <cellStyle name="Normal 12 2 8 2 3" xfId="46895" xr:uid="{00000000-0005-0000-0000-0000D5140000}"/>
    <cellStyle name="Normal 12 2 8 2 4" xfId="30795" xr:uid="{00000000-0005-0000-0000-0000D6140000}"/>
    <cellStyle name="Normal 12 2 8 2 5" xfId="21226" xr:uid="{00000000-0005-0000-0000-0000D7140000}"/>
    <cellStyle name="Normal 12 2 8 3" xfId="11657" xr:uid="{00000000-0005-0000-0000-0000D8140000}"/>
    <cellStyle name="Normal 12 2 8 3 2" xfId="49931" xr:uid="{00000000-0005-0000-0000-0000D9140000}"/>
    <cellStyle name="Normal 12 2 8 3 3" xfId="33831" xr:uid="{00000000-0005-0000-0000-0000DA140000}"/>
    <cellStyle name="Normal 12 2 8 3 4" xfId="24262" xr:uid="{00000000-0005-0000-0000-0000DB140000}"/>
    <cellStyle name="Normal 12 2 8 4" xfId="5585" xr:uid="{00000000-0005-0000-0000-0000DC140000}"/>
    <cellStyle name="Normal 12 2 8 4 2" xfId="53426" xr:uid="{00000000-0005-0000-0000-0000DD140000}"/>
    <cellStyle name="Normal 12 2 8 4 3" xfId="37326" xr:uid="{00000000-0005-0000-0000-0000DE140000}"/>
    <cellStyle name="Normal 12 2 8 4 4" xfId="18190" xr:uid="{00000000-0005-0000-0000-0000DF140000}"/>
    <cellStyle name="Normal 12 2 8 5" xfId="43859" xr:uid="{00000000-0005-0000-0000-0000E0140000}"/>
    <cellStyle name="Normal 12 2 8 6" xfId="27759" xr:uid="{00000000-0005-0000-0000-0000E1140000}"/>
    <cellStyle name="Normal 12 2 8 7" xfId="14695" xr:uid="{00000000-0005-0000-0000-0000E2140000}"/>
    <cellStyle name="Normal 12 2 9" xfId="1077" xr:uid="{00000000-0005-0000-0000-0000E3140000}"/>
    <cellStyle name="Normal 12 2 9 2" xfId="7611" xr:uid="{00000000-0005-0000-0000-0000E4140000}"/>
    <cellStyle name="Normal 12 2 9 2 2" xfId="39352" xr:uid="{00000000-0005-0000-0000-0000E5140000}"/>
    <cellStyle name="Normal 12 2 9 2 2 2" xfId="55452" xr:uid="{00000000-0005-0000-0000-0000E6140000}"/>
    <cellStyle name="Normal 12 2 9 2 3" xfId="45885" xr:uid="{00000000-0005-0000-0000-0000E7140000}"/>
    <cellStyle name="Normal 12 2 9 2 4" xfId="29785" xr:uid="{00000000-0005-0000-0000-0000E8140000}"/>
    <cellStyle name="Normal 12 2 9 2 5" xfId="20216" xr:uid="{00000000-0005-0000-0000-0000E9140000}"/>
    <cellStyle name="Normal 12 2 9 3" xfId="10647" xr:uid="{00000000-0005-0000-0000-0000EA140000}"/>
    <cellStyle name="Normal 12 2 9 3 2" xfId="48921" xr:uid="{00000000-0005-0000-0000-0000EB140000}"/>
    <cellStyle name="Normal 12 2 9 3 3" xfId="32821" xr:uid="{00000000-0005-0000-0000-0000EC140000}"/>
    <cellStyle name="Normal 12 2 9 3 4" xfId="23252" xr:uid="{00000000-0005-0000-0000-0000ED140000}"/>
    <cellStyle name="Normal 12 2 9 4" xfId="4575" xr:uid="{00000000-0005-0000-0000-0000EE140000}"/>
    <cellStyle name="Normal 12 2 9 4 2" xfId="52416" xr:uid="{00000000-0005-0000-0000-0000EF140000}"/>
    <cellStyle name="Normal 12 2 9 4 3" xfId="36316" xr:uid="{00000000-0005-0000-0000-0000F0140000}"/>
    <cellStyle name="Normal 12 2 9 4 4" xfId="17180" xr:uid="{00000000-0005-0000-0000-0000F1140000}"/>
    <cellStyle name="Normal 12 2 9 5" xfId="42849" xr:uid="{00000000-0005-0000-0000-0000F2140000}"/>
    <cellStyle name="Normal 12 2 9 6" xfId="26749" xr:uid="{00000000-0005-0000-0000-0000F3140000}"/>
    <cellStyle name="Normal 12 2 9 7" xfId="13685" xr:uid="{00000000-0005-0000-0000-0000F4140000}"/>
    <cellStyle name="Normal 12 20" xfId="3087" xr:uid="{00000000-0005-0000-0000-0000F5140000}"/>
    <cellStyle name="Normal 12 20 2" xfId="50929" xr:uid="{00000000-0005-0000-0000-0000F6140000}"/>
    <cellStyle name="Normal 12 20 3" xfId="34829" xr:uid="{00000000-0005-0000-0000-0000F7140000}"/>
    <cellStyle name="Normal 12 20 4" xfId="15693" xr:uid="{00000000-0005-0000-0000-0000F8140000}"/>
    <cellStyle name="Normal 12 21" xfId="41362" xr:uid="{00000000-0005-0000-0000-0000F9140000}"/>
    <cellStyle name="Normal 12 22" xfId="25262" xr:uid="{00000000-0005-0000-0000-0000FA140000}"/>
    <cellStyle name="Normal 12 23" xfId="12657" xr:uid="{00000000-0005-0000-0000-0000FB140000}"/>
    <cellStyle name="Normal 12 3" xfId="117" xr:uid="{00000000-0005-0000-0000-0000FC140000}"/>
    <cellStyle name="Normal 12 3 10" xfId="9701" xr:uid="{00000000-0005-0000-0000-0000FD140000}"/>
    <cellStyle name="Normal 12 3 10 2" xfId="47975" xr:uid="{00000000-0005-0000-0000-0000FE140000}"/>
    <cellStyle name="Normal 12 3 10 3" xfId="31875" xr:uid="{00000000-0005-0000-0000-0000FF140000}"/>
    <cellStyle name="Normal 12 3 10 4" xfId="22306" xr:uid="{00000000-0005-0000-0000-000000150000}"/>
    <cellStyle name="Normal 12 3 11" xfId="3169" xr:uid="{00000000-0005-0000-0000-000001150000}"/>
    <cellStyle name="Normal 12 3 11 2" xfId="51011" xr:uid="{00000000-0005-0000-0000-000002150000}"/>
    <cellStyle name="Normal 12 3 11 3" xfId="34911" xr:uid="{00000000-0005-0000-0000-000003150000}"/>
    <cellStyle name="Normal 12 3 11 4" xfId="15775" xr:uid="{00000000-0005-0000-0000-000004150000}"/>
    <cellStyle name="Normal 12 3 12" xfId="41444" xr:uid="{00000000-0005-0000-0000-000005150000}"/>
    <cellStyle name="Normal 12 3 13" xfId="25344" xr:uid="{00000000-0005-0000-0000-000006150000}"/>
    <cellStyle name="Normal 12 3 14" xfId="12739" xr:uid="{00000000-0005-0000-0000-000007150000}"/>
    <cellStyle name="Normal 12 3 2" xfId="192" xr:uid="{00000000-0005-0000-0000-000008150000}"/>
    <cellStyle name="Normal 12 3 2 10" xfId="41681" xr:uid="{00000000-0005-0000-0000-000009150000}"/>
    <cellStyle name="Normal 12 3 2 11" xfId="25581" xr:uid="{00000000-0005-0000-0000-00000A150000}"/>
    <cellStyle name="Normal 12 3 2 12" xfId="13021" xr:uid="{00000000-0005-0000-0000-00000B150000}"/>
    <cellStyle name="Normal 12 3 2 2" xfId="369" xr:uid="{00000000-0005-0000-0000-00000C150000}"/>
    <cellStyle name="Normal 12 3 2 2 2" xfId="2388" xr:uid="{00000000-0005-0000-0000-00000D150000}"/>
    <cellStyle name="Normal 12 3 2 2 2 2" xfId="8922" xr:uid="{00000000-0005-0000-0000-00000E150000}"/>
    <cellStyle name="Normal 12 3 2 2 2 2 2" xfId="40663" xr:uid="{00000000-0005-0000-0000-00000F150000}"/>
    <cellStyle name="Normal 12 3 2 2 2 2 2 2" xfId="56763" xr:uid="{00000000-0005-0000-0000-000010150000}"/>
    <cellStyle name="Normal 12 3 2 2 2 2 3" xfId="47196" xr:uid="{00000000-0005-0000-0000-000011150000}"/>
    <cellStyle name="Normal 12 3 2 2 2 2 4" xfId="31096" xr:uid="{00000000-0005-0000-0000-000012150000}"/>
    <cellStyle name="Normal 12 3 2 2 2 2 5" xfId="21527" xr:uid="{00000000-0005-0000-0000-000013150000}"/>
    <cellStyle name="Normal 12 3 2 2 2 3" xfId="11958" xr:uid="{00000000-0005-0000-0000-000014150000}"/>
    <cellStyle name="Normal 12 3 2 2 2 3 2" xfId="50232" xr:uid="{00000000-0005-0000-0000-000015150000}"/>
    <cellStyle name="Normal 12 3 2 2 2 3 3" xfId="34132" xr:uid="{00000000-0005-0000-0000-000016150000}"/>
    <cellStyle name="Normal 12 3 2 2 2 3 4" xfId="24563" xr:uid="{00000000-0005-0000-0000-000017150000}"/>
    <cellStyle name="Normal 12 3 2 2 2 4" xfId="5886" xr:uid="{00000000-0005-0000-0000-000018150000}"/>
    <cellStyle name="Normal 12 3 2 2 2 4 2" xfId="53727" xr:uid="{00000000-0005-0000-0000-000019150000}"/>
    <cellStyle name="Normal 12 3 2 2 2 4 3" xfId="37627" xr:uid="{00000000-0005-0000-0000-00001A150000}"/>
    <cellStyle name="Normal 12 3 2 2 2 4 4" xfId="18491" xr:uid="{00000000-0005-0000-0000-00001B150000}"/>
    <cellStyle name="Normal 12 3 2 2 2 5" xfId="44160" xr:uid="{00000000-0005-0000-0000-00001C150000}"/>
    <cellStyle name="Normal 12 3 2 2 2 6" xfId="28060" xr:uid="{00000000-0005-0000-0000-00001D150000}"/>
    <cellStyle name="Normal 12 3 2 2 2 7" xfId="14996" xr:uid="{00000000-0005-0000-0000-00001E150000}"/>
    <cellStyle name="Normal 12 3 2 2 3" xfId="1600" xr:uid="{00000000-0005-0000-0000-00001F150000}"/>
    <cellStyle name="Normal 12 3 2 2 3 2" xfId="8134" xr:uid="{00000000-0005-0000-0000-000020150000}"/>
    <cellStyle name="Normal 12 3 2 2 3 2 2" xfId="39875" xr:uid="{00000000-0005-0000-0000-000021150000}"/>
    <cellStyle name="Normal 12 3 2 2 3 2 2 2" xfId="55975" xr:uid="{00000000-0005-0000-0000-000022150000}"/>
    <cellStyle name="Normal 12 3 2 2 3 2 3" xfId="46408" xr:uid="{00000000-0005-0000-0000-000023150000}"/>
    <cellStyle name="Normal 12 3 2 2 3 2 4" xfId="30308" xr:uid="{00000000-0005-0000-0000-000024150000}"/>
    <cellStyle name="Normal 12 3 2 2 3 2 5" xfId="20739" xr:uid="{00000000-0005-0000-0000-000025150000}"/>
    <cellStyle name="Normal 12 3 2 2 3 3" xfId="11170" xr:uid="{00000000-0005-0000-0000-000026150000}"/>
    <cellStyle name="Normal 12 3 2 2 3 3 2" xfId="49444" xr:uid="{00000000-0005-0000-0000-000027150000}"/>
    <cellStyle name="Normal 12 3 2 2 3 3 3" xfId="33344" xr:uid="{00000000-0005-0000-0000-000028150000}"/>
    <cellStyle name="Normal 12 3 2 2 3 3 4" xfId="23775" xr:uid="{00000000-0005-0000-0000-000029150000}"/>
    <cellStyle name="Normal 12 3 2 2 3 4" xfId="5098" xr:uid="{00000000-0005-0000-0000-00002A150000}"/>
    <cellStyle name="Normal 12 3 2 2 3 4 2" xfId="52939" xr:uid="{00000000-0005-0000-0000-00002B150000}"/>
    <cellStyle name="Normal 12 3 2 2 3 4 3" xfId="36839" xr:uid="{00000000-0005-0000-0000-00002C150000}"/>
    <cellStyle name="Normal 12 3 2 2 3 4 4" xfId="17703" xr:uid="{00000000-0005-0000-0000-00002D150000}"/>
    <cellStyle name="Normal 12 3 2 2 3 5" xfId="43372" xr:uid="{00000000-0005-0000-0000-00002E150000}"/>
    <cellStyle name="Normal 12 3 2 2 3 6" xfId="27272" xr:uid="{00000000-0005-0000-0000-00002F150000}"/>
    <cellStyle name="Normal 12 3 2 2 3 7" xfId="14208" xr:uid="{00000000-0005-0000-0000-000030150000}"/>
    <cellStyle name="Normal 12 3 2 2 4" xfId="7124" xr:uid="{00000000-0005-0000-0000-000031150000}"/>
    <cellStyle name="Normal 12 3 2 2 4 2" xfId="38865" xr:uid="{00000000-0005-0000-0000-000032150000}"/>
    <cellStyle name="Normal 12 3 2 2 4 2 2" xfId="54965" xr:uid="{00000000-0005-0000-0000-000033150000}"/>
    <cellStyle name="Normal 12 3 2 2 4 3" xfId="45398" xr:uid="{00000000-0005-0000-0000-000034150000}"/>
    <cellStyle name="Normal 12 3 2 2 4 4" xfId="29298" xr:uid="{00000000-0005-0000-0000-000035150000}"/>
    <cellStyle name="Normal 12 3 2 2 4 5" xfId="19729" xr:uid="{00000000-0005-0000-0000-000036150000}"/>
    <cellStyle name="Normal 12 3 2 2 5" xfId="10160" xr:uid="{00000000-0005-0000-0000-000037150000}"/>
    <cellStyle name="Normal 12 3 2 2 5 2" xfId="48434" xr:uid="{00000000-0005-0000-0000-000038150000}"/>
    <cellStyle name="Normal 12 3 2 2 5 3" xfId="32334" xr:uid="{00000000-0005-0000-0000-000039150000}"/>
    <cellStyle name="Normal 12 3 2 2 5 4" xfId="22765" xr:uid="{00000000-0005-0000-0000-00003A150000}"/>
    <cellStyle name="Normal 12 3 2 2 6" xfId="4088" xr:uid="{00000000-0005-0000-0000-00003B150000}"/>
    <cellStyle name="Normal 12 3 2 2 6 2" xfId="51929" xr:uid="{00000000-0005-0000-0000-00003C150000}"/>
    <cellStyle name="Normal 12 3 2 2 6 3" xfId="35829" xr:uid="{00000000-0005-0000-0000-00003D150000}"/>
    <cellStyle name="Normal 12 3 2 2 6 4" xfId="16693" xr:uid="{00000000-0005-0000-0000-00003E150000}"/>
    <cellStyle name="Normal 12 3 2 2 7" xfId="42362" xr:uid="{00000000-0005-0000-0000-00003F150000}"/>
    <cellStyle name="Normal 12 3 2 2 8" xfId="26262" xr:uid="{00000000-0005-0000-0000-000040150000}"/>
    <cellStyle name="Normal 12 3 2 2 9" xfId="13198" xr:uid="{00000000-0005-0000-0000-000041150000}"/>
    <cellStyle name="Normal 12 3 2 3" xfId="1008" xr:uid="{00000000-0005-0000-0000-000042150000}"/>
    <cellStyle name="Normal 12 3 2 3 2" xfId="3036" xr:uid="{00000000-0005-0000-0000-000043150000}"/>
    <cellStyle name="Normal 12 3 2 3 2 2" xfId="9568" xr:uid="{00000000-0005-0000-0000-000044150000}"/>
    <cellStyle name="Normal 12 3 2 3 2 2 2" xfId="41309" xr:uid="{00000000-0005-0000-0000-000045150000}"/>
    <cellStyle name="Normal 12 3 2 3 2 2 2 2" xfId="57409" xr:uid="{00000000-0005-0000-0000-000046150000}"/>
    <cellStyle name="Normal 12 3 2 3 2 2 3" xfId="47842" xr:uid="{00000000-0005-0000-0000-000047150000}"/>
    <cellStyle name="Normal 12 3 2 3 2 2 4" xfId="31742" xr:uid="{00000000-0005-0000-0000-000048150000}"/>
    <cellStyle name="Normal 12 3 2 3 2 2 5" xfId="22173" xr:uid="{00000000-0005-0000-0000-000049150000}"/>
    <cellStyle name="Normal 12 3 2 3 2 3" xfId="12604" xr:uid="{00000000-0005-0000-0000-00004A150000}"/>
    <cellStyle name="Normal 12 3 2 3 2 3 2" xfId="50878" xr:uid="{00000000-0005-0000-0000-00004B150000}"/>
    <cellStyle name="Normal 12 3 2 3 2 3 3" xfId="34778" xr:uid="{00000000-0005-0000-0000-00004C150000}"/>
    <cellStyle name="Normal 12 3 2 3 2 3 4" xfId="25209" xr:uid="{00000000-0005-0000-0000-00004D150000}"/>
    <cellStyle name="Normal 12 3 2 3 2 4" xfId="6532" xr:uid="{00000000-0005-0000-0000-00004E150000}"/>
    <cellStyle name="Normal 12 3 2 3 2 4 2" xfId="54373" xr:uid="{00000000-0005-0000-0000-00004F150000}"/>
    <cellStyle name="Normal 12 3 2 3 2 4 3" xfId="38273" xr:uid="{00000000-0005-0000-0000-000050150000}"/>
    <cellStyle name="Normal 12 3 2 3 2 4 4" xfId="19137" xr:uid="{00000000-0005-0000-0000-000051150000}"/>
    <cellStyle name="Normal 12 3 2 3 2 5" xfId="44806" xr:uid="{00000000-0005-0000-0000-000052150000}"/>
    <cellStyle name="Normal 12 3 2 3 2 6" xfId="28706" xr:uid="{00000000-0005-0000-0000-000053150000}"/>
    <cellStyle name="Normal 12 3 2 3 2 7" xfId="15642" xr:uid="{00000000-0005-0000-0000-000054150000}"/>
    <cellStyle name="Normal 12 3 2 3 3" xfId="2018" xr:uid="{00000000-0005-0000-0000-000055150000}"/>
    <cellStyle name="Normal 12 3 2 3 3 2" xfId="8552" xr:uid="{00000000-0005-0000-0000-000056150000}"/>
    <cellStyle name="Normal 12 3 2 3 3 2 2" xfId="40293" xr:uid="{00000000-0005-0000-0000-000057150000}"/>
    <cellStyle name="Normal 12 3 2 3 3 2 2 2" xfId="56393" xr:uid="{00000000-0005-0000-0000-000058150000}"/>
    <cellStyle name="Normal 12 3 2 3 3 2 3" xfId="46826" xr:uid="{00000000-0005-0000-0000-000059150000}"/>
    <cellStyle name="Normal 12 3 2 3 3 2 4" xfId="30726" xr:uid="{00000000-0005-0000-0000-00005A150000}"/>
    <cellStyle name="Normal 12 3 2 3 3 2 5" xfId="21157" xr:uid="{00000000-0005-0000-0000-00005B150000}"/>
    <cellStyle name="Normal 12 3 2 3 3 3" xfId="11588" xr:uid="{00000000-0005-0000-0000-00005C150000}"/>
    <cellStyle name="Normal 12 3 2 3 3 3 2" xfId="49862" xr:uid="{00000000-0005-0000-0000-00005D150000}"/>
    <cellStyle name="Normal 12 3 2 3 3 3 3" xfId="33762" xr:uid="{00000000-0005-0000-0000-00005E150000}"/>
    <cellStyle name="Normal 12 3 2 3 3 3 4" xfId="24193" xr:uid="{00000000-0005-0000-0000-00005F150000}"/>
    <cellStyle name="Normal 12 3 2 3 3 4" xfId="5516" xr:uid="{00000000-0005-0000-0000-000060150000}"/>
    <cellStyle name="Normal 12 3 2 3 3 4 2" xfId="53357" xr:uid="{00000000-0005-0000-0000-000061150000}"/>
    <cellStyle name="Normal 12 3 2 3 3 4 3" xfId="37257" xr:uid="{00000000-0005-0000-0000-000062150000}"/>
    <cellStyle name="Normal 12 3 2 3 3 4 4" xfId="18121" xr:uid="{00000000-0005-0000-0000-000063150000}"/>
    <cellStyle name="Normal 12 3 2 3 3 5" xfId="43790" xr:uid="{00000000-0005-0000-0000-000064150000}"/>
    <cellStyle name="Normal 12 3 2 3 3 6" xfId="27690" xr:uid="{00000000-0005-0000-0000-000065150000}"/>
    <cellStyle name="Normal 12 3 2 3 3 7" xfId="14626" xr:uid="{00000000-0005-0000-0000-000066150000}"/>
    <cellStyle name="Normal 12 3 2 3 4" xfId="7542" xr:uid="{00000000-0005-0000-0000-000067150000}"/>
    <cellStyle name="Normal 12 3 2 3 4 2" xfId="39283" xr:uid="{00000000-0005-0000-0000-000068150000}"/>
    <cellStyle name="Normal 12 3 2 3 4 2 2" xfId="55383" xr:uid="{00000000-0005-0000-0000-000069150000}"/>
    <cellStyle name="Normal 12 3 2 3 4 3" xfId="45816" xr:uid="{00000000-0005-0000-0000-00006A150000}"/>
    <cellStyle name="Normal 12 3 2 3 4 4" xfId="29716" xr:uid="{00000000-0005-0000-0000-00006B150000}"/>
    <cellStyle name="Normal 12 3 2 3 4 5" xfId="20147" xr:uid="{00000000-0005-0000-0000-00006C150000}"/>
    <cellStyle name="Normal 12 3 2 3 5" xfId="10578" xr:uid="{00000000-0005-0000-0000-00006D150000}"/>
    <cellStyle name="Normal 12 3 2 3 5 2" xfId="48852" xr:uid="{00000000-0005-0000-0000-00006E150000}"/>
    <cellStyle name="Normal 12 3 2 3 5 3" xfId="32752" xr:uid="{00000000-0005-0000-0000-00006F150000}"/>
    <cellStyle name="Normal 12 3 2 3 5 4" xfId="23183" xr:uid="{00000000-0005-0000-0000-000070150000}"/>
    <cellStyle name="Normal 12 3 2 3 6" xfId="4506" xr:uid="{00000000-0005-0000-0000-000071150000}"/>
    <cellStyle name="Normal 12 3 2 3 6 2" xfId="52347" xr:uid="{00000000-0005-0000-0000-000072150000}"/>
    <cellStyle name="Normal 12 3 2 3 6 3" xfId="36247" xr:uid="{00000000-0005-0000-0000-000073150000}"/>
    <cellStyle name="Normal 12 3 2 3 6 4" xfId="17111" xr:uid="{00000000-0005-0000-0000-000074150000}"/>
    <cellStyle name="Normal 12 3 2 3 7" xfId="42780" xr:uid="{00000000-0005-0000-0000-000075150000}"/>
    <cellStyle name="Normal 12 3 2 3 8" xfId="26680" xr:uid="{00000000-0005-0000-0000-000076150000}"/>
    <cellStyle name="Normal 12 3 2 3 9" xfId="13616" xr:uid="{00000000-0005-0000-0000-000077150000}"/>
    <cellStyle name="Normal 12 3 2 4" xfId="2211" xr:uid="{00000000-0005-0000-0000-000078150000}"/>
    <cellStyle name="Normal 12 3 2 4 2" xfId="8745" xr:uid="{00000000-0005-0000-0000-000079150000}"/>
    <cellStyle name="Normal 12 3 2 4 2 2" xfId="40486" xr:uid="{00000000-0005-0000-0000-00007A150000}"/>
    <cellStyle name="Normal 12 3 2 4 2 2 2" xfId="56586" xr:uid="{00000000-0005-0000-0000-00007B150000}"/>
    <cellStyle name="Normal 12 3 2 4 2 3" xfId="47019" xr:uid="{00000000-0005-0000-0000-00007C150000}"/>
    <cellStyle name="Normal 12 3 2 4 2 4" xfId="30919" xr:uid="{00000000-0005-0000-0000-00007D150000}"/>
    <cellStyle name="Normal 12 3 2 4 2 5" xfId="21350" xr:uid="{00000000-0005-0000-0000-00007E150000}"/>
    <cellStyle name="Normal 12 3 2 4 3" xfId="11781" xr:uid="{00000000-0005-0000-0000-00007F150000}"/>
    <cellStyle name="Normal 12 3 2 4 3 2" xfId="50055" xr:uid="{00000000-0005-0000-0000-000080150000}"/>
    <cellStyle name="Normal 12 3 2 4 3 3" xfId="33955" xr:uid="{00000000-0005-0000-0000-000081150000}"/>
    <cellStyle name="Normal 12 3 2 4 3 4" xfId="24386" xr:uid="{00000000-0005-0000-0000-000082150000}"/>
    <cellStyle name="Normal 12 3 2 4 4" xfId="5709" xr:uid="{00000000-0005-0000-0000-000083150000}"/>
    <cellStyle name="Normal 12 3 2 4 4 2" xfId="53550" xr:uid="{00000000-0005-0000-0000-000084150000}"/>
    <cellStyle name="Normal 12 3 2 4 4 3" xfId="37450" xr:uid="{00000000-0005-0000-0000-000085150000}"/>
    <cellStyle name="Normal 12 3 2 4 4 4" xfId="18314" xr:uid="{00000000-0005-0000-0000-000086150000}"/>
    <cellStyle name="Normal 12 3 2 4 5" xfId="43983" xr:uid="{00000000-0005-0000-0000-000087150000}"/>
    <cellStyle name="Normal 12 3 2 4 6" xfId="27883" xr:uid="{00000000-0005-0000-0000-000088150000}"/>
    <cellStyle name="Normal 12 3 2 4 7" xfId="14819" xr:uid="{00000000-0005-0000-0000-000089150000}"/>
    <cellStyle name="Normal 12 3 2 5" xfId="1423" xr:uid="{00000000-0005-0000-0000-00008A150000}"/>
    <cellStyle name="Normal 12 3 2 5 2" xfId="7957" xr:uid="{00000000-0005-0000-0000-00008B150000}"/>
    <cellStyle name="Normal 12 3 2 5 2 2" xfId="39698" xr:uid="{00000000-0005-0000-0000-00008C150000}"/>
    <cellStyle name="Normal 12 3 2 5 2 2 2" xfId="55798" xr:uid="{00000000-0005-0000-0000-00008D150000}"/>
    <cellStyle name="Normal 12 3 2 5 2 3" xfId="46231" xr:uid="{00000000-0005-0000-0000-00008E150000}"/>
    <cellStyle name="Normal 12 3 2 5 2 4" xfId="30131" xr:uid="{00000000-0005-0000-0000-00008F150000}"/>
    <cellStyle name="Normal 12 3 2 5 2 5" xfId="20562" xr:uid="{00000000-0005-0000-0000-000090150000}"/>
    <cellStyle name="Normal 12 3 2 5 3" xfId="10993" xr:uid="{00000000-0005-0000-0000-000091150000}"/>
    <cellStyle name="Normal 12 3 2 5 3 2" xfId="49267" xr:uid="{00000000-0005-0000-0000-000092150000}"/>
    <cellStyle name="Normal 12 3 2 5 3 3" xfId="33167" xr:uid="{00000000-0005-0000-0000-000093150000}"/>
    <cellStyle name="Normal 12 3 2 5 3 4" xfId="23598" xr:uid="{00000000-0005-0000-0000-000094150000}"/>
    <cellStyle name="Normal 12 3 2 5 4" xfId="4921" xr:uid="{00000000-0005-0000-0000-000095150000}"/>
    <cellStyle name="Normal 12 3 2 5 4 2" xfId="52762" xr:uid="{00000000-0005-0000-0000-000096150000}"/>
    <cellStyle name="Normal 12 3 2 5 4 3" xfId="36662" xr:uid="{00000000-0005-0000-0000-000097150000}"/>
    <cellStyle name="Normal 12 3 2 5 4 4" xfId="17526" xr:uid="{00000000-0005-0000-0000-000098150000}"/>
    <cellStyle name="Normal 12 3 2 5 5" xfId="43195" xr:uid="{00000000-0005-0000-0000-000099150000}"/>
    <cellStyle name="Normal 12 3 2 5 6" xfId="27095" xr:uid="{00000000-0005-0000-0000-00009A150000}"/>
    <cellStyle name="Normal 12 3 2 5 7" xfId="14031" xr:uid="{00000000-0005-0000-0000-00009B150000}"/>
    <cellStyle name="Normal 12 3 2 6" xfId="3911" xr:uid="{00000000-0005-0000-0000-00009C150000}"/>
    <cellStyle name="Normal 12 3 2 6 2" xfId="35652" xr:uid="{00000000-0005-0000-0000-00009D150000}"/>
    <cellStyle name="Normal 12 3 2 6 2 2" xfId="51752" xr:uid="{00000000-0005-0000-0000-00009E150000}"/>
    <cellStyle name="Normal 12 3 2 6 3" xfId="42185" xr:uid="{00000000-0005-0000-0000-00009F150000}"/>
    <cellStyle name="Normal 12 3 2 6 4" xfId="26085" xr:uid="{00000000-0005-0000-0000-0000A0150000}"/>
    <cellStyle name="Normal 12 3 2 6 5" xfId="16516" xr:uid="{00000000-0005-0000-0000-0000A1150000}"/>
    <cellStyle name="Normal 12 3 2 7" xfId="6947" xr:uid="{00000000-0005-0000-0000-0000A2150000}"/>
    <cellStyle name="Normal 12 3 2 7 2" xfId="38688" xr:uid="{00000000-0005-0000-0000-0000A3150000}"/>
    <cellStyle name="Normal 12 3 2 7 2 2" xfId="54788" xr:uid="{00000000-0005-0000-0000-0000A4150000}"/>
    <cellStyle name="Normal 12 3 2 7 3" xfId="45221" xr:uid="{00000000-0005-0000-0000-0000A5150000}"/>
    <cellStyle name="Normal 12 3 2 7 4" xfId="29121" xr:uid="{00000000-0005-0000-0000-0000A6150000}"/>
    <cellStyle name="Normal 12 3 2 7 5" xfId="19552" xr:uid="{00000000-0005-0000-0000-0000A7150000}"/>
    <cellStyle name="Normal 12 3 2 8" xfId="9983" xr:uid="{00000000-0005-0000-0000-0000A8150000}"/>
    <cellStyle name="Normal 12 3 2 8 2" xfId="48257" xr:uid="{00000000-0005-0000-0000-0000A9150000}"/>
    <cellStyle name="Normal 12 3 2 8 3" xfId="32157" xr:uid="{00000000-0005-0000-0000-0000AA150000}"/>
    <cellStyle name="Normal 12 3 2 8 4" xfId="22588" xr:uid="{00000000-0005-0000-0000-0000AB150000}"/>
    <cellStyle name="Normal 12 3 2 9" xfId="3407" xr:uid="{00000000-0005-0000-0000-0000AC150000}"/>
    <cellStyle name="Normal 12 3 2 9 2" xfId="51248" xr:uid="{00000000-0005-0000-0000-0000AD150000}"/>
    <cellStyle name="Normal 12 3 2 9 3" xfId="35148" xr:uid="{00000000-0005-0000-0000-0000AE150000}"/>
    <cellStyle name="Normal 12 3 2 9 4" xfId="16012" xr:uid="{00000000-0005-0000-0000-0000AF150000}"/>
    <cellStyle name="Normal 12 3 3" xfId="298" xr:uid="{00000000-0005-0000-0000-0000B0150000}"/>
    <cellStyle name="Normal 12 3 3 2" xfId="2317" xr:uid="{00000000-0005-0000-0000-0000B1150000}"/>
    <cellStyle name="Normal 12 3 3 2 2" xfId="8851" xr:uid="{00000000-0005-0000-0000-0000B2150000}"/>
    <cellStyle name="Normal 12 3 3 2 2 2" xfId="40592" xr:uid="{00000000-0005-0000-0000-0000B3150000}"/>
    <cellStyle name="Normal 12 3 3 2 2 2 2" xfId="56692" xr:uid="{00000000-0005-0000-0000-0000B4150000}"/>
    <cellStyle name="Normal 12 3 3 2 2 3" xfId="47125" xr:uid="{00000000-0005-0000-0000-0000B5150000}"/>
    <cellStyle name="Normal 12 3 3 2 2 4" xfId="31025" xr:uid="{00000000-0005-0000-0000-0000B6150000}"/>
    <cellStyle name="Normal 12 3 3 2 2 5" xfId="21456" xr:uid="{00000000-0005-0000-0000-0000B7150000}"/>
    <cellStyle name="Normal 12 3 3 2 3" xfId="11887" xr:uid="{00000000-0005-0000-0000-0000B8150000}"/>
    <cellStyle name="Normal 12 3 3 2 3 2" xfId="50161" xr:uid="{00000000-0005-0000-0000-0000B9150000}"/>
    <cellStyle name="Normal 12 3 3 2 3 3" xfId="34061" xr:uid="{00000000-0005-0000-0000-0000BA150000}"/>
    <cellStyle name="Normal 12 3 3 2 3 4" xfId="24492" xr:uid="{00000000-0005-0000-0000-0000BB150000}"/>
    <cellStyle name="Normal 12 3 3 2 4" xfId="5815" xr:uid="{00000000-0005-0000-0000-0000BC150000}"/>
    <cellStyle name="Normal 12 3 3 2 4 2" xfId="53656" xr:uid="{00000000-0005-0000-0000-0000BD150000}"/>
    <cellStyle name="Normal 12 3 3 2 4 3" xfId="37556" xr:uid="{00000000-0005-0000-0000-0000BE150000}"/>
    <cellStyle name="Normal 12 3 3 2 4 4" xfId="18420" xr:uid="{00000000-0005-0000-0000-0000BF150000}"/>
    <cellStyle name="Normal 12 3 3 2 5" xfId="44089" xr:uid="{00000000-0005-0000-0000-0000C0150000}"/>
    <cellStyle name="Normal 12 3 3 2 6" xfId="27989" xr:uid="{00000000-0005-0000-0000-0000C1150000}"/>
    <cellStyle name="Normal 12 3 3 2 7" xfId="14925" xr:uid="{00000000-0005-0000-0000-0000C2150000}"/>
    <cellStyle name="Normal 12 3 3 3" xfId="1529" xr:uid="{00000000-0005-0000-0000-0000C3150000}"/>
    <cellStyle name="Normal 12 3 3 3 2" xfId="8063" xr:uid="{00000000-0005-0000-0000-0000C4150000}"/>
    <cellStyle name="Normal 12 3 3 3 2 2" xfId="39804" xr:uid="{00000000-0005-0000-0000-0000C5150000}"/>
    <cellStyle name="Normal 12 3 3 3 2 2 2" xfId="55904" xr:uid="{00000000-0005-0000-0000-0000C6150000}"/>
    <cellStyle name="Normal 12 3 3 3 2 3" xfId="46337" xr:uid="{00000000-0005-0000-0000-0000C7150000}"/>
    <cellStyle name="Normal 12 3 3 3 2 4" xfId="30237" xr:uid="{00000000-0005-0000-0000-0000C8150000}"/>
    <cellStyle name="Normal 12 3 3 3 2 5" xfId="20668" xr:uid="{00000000-0005-0000-0000-0000C9150000}"/>
    <cellStyle name="Normal 12 3 3 3 3" xfId="11099" xr:uid="{00000000-0005-0000-0000-0000CA150000}"/>
    <cellStyle name="Normal 12 3 3 3 3 2" xfId="49373" xr:uid="{00000000-0005-0000-0000-0000CB150000}"/>
    <cellStyle name="Normal 12 3 3 3 3 3" xfId="33273" xr:uid="{00000000-0005-0000-0000-0000CC150000}"/>
    <cellStyle name="Normal 12 3 3 3 3 4" xfId="23704" xr:uid="{00000000-0005-0000-0000-0000CD150000}"/>
    <cellStyle name="Normal 12 3 3 3 4" xfId="5027" xr:uid="{00000000-0005-0000-0000-0000CE150000}"/>
    <cellStyle name="Normal 12 3 3 3 4 2" xfId="52868" xr:uid="{00000000-0005-0000-0000-0000CF150000}"/>
    <cellStyle name="Normal 12 3 3 3 4 3" xfId="36768" xr:uid="{00000000-0005-0000-0000-0000D0150000}"/>
    <cellStyle name="Normal 12 3 3 3 4 4" xfId="17632" xr:uid="{00000000-0005-0000-0000-0000D1150000}"/>
    <cellStyle name="Normal 12 3 3 3 5" xfId="43301" xr:uid="{00000000-0005-0000-0000-0000D2150000}"/>
    <cellStyle name="Normal 12 3 3 3 6" xfId="27201" xr:uid="{00000000-0005-0000-0000-0000D3150000}"/>
    <cellStyle name="Normal 12 3 3 3 7" xfId="14137" xr:uid="{00000000-0005-0000-0000-0000D4150000}"/>
    <cellStyle name="Normal 12 3 3 4" xfId="7053" xr:uid="{00000000-0005-0000-0000-0000D5150000}"/>
    <cellStyle name="Normal 12 3 3 4 2" xfId="38794" xr:uid="{00000000-0005-0000-0000-0000D6150000}"/>
    <cellStyle name="Normal 12 3 3 4 2 2" xfId="54894" xr:uid="{00000000-0005-0000-0000-0000D7150000}"/>
    <cellStyle name="Normal 12 3 3 4 3" xfId="45327" xr:uid="{00000000-0005-0000-0000-0000D8150000}"/>
    <cellStyle name="Normal 12 3 3 4 4" xfId="29227" xr:uid="{00000000-0005-0000-0000-0000D9150000}"/>
    <cellStyle name="Normal 12 3 3 4 5" xfId="19658" xr:uid="{00000000-0005-0000-0000-0000DA150000}"/>
    <cellStyle name="Normal 12 3 3 5" xfId="10089" xr:uid="{00000000-0005-0000-0000-0000DB150000}"/>
    <cellStyle name="Normal 12 3 3 5 2" xfId="48363" xr:uid="{00000000-0005-0000-0000-0000DC150000}"/>
    <cellStyle name="Normal 12 3 3 5 3" xfId="32263" xr:uid="{00000000-0005-0000-0000-0000DD150000}"/>
    <cellStyle name="Normal 12 3 3 5 4" xfId="22694" xr:uid="{00000000-0005-0000-0000-0000DE150000}"/>
    <cellStyle name="Normal 12 3 3 6" xfId="4017" xr:uid="{00000000-0005-0000-0000-0000DF150000}"/>
    <cellStyle name="Normal 12 3 3 6 2" xfId="51858" xr:uid="{00000000-0005-0000-0000-0000E0150000}"/>
    <cellStyle name="Normal 12 3 3 6 3" xfId="35758" xr:uid="{00000000-0005-0000-0000-0000E1150000}"/>
    <cellStyle name="Normal 12 3 3 6 4" xfId="16622" xr:uid="{00000000-0005-0000-0000-0000E2150000}"/>
    <cellStyle name="Normal 12 3 3 7" xfId="42291" xr:uid="{00000000-0005-0000-0000-0000E3150000}"/>
    <cellStyle name="Normal 12 3 3 8" xfId="26191" xr:uid="{00000000-0005-0000-0000-0000E4150000}"/>
    <cellStyle name="Normal 12 3 3 9" xfId="13127" xr:uid="{00000000-0005-0000-0000-0000E5150000}"/>
    <cellStyle name="Normal 12 3 4" xfId="556" xr:uid="{00000000-0005-0000-0000-0000E6150000}"/>
    <cellStyle name="Normal 12 3 4 2" xfId="2585" xr:uid="{00000000-0005-0000-0000-0000E7150000}"/>
    <cellStyle name="Normal 12 3 4 2 2" xfId="9117" xr:uid="{00000000-0005-0000-0000-0000E8150000}"/>
    <cellStyle name="Normal 12 3 4 2 2 2" xfId="40858" xr:uid="{00000000-0005-0000-0000-0000E9150000}"/>
    <cellStyle name="Normal 12 3 4 2 2 2 2" xfId="56958" xr:uid="{00000000-0005-0000-0000-0000EA150000}"/>
    <cellStyle name="Normal 12 3 4 2 2 3" xfId="47391" xr:uid="{00000000-0005-0000-0000-0000EB150000}"/>
    <cellStyle name="Normal 12 3 4 2 2 4" xfId="31291" xr:uid="{00000000-0005-0000-0000-0000EC150000}"/>
    <cellStyle name="Normal 12 3 4 2 2 5" xfId="21722" xr:uid="{00000000-0005-0000-0000-0000ED150000}"/>
    <cellStyle name="Normal 12 3 4 2 3" xfId="12153" xr:uid="{00000000-0005-0000-0000-0000EE150000}"/>
    <cellStyle name="Normal 12 3 4 2 3 2" xfId="50427" xr:uid="{00000000-0005-0000-0000-0000EF150000}"/>
    <cellStyle name="Normal 12 3 4 2 3 3" xfId="34327" xr:uid="{00000000-0005-0000-0000-0000F0150000}"/>
    <cellStyle name="Normal 12 3 4 2 3 4" xfId="24758" xr:uid="{00000000-0005-0000-0000-0000F1150000}"/>
    <cellStyle name="Normal 12 3 4 2 4" xfId="6081" xr:uid="{00000000-0005-0000-0000-0000F2150000}"/>
    <cellStyle name="Normal 12 3 4 2 4 2" xfId="53922" xr:uid="{00000000-0005-0000-0000-0000F3150000}"/>
    <cellStyle name="Normal 12 3 4 2 4 3" xfId="37822" xr:uid="{00000000-0005-0000-0000-0000F4150000}"/>
    <cellStyle name="Normal 12 3 4 2 4 4" xfId="18686" xr:uid="{00000000-0005-0000-0000-0000F5150000}"/>
    <cellStyle name="Normal 12 3 4 2 5" xfId="44355" xr:uid="{00000000-0005-0000-0000-0000F6150000}"/>
    <cellStyle name="Normal 12 3 4 2 6" xfId="28255" xr:uid="{00000000-0005-0000-0000-0000F7150000}"/>
    <cellStyle name="Normal 12 3 4 2 7" xfId="15191" xr:uid="{00000000-0005-0000-0000-0000F8150000}"/>
    <cellStyle name="Normal 12 3 4 3" xfId="1352" xr:uid="{00000000-0005-0000-0000-0000F9150000}"/>
    <cellStyle name="Normal 12 3 4 3 2" xfId="7886" xr:uid="{00000000-0005-0000-0000-0000FA150000}"/>
    <cellStyle name="Normal 12 3 4 3 2 2" xfId="39627" xr:uid="{00000000-0005-0000-0000-0000FB150000}"/>
    <cellStyle name="Normal 12 3 4 3 2 2 2" xfId="55727" xr:uid="{00000000-0005-0000-0000-0000FC150000}"/>
    <cellStyle name="Normal 12 3 4 3 2 3" xfId="46160" xr:uid="{00000000-0005-0000-0000-0000FD150000}"/>
    <cellStyle name="Normal 12 3 4 3 2 4" xfId="30060" xr:uid="{00000000-0005-0000-0000-0000FE150000}"/>
    <cellStyle name="Normal 12 3 4 3 2 5" xfId="20491" xr:uid="{00000000-0005-0000-0000-0000FF150000}"/>
    <cellStyle name="Normal 12 3 4 3 3" xfId="10922" xr:uid="{00000000-0005-0000-0000-000000160000}"/>
    <cellStyle name="Normal 12 3 4 3 3 2" xfId="49196" xr:uid="{00000000-0005-0000-0000-000001160000}"/>
    <cellStyle name="Normal 12 3 4 3 3 3" xfId="33096" xr:uid="{00000000-0005-0000-0000-000002160000}"/>
    <cellStyle name="Normal 12 3 4 3 3 4" xfId="23527" xr:uid="{00000000-0005-0000-0000-000003160000}"/>
    <cellStyle name="Normal 12 3 4 3 4" xfId="4850" xr:uid="{00000000-0005-0000-0000-000004160000}"/>
    <cellStyle name="Normal 12 3 4 3 4 2" xfId="52691" xr:uid="{00000000-0005-0000-0000-000005160000}"/>
    <cellStyle name="Normal 12 3 4 3 4 3" xfId="36591" xr:uid="{00000000-0005-0000-0000-000006160000}"/>
    <cellStyle name="Normal 12 3 4 3 4 4" xfId="17455" xr:uid="{00000000-0005-0000-0000-000007160000}"/>
    <cellStyle name="Normal 12 3 4 3 5" xfId="43124" xr:uid="{00000000-0005-0000-0000-000008160000}"/>
    <cellStyle name="Normal 12 3 4 3 6" xfId="27024" xr:uid="{00000000-0005-0000-0000-000009160000}"/>
    <cellStyle name="Normal 12 3 4 3 7" xfId="13960" xr:uid="{00000000-0005-0000-0000-00000A160000}"/>
    <cellStyle name="Normal 12 3 4 4" xfId="6876" xr:uid="{00000000-0005-0000-0000-00000B160000}"/>
    <cellStyle name="Normal 12 3 4 4 2" xfId="38617" xr:uid="{00000000-0005-0000-0000-00000C160000}"/>
    <cellStyle name="Normal 12 3 4 4 2 2" xfId="54717" xr:uid="{00000000-0005-0000-0000-00000D160000}"/>
    <cellStyle name="Normal 12 3 4 4 3" xfId="45150" xr:uid="{00000000-0005-0000-0000-00000E160000}"/>
    <cellStyle name="Normal 12 3 4 4 4" xfId="29050" xr:uid="{00000000-0005-0000-0000-00000F160000}"/>
    <cellStyle name="Normal 12 3 4 4 5" xfId="19481" xr:uid="{00000000-0005-0000-0000-000010160000}"/>
    <cellStyle name="Normal 12 3 4 5" xfId="9912" xr:uid="{00000000-0005-0000-0000-000011160000}"/>
    <cellStyle name="Normal 12 3 4 5 2" xfId="48186" xr:uid="{00000000-0005-0000-0000-000012160000}"/>
    <cellStyle name="Normal 12 3 4 5 3" xfId="32086" xr:uid="{00000000-0005-0000-0000-000013160000}"/>
    <cellStyle name="Normal 12 3 4 5 4" xfId="22517" xr:uid="{00000000-0005-0000-0000-000014160000}"/>
    <cellStyle name="Normal 12 3 4 6" xfId="3840" xr:uid="{00000000-0005-0000-0000-000015160000}"/>
    <cellStyle name="Normal 12 3 4 6 2" xfId="51681" xr:uid="{00000000-0005-0000-0000-000016160000}"/>
    <cellStyle name="Normal 12 3 4 6 3" xfId="35581" xr:uid="{00000000-0005-0000-0000-000017160000}"/>
    <cellStyle name="Normal 12 3 4 6 4" xfId="16445" xr:uid="{00000000-0005-0000-0000-000018160000}"/>
    <cellStyle name="Normal 12 3 4 7" xfId="42114" xr:uid="{00000000-0005-0000-0000-000019160000}"/>
    <cellStyle name="Normal 12 3 4 8" xfId="26014" xr:uid="{00000000-0005-0000-0000-00001A160000}"/>
    <cellStyle name="Normal 12 3 4 9" xfId="12950" xr:uid="{00000000-0005-0000-0000-00001B160000}"/>
    <cellStyle name="Normal 12 3 5" xfId="814" xr:uid="{00000000-0005-0000-0000-00001C160000}"/>
    <cellStyle name="Normal 12 3 5 2" xfId="2842" xr:uid="{00000000-0005-0000-0000-00001D160000}"/>
    <cellStyle name="Normal 12 3 5 2 2" xfId="9374" xr:uid="{00000000-0005-0000-0000-00001E160000}"/>
    <cellStyle name="Normal 12 3 5 2 2 2" xfId="41115" xr:uid="{00000000-0005-0000-0000-00001F160000}"/>
    <cellStyle name="Normal 12 3 5 2 2 2 2" xfId="57215" xr:uid="{00000000-0005-0000-0000-000020160000}"/>
    <cellStyle name="Normal 12 3 5 2 2 3" xfId="47648" xr:uid="{00000000-0005-0000-0000-000021160000}"/>
    <cellStyle name="Normal 12 3 5 2 2 4" xfId="31548" xr:uid="{00000000-0005-0000-0000-000022160000}"/>
    <cellStyle name="Normal 12 3 5 2 2 5" xfId="21979" xr:uid="{00000000-0005-0000-0000-000023160000}"/>
    <cellStyle name="Normal 12 3 5 2 3" xfId="12410" xr:uid="{00000000-0005-0000-0000-000024160000}"/>
    <cellStyle name="Normal 12 3 5 2 3 2" xfId="50684" xr:uid="{00000000-0005-0000-0000-000025160000}"/>
    <cellStyle name="Normal 12 3 5 2 3 3" xfId="34584" xr:uid="{00000000-0005-0000-0000-000026160000}"/>
    <cellStyle name="Normal 12 3 5 2 3 4" xfId="25015" xr:uid="{00000000-0005-0000-0000-000027160000}"/>
    <cellStyle name="Normal 12 3 5 2 4" xfId="6338" xr:uid="{00000000-0005-0000-0000-000028160000}"/>
    <cellStyle name="Normal 12 3 5 2 4 2" xfId="54179" xr:uid="{00000000-0005-0000-0000-000029160000}"/>
    <cellStyle name="Normal 12 3 5 2 4 3" xfId="38079" xr:uid="{00000000-0005-0000-0000-00002A160000}"/>
    <cellStyle name="Normal 12 3 5 2 4 4" xfId="18943" xr:uid="{00000000-0005-0000-0000-00002B160000}"/>
    <cellStyle name="Normal 12 3 5 2 5" xfId="44612" xr:uid="{00000000-0005-0000-0000-00002C160000}"/>
    <cellStyle name="Normal 12 3 5 2 6" xfId="28512" xr:uid="{00000000-0005-0000-0000-00002D160000}"/>
    <cellStyle name="Normal 12 3 5 2 7" xfId="15448" xr:uid="{00000000-0005-0000-0000-00002E160000}"/>
    <cellStyle name="Normal 12 3 5 3" xfId="1824" xr:uid="{00000000-0005-0000-0000-00002F160000}"/>
    <cellStyle name="Normal 12 3 5 3 2" xfId="8358" xr:uid="{00000000-0005-0000-0000-000030160000}"/>
    <cellStyle name="Normal 12 3 5 3 2 2" xfId="40099" xr:uid="{00000000-0005-0000-0000-000031160000}"/>
    <cellStyle name="Normal 12 3 5 3 2 2 2" xfId="56199" xr:uid="{00000000-0005-0000-0000-000032160000}"/>
    <cellStyle name="Normal 12 3 5 3 2 3" xfId="46632" xr:uid="{00000000-0005-0000-0000-000033160000}"/>
    <cellStyle name="Normal 12 3 5 3 2 4" xfId="30532" xr:uid="{00000000-0005-0000-0000-000034160000}"/>
    <cellStyle name="Normal 12 3 5 3 2 5" xfId="20963" xr:uid="{00000000-0005-0000-0000-000035160000}"/>
    <cellStyle name="Normal 12 3 5 3 3" xfId="11394" xr:uid="{00000000-0005-0000-0000-000036160000}"/>
    <cellStyle name="Normal 12 3 5 3 3 2" xfId="49668" xr:uid="{00000000-0005-0000-0000-000037160000}"/>
    <cellStyle name="Normal 12 3 5 3 3 3" xfId="33568" xr:uid="{00000000-0005-0000-0000-000038160000}"/>
    <cellStyle name="Normal 12 3 5 3 3 4" xfId="23999" xr:uid="{00000000-0005-0000-0000-000039160000}"/>
    <cellStyle name="Normal 12 3 5 3 4" xfId="5322" xr:uid="{00000000-0005-0000-0000-00003A160000}"/>
    <cellStyle name="Normal 12 3 5 3 4 2" xfId="53163" xr:uid="{00000000-0005-0000-0000-00003B160000}"/>
    <cellStyle name="Normal 12 3 5 3 4 3" xfId="37063" xr:uid="{00000000-0005-0000-0000-00003C160000}"/>
    <cellStyle name="Normal 12 3 5 3 4 4" xfId="17927" xr:uid="{00000000-0005-0000-0000-00003D160000}"/>
    <cellStyle name="Normal 12 3 5 3 5" xfId="43596" xr:uid="{00000000-0005-0000-0000-00003E160000}"/>
    <cellStyle name="Normal 12 3 5 3 6" xfId="27496" xr:uid="{00000000-0005-0000-0000-00003F160000}"/>
    <cellStyle name="Normal 12 3 5 3 7" xfId="14432" xr:uid="{00000000-0005-0000-0000-000040160000}"/>
    <cellStyle name="Normal 12 3 5 4" xfId="7348" xr:uid="{00000000-0005-0000-0000-000041160000}"/>
    <cellStyle name="Normal 12 3 5 4 2" xfId="39089" xr:uid="{00000000-0005-0000-0000-000042160000}"/>
    <cellStyle name="Normal 12 3 5 4 2 2" xfId="55189" xr:uid="{00000000-0005-0000-0000-000043160000}"/>
    <cellStyle name="Normal 12 3 5 4 3" xfId="45622" xr:uid="{00000000-0005-0000-0000-000044160000}"/>
    <cellStyle name="Normal 12 3 5 4 4" xfId="29522" xr:uid="{00000000-0005-0000-0000-000045160000}"/>
    <cellStyle name="Normal 12 3 5 4 5" xfId="19953" xr:uid="{00000000-0005-0000-0000-000046160000}"/>
    <cellStyle name="Normal 12 3 5 5" xfId="10384" xr:uid="{00000000-0005-0000-0000-000047160000}"/>
    <cellStyle name="Normal 12 3 5 5 2" xfId="48658" xr:uid="{00000000-0005-0000-0000-000048160000}"/>
    <cellStyle name="Normal 12 3 5 5 3" xfId="32558" xr:uid="{00000000-0005-0000-0000-000049160000}"/>
    <cellStyle name="Normal 12 3 5 5 4" xfId="22989" xr:uid="{00000000-0005-0000-0000-00004A160000}"/>
    <cellStyle name="Normal 12 3 5 6" xfId="4312" xr:uid="{00000000-0005-0000-0000-00004B160000}"/>
    <cellStyle name="Normal 12 3 5 6 2" xfId="52153" xr:uid="{00000000-0005-0000-0000-00004C160000}"/>
    <cellStyle name="Normal 12 3 5 6 3" xfId="36053" xr:uid="{00000000-0005-0000-0000-00004D160000}"/>
    <cellStyle name="Normal 12 3 5 6 4" xfId="16917" xr:uid="{00000000-0005-0000-0000-00004E160000}"/>
    <cellStyle name="Normal 12 3 5 7" xfId="42586" xr:uid="{00000000-0005-0000-0000-00004F160000}"/>
    <cellStyle name="Normal 12 3 5 8" xfId="26486" xr:uid="{00000000-0005-0000-0000-000050160000}"/>
    <cellStyle name="Normal 12 3 5 9" xfId="13422" xr:uid="{00000000-0005-0000-0000-000051160000}"/>
    <cellStyle name="Normal 12 3 6" xfId="2140" xr:uid="{00000000-0005-0000-0000-000052160000}"/>
    <cellStyle name="Normal 12 3 6 2" xfId="8674" xr:uid="{00000000-0005-0000-0000-000053160000}"/>
    <cellStyle name="Normal 12 3 6 2 2" xfId="40415" xr:uid="{00000000-0005-0000-0000-000054160000}"/>
    <cellStyle name="Normal 12 3 6 2 2 2" xfId="56515" xr:uid="{00000000-0005-0000-0000-000055160000}"/>
    <cellStyle name="Normal 12 3 6 2 3" xfId="46948" xr:uid="{00000000-0005-0000-0000-000056160000}"/>
    <cellStyle name="Normal 12 3 6 2 4" xfId="30848" xr:uid="{00000000-0005-0000-0000-000057160000}"/>
    <cellStyle name="Normal 12 3 6 2 5" xfId="21279" xr:uid="{00000000-0005-0000-0000-000058160000}"/>
    <cellStyle name="Normal 12 3 6 3" xfId="11710" xr:uid="{00000000-0005-0000-0000-000059160000}"/>
    <cellStyle name="Normal 12 3 6 3 2" xfId="49984" xr:uid="{00000000-0005-0000-0000-00005A160000}"/>
    <cellStyle name="Normal 12 3 6 3 3" xfId="33884" xr:uid="{00000000-0005-0000-0000-00005B160000}"/>
    <cellStyle name="Normal 12 3 6 3 4" xfId="24315" xr:uid="{00000000-0005-0000-0000-00005C160000}"/>
    <cellStyle name="Normal 12 3 6 4" xfId="5638" xr:uid="{00000000-0005-0000-0000-00005D160000}"/>
    <cellStyle name="Normal 12 3 6 4 2" xfId="53479" xr:uid="{00000000-0005-0000-0000-00005E160000}"/>
    <cellStyle name="Normal 12 3 6 4 3" xfId="37379" xr:uid="{00000000-0005-0000-0000-00005F160000}"/>
    <cellStyle name="Normal 12 3 6 4 4" xfId="18243" xr:uid="{00000000-0005-0000-0000-000060160000}"/>
    <cellStyle name="Normal 12 3 6 5" xfId="43912" xr:uid="{00000000-0005-0000-0000-000061160000}"/>
    <cellStyle name="Normal 12 3 6 6" xfId="27812" xr:uid="{00000000-0005-0000-0000-000062160000}"/>
    <cellStyle name="Normal 12 3 6 7" xfId="14748" xr:uid="{00000000-0005-0000-0000-000063160000}"/>
    <cellStyle name="Normal 12 3 7" xfId="1141" xr:uid="{00000000-0005-0000-0000-000064160000}"/>
    <cellStyle name="Normal 12 3 7 2" xfId="7675" xr:uid="{00000000-0005-0000-0000-000065160000}"/>
    <cellStyle name="Normal 12 3 7 2 2" xfId="39416" xr:uid="{00000000-0005-0000-0000-000066160000}"/>
    <cellStyle name="Normal 12 3 7 2 2 2" xfId="55516" xr:uid="{00000000-0005-0000-0000-000067160000}"/>
    <cellStyle name="Normal 12 3 7 2 3" xfId="45949" xr:uid="{00000000-0005-0000-0000-000068160000}"/>
    <cellStyle name="Normal 12 3 7 2 4" xfId="29849" xr:uid="{00000000-0005-0000-0000-000069160000}"/>
    <cellStyle name="Normal 12 3 7 2 5" xfId="20280" xr:uid="{00000000-0005-0000-0000-00006A160000}"/>
    <cellStyle name="Normal 12 3 7 3" xfId="10711" xr:uid="{00000000-0005-0000-0000-00006B160000}"/>
    <cellStyle name="Normal 12 3 7 3 2" xfId="48985" xr:uid="{00000000-0005-0000-0000-00006C160000}"/>
    <cellStyle name="Normal 12 3 7 3 3" xfId="32885" xr:uid="{00000000-0005-0000-0000-00006D160000}"/>
    <cellStyle name="Normal 12 3 7 3 4" xfId="23316" xr:uid="{00000000-0005-0000-0000-00006E160000}"/>
    <cellStyle name="Normal 12 3 7 4" xfId="4639" xr:uid="{00000000-0005-0000-0000-00006F160000}"/>
    <cellStyle name="Normal 12 3 7 4 2" xfId="52480" xr:uid="{00000000-0005-0000-0000-000070160000}"/>
    <cellStyle name="Normal 12 3 7 4 3" xfId="36380" xr:uid="{00000000-0005-0000-0000-000071160000}"/>
    <cellStyle name="Normal 12 3 7 4 4" xfId="17244" xr:uid="{00000000-0005-0000-0000-000072160000}"/>
    <cellStyle name="Normal 12 3 7 5" xfId="42913" xr:uid="{00000000-0005-0000-0000-000073160000}"/>
    <cellStyle name="Normal 12 3 7 6" xfId="26813" xr:uid="{00000000-0005-0000-0000-000074160000}"/>
    <cellStyle name="Normal 12 3 7 7" xfId="13749" xr:uid="{00000000-0005-0000-0000-000075160000}"/>
    <cellStyle name="Normal 12 3 8" xfId="3629" xr:uid="{00000000-0005-0000-0000-000076160000}"/>
    <cellStyle name="Normal 12 3 8 2" xfId="35370" xr:uid="{00000000-0005-0000-0000-000077160000}"/>
    <cellStyle name="Normal 12 3 8 2 2" xfId="51470" xr:uid="{00000000-0005-0000-0000-000078160000}"/>
    <cellStyle name="Normal 12 3 8 3" xfId="41903" xr:uid="{00000000-0005-0000-0000-000079160000}"/>
    <cellStyle name="Normal 12 3 8 4" xfId="25803" xr:uid="{00000000-0005-0000-0000-00007A160000}"/>
    <cellStyle name="Normal 12 3 8 5" xfId="16234" xr:uid="{00000000-0005-0000-0000-00007B160000}"/>
    <cellStyle name="Normal 12 3 9" xfId="6665" xr:uid="{00000000-0005-0000-0000-00007C160000}"/>
    <cellStyle name="Normal 12 3 9 2" xfId="38406" xr:uid="{00000000-0005-0000-0000-00007D160000}"/>
    <cellStyle name="Normal 12 3 9 2 2" xfId="54506" xr:uid="{00000000-0005-0000-0000-00007E160000}"/>
    <cellStyle name="Normal 12 3 9 3" xfId="44939" xr:uid="{00000000-0005-0000-0000-00007F160000}"/>
    <cellStyle name="Normal 12 3 9 4" xfId="28839" xr:uid="{00000000-0005-0000-0000-000080160000}"/>
    <cellStyle name="Normal 12 3 9 5" xfId="19270" xr:uid="{00000000-0005-0000-0000-000081160000}"/>
    <cellStyle name="Normal 12 4" xfId="81" xr:uid="{00000000-0005-0000-0000-000082160000}"/>
    <cellStyle name="Normal 12 4 10" xfId="3186" xr:uid="{00000000-0005-0000-0000-000083160000}"/>
    <cellStyle name="Normal 12 4 10 2" xfId="51028" xr:uid="{00000000-0005-0000-0000-000084160000}"/>
    <cellStyle name="Normal 12 4 10 3" xfId="34928" xr:uid="{00000000-0005-0000-0000-000085160000}"/>
    <cellStyle name="Normal 12 4 10 4" xfId="15792" xr:uid="{00000000-0005-0000-0000-000086160000}"/>
    <cellStyle name="Normal 12 4 11" xfId="41461" xr:uid="{00000000-0005-0000-0000-000087160000}"/>
    <cellStyle name="Normal 12 4 12" xfId="25361" xr:uid="{00000000-0005-0000-0000-000088160000}"/>
    <cellStyle name="Normal 12 4 13" xfId="12756" xr:uid="{00000000-0005-0000-0000-000089160000}"/>
    <cellStyle name="Normal 12 4 2" xfId="262" xr:uid="{00000000-0005-0000-0000-00008A160000}"/>
    <cellStyle name="Normal 12 4 2 10" xfId="25598" xr:uid="{00000000-0005-0000-0000-00008B160000}"/>
    <cellStyle name="Normal 12 4 2 11" xfId="13091" xr:uid="{00000000-0005-0000-0000-00008C160000}"/>
    <cellStyle name="Normal 12 4 2 2" xfId="1042" xr:uid="{00000000-0005-0000-0000-00008D160000}"/>
    <cellStyle name="Normal 12 4 2 2 2" xfId="3070" xr:uid="{00000000-0005-0000-0000-00008E160000}"/>
    <cellStyle name="Normal 12 4 2 2 2 2" xfId="9602" xr:uid="{00000000-0005-0000-0000-00008F160000}"/>
    <cellStyle name="Normal 12 4 2 2 2 2 2" xfId="41343" xr:uid="{00000000-0005-0000-0000-000090160000}"/>
    <cellStyle name="Normal 12 4 2 2 2 2 2 2" xfId="57443" xr:uid="{00000000-0005-0000-0000-000091160000}"/>
    <cellStyle name="Normal 12 4 2 2 2 2 3" xfId="47876" xr:uid="{00000000-0005-0000-0000-000092160000}"/>
    <cellStyle name="Normal 12 4 2 2 2 2 4" xfId="31776" xr:uid="{00000000-0005-0000-0000-000093160000}"/>
    <cellStyle name="Normal 12 4 2 2 2 2 5" xfId="22207" xr:uid="{00000000-0005-0000-0000-000094160000}"/>
    <cellStyle name="Normal 12 4 2 2 2 3" xfId="12638" xr:uid="{00000000-0005-0000-0000-000095160000}"/>
    <cellStyle name="Normal 12 4 2 2 2 3 2" xfId="50912" xr:uid="{00000000-0005-0000-0000-000096160000}"/>
    <cellStyle name="Normal 12 4 2 2 2 3 3" xfId="34812" xr:uid="{00000000-0005-0000-0000-000097160000}"/>
    <cellStyle name="Normal 12 4 2 2 2 3 4" xfId="25243" xr:uid="{00000000-0005-0000-0000-000098160000}"/>
    <cellStyle name="Normal 12 4 2 2 2 4" xfId="6566" xr:uid="{00000000-0005-0000-0000-000099160000}"/>
    <cellStyle name="Normal 12 4 2 2 2 4 2" xfId="54407" xr:uid="{00000000-0005-0000-0000-00009A160000}"/>
    <cellStyle name="Normal 12 4 2 2 2 4 3" xfId="38307" xr:uid="{00000000-0005-0000-0000-00009B160000}"/>
    <cellStyle name="Normal 12 4 2 2 2 4 4" xfId="19171" xr:uid="{00000000-0005-0000-0000-00009C160000}"/>
    <cellStyle name="Normal 12 4 2 2 2 5" xfId="44840" xr:uid="{00000000-0005-0000-0000-00009D160000}"/>
    <cellStyle name="Normal 12 4 2 2 2 6" xfId="28740" xr:uid="{00000000-0005-0000-0000-00009E160000}"/>
    <cellStyle name="Normal 12 4 2 2 2 7" xfId="15676" xr:uid="{00000000-0005-0000-0000-00009F160000}"/>
    <cellStyle name="Normal 12 4 2 2 3" xfId="2052" xr:uid="{00000000-0005-0000-0000-0000A0160000}"/>
    <cellStyle name="Normal 12 4 2 2 3 2" xfId="8586" xr:uid="{00000000-0005-0000-0000-0000A1160000}"/>
    <cellStyle name="Normal 12 4 2 2 3 2 2" xfId="40327" xr:uid="{00000000-0005-0000-0000-0000A2160000}"/>
    <cellStyle name="Normal 12 4 2 2 3 2 2 2" xfId="56427" xr:uid="{00000000-0005-0000-0000-0000A3160000}"/>
    <cellStyle name="Normal 12 4 2 2 3 2 3" xfId="46860" xr:uid="{00000000-0005-0000-0000-0000A4160000}"/>
    <cellStyle name="Normal 12 4 2 2 3 2 4" xfId="30760" xr:uid="{00000000-0005-0000-0000-0000A5160000}"/>
    <cellStyle name="Normal 12 4 2 2 3 2 5" xfId="21191" xr:uid="{00000000-0005-0000-0000-0000A6160000}"/>
    <cellStyle name="Normal 12 4 2 2 3 3" xfId="11622" xr:uid="{00000000-0005-0000-0000-0000A7160000}"/>
    <cellStyle name="Normal 12 4 2 2 3 3 2" xfId="49896" xr:uid="{00000000-0005-0000-0000-0000A8160000}"/>
    <cellStyle name="Normal 12 4 2 2 3 3 3" xfId="33796" xr:uid="{00000000-0005-0000-0000-0000A9160000}"/>
    <cellStyle name="Normal 12 4 2 2 3 3 4" xfId="24227" xr:uid="{00000000-0005-0000-0000-0000AA160000}"/>
    <cellStyle name="Normal 12 4 2 2 3 4" xfId="5550" xr:uid="{00000000-0005-0000-0000-0000AB160000}"/>
    <cellStyle name="Normal 12 4 2 2 3 4 2" xfId="53391" xr:uid="{00000000-0005-0000-0000-0000AC160000}"/>
    <cellStyle name="Normal 12 4 2 2 3 4 3" xfId="37291" xr:uid="{00000000-0005-0000-0000-0000AD160000}"/>
    <cellStyle name="Normal 12 4 2 2 3 4 4" xfId="18155" xr:uid="{00000000-0005-0000-0000-0000AE160000}"/>
    <cellStyle name="Normal 12 4 2 2 3 5" xfId="43824" xr:uid="{00000000-0005-0000-0000-0000AF160000}"/>
    <cellStyle name="Normal 12 4 2 2 3 6" xfId="27724" xr:uid="{00000000-0005-0000-0000-0000B0160000}"/>
    <cellStyle name="Normal 12 4 2 2 3 7" xfId="14660" xr:uid="{00000000-0005-0000-0000-0000B1160000}"/>
    <cellStyle name="Normal 12 4 2 2 4" xfId="7576" xr:uid="{00000000-0005-0000-0000-0000B2160000}"/>
    <cellStyle name="Normal 12 4 2 2 4 2" xfId="39317" xr:uid="{00000000-0005-0000-0000-0000B3160000}"/>
    <cellStyle name="Normal 12 4 2 2 4 2 2" xfId="55417" xr:uid="{00000000-0005-0000-0000-0000B4160000}"/>
    <cellStyle name="Normal 12 4 2 2 4 3" xfId="45850" xr:uid="{00000000-0005-0000-0000-0000B5160000}"/>
    <cellStyle name="Normal 12 4 2 2 4 4" xfId="29750" xr:uid="{00000000-0005-0000-0000-0000B6160000}"/>
    <cellStyle name="Normal 12 4 2 2 4 5" xfId="20181" xr:uid="{00000000-0005-0000-0000-0000B7160000}"/>
    <cellStyle name="Normal 12 4 2 2 5" xfId="10612" xr:uid="{00000000-0005-0000-0000-0000B8160000}"/>
    <cellStyle name="Normal 12 4 2 2 5 2" xfId="48886" xr:uid="{00000000-0005-0000-0000-0000B9160000}"/>
    <cellStyle name="Normal 12 4 2 2 5 3" xfId="32786" xr:uid="{00000000-0005-0000-0000-0000BA160000}"/>
    <cellStyle name="Normal 12 4 2 2 5 4" xfId="23217" xr:uid="{00000000-0005-0000-0000-0000BB160000}"/>
    <cellStyle name="Normal 12 4 2 2 6" xfId="4540" xr:uid="{00000000-0005-0000-0000-0000BC160000}"/>
    <cellStyle name="Normal 12 4 2 2 6 2" xfId="52381" xr:uid="{00000000-0005-0000-0000-0000BD160000}"/>
    <cellStyle name="Normal 12 4 2 2 6 3" xfId="36281" xr:uid="{00000000-0005-0000-0000-0000BE160000}"/>
    <cellStyle name="Normal 12 4 2 2 6 4" xfId="17145" xr:uid="{00000000-0005-0000-0000-0000BF160000}"/>
    <cellStyle name="Normal 12 4 2 2 7" xfId="42814" xr:uid="{00000000-0005-0000-0000-0000C0160000}"/>
    <cellStyle name="Normal 12 4 2 2 8" xfId="26714" xr:uid="{00000000-0005-0000-0000-0000C1160000}"/>
    <cellStyle name="Normal 12 4 2 2 9" xfId="13650" xr:uid="{00000000-0005-0000-0000-0000C2160000}"/>
    <cellStyle name="Normal 12 4 2 3" xfId="2281" xr:uid="{00000000-0005-0000-0000-0000C3160000}"/>
    <cellStyle name="Normal 12 4 2 3 2" xfId="8815" xr:uid="{00000000-0005-0000-0000-0000C4160000}"/>
    <cellStyle name="Normal 12 4 2 3 2 2" xfId="40556" xr:uid="{00000000-0005-0000-0000-0000C5160000}"/>
    <cellStyle name="Normal 12 4 2 3 2 2 2" xfId="56656" xr:uid="{00000000-0005-0000-0000-0000C6160000}"/>
    <cellStyle name="Normal 12 4 2 3 2 3" xfId="47089" xr:uid="{00000000-0005-0000-0000-0000C7160000}"/>
    <cellStyle name="Normal 12 4 2 3 2 4" xfId="30989" xr:uid="{00000000-0005-0000-0000-0000C8160000}"/>
    <cellStyle name="Normal 12 4 2 3 2 5" xfId="21420" xr:uid="{00000000-0005-0000-0000-0000C9160000}"/>
    <cellStyle name="Normal 12 4 2 3 3" xfId="11851" xr:uid="{00000000-0005-0000-0000-0000CA160000}"/>
    <cellStyle name="Normal 12 4 2 3 3 2" xfId="50125" xr:uid="{00000000-0005-0000-0000-0000CB160000}"/>
    <cellStyle name="Normal 12 4 2 3 3 3" xfId="34025" xr:uid="{00000000-0005-0000-0000-0000CC160000}"/>
    <cellStyle name="Normal 12 4 2 3 3 4" xfId="24456" xr:uid="{00000000-0005-0000-0000-0000CD160000}"/>
    <cellStyle name="Normal 12 4 2 3 4" xfId="5779" xr:uid="{00000000-0005-0000-0000-0000CE160000}"/>
    <cellStyle name="Normal 12 4 2 3 4 2" xfId="53620" xr:uid="{00000000-0005-0000-0000-0000CF160000}"/>
    <cellStyle name="Normal 12 4 2 3 4 3" xfId="37520" xr:uid="{00000000-0005-0000-0000-0000D0160000}"/>
    <cellStyle name="Normal 12 4 2 3 4 4" xfId="18384" xr:uid="{00000000-0005-0000-0000-0000D1160000}"/>
    <cellStyle name="Normal 12 4 2 3 5" xfId="44053" xr:uid="{00000000-0005-0000-0000-0000D2160000}"/>
    <cellStyle name="Normal 12 4 2 3 6" xfId="27953" xr:uid="{00000000-0005-0000-0000-0000D3160000}"/>
    <cellStyle name="Normal 12 4 2 3 7" xfId="14889" xr:uid="{00000000-0005-0000-0000-0000D4160000}"/>
    <cellStyle name="Normal 12 4 2 4" xfId="1493" xr:uid="{00000000-0005-0000-0000-0000D5160000}"/>
    <cellStyle name="Normal 12 4 2 4 2" xfId="8027" xr:uid="{00000000-0005-0000-0000-0000D6160000}"/>
    <cellStyle name="Normal 12 4 2 4 2 2" xfId="39768" xr:uid="{00000000-0005-0000-0000-0000D7160000}"/>
    <cellStyle name="Normal 12 4 2 4 2 2 2" xfId="55868" xr:uid="{00000000-0005-0000-0000-0000D8160000}"/>
    <cellStyle name="Normal 12 4 2 4 2 3" xfId="46301" xr:uid="{00000000-0005-0000-0000-0000D9160000}"/>
    <cellStyle name="Normal 12 4 2 4 2 4" xfId="30201" xr:uid="{00000000-0005-0000-0000-0000DA160000}"/>
    <cellStyle name="Normal 12 4 2 4 2 5" xfId="20632" xr:uid="{00000000-0005-0000-0000-0000DB160000}"/>
    <cellStyle name="Normal 12 4 2 4 3" xfId="11063" xr:uid="{00000000-0005-0000-0000-0000DC160000}"/>
    <cellStyle name="Normal 12 4 2 4 3 2" xfId="49337" xr:uid="{00000000-0005-0000-0000-0000DD160000}"/>
    <cellStyle name="Normal 12 4 2 4 3 3" xfId="33237" xr:uid="{00000000-0005-0000-0000-0000DE160000}"/>
    <cellStyle name="Normal 12 4 2 4 3 4" xfId="23668" xr:uid="{00000000-0005-0000-0000-0000DF160000}"/>
    <cellStyle name="Normal 12 4 2 4 4" xfId="4991" xr:uid="{00000000-0005-0000-0000-0000E0160000}"/>
    <cellStyle name="Normal 12 4 2 4 4 2" xfId="52832" xr:uid="{00000000-0005-0000-0000-0000E1160000}"/>
    <cellStyle name="Normal 12 4 2 4 4 3" xfId="36732" xr:uid="{00000000-0005-0000-0000-0000E2160000}"/>
    <cellStyle name="Normal 12 4 2 4 4 4" xfId="17596" xr:uid="{00000000-0005-0000-0000-0000E3160000}"/>
    <cellStyle name="Normal 12 4 2 4 5" xfId="43265" xr:uid="{00000000-0005-0000-0000-0000E4160000}"/>
    <cellStyle name="Normal 12 4 2 4 6" xfId="27165" xr:uid="{00000000-0005-0000-0000-0000E5160000}"/>
    <cellStyle name="Normal 12 4 2 4 7" xfId="14101" xr:uid="{00000000-0005-0000-0000-0000E6160000}"/>
    <cellStyle name="Normal 12 4 2 5" xfId="3981" xr:uid="{00000000-0005-0000-0000-0000E7160000}"/>
    <cellStyle name="Normal 12 4 2 5 2" xfId="35722" xr:uid="{00000000-0005-0000-0000-0000E8160000}"/>
    <cellStyle name="Normal 12 4 2 5 2 2" xfId="51822" xr:uid="{00000000-0005-0000-0000-0000E9160000}"/>
    <cellStyle name="Normal 12 4 2 5 3" xfId="42255" xr:uid="{00000000-0005-0000-0000-0000EA160000}"/>
    <cellStyle name="Normal 12 4 2 5 4" xfId="26155" xr:uid="{00000000-0005-0000-0000-0000EB160000}"/>
    <cellStyle name="Normal 12 4 2 5 5" xfId="16586" xr:uid="{00000000-0005-0000-0000-0000EC160000}"/>
    <cellStyle name="Normal 12 4 2 6" xfId="7017" xr:uid="{00000000-0005-0000-0000-0000ED160000}"/>
    <cellStyle name="Normal 12 4 2 6 2" xfId="38758" xr:uid="{00000000-0005-0000-0000-0000EE160000}"/>
    <cellStyle name="Normal 12 4 2 6 2 2" xfId="54858" xr:uid="{00000000-0005-0000-0000-0000EF160000}"/>
    <cellStyle name="Normal 12 4 2 6 3" xfId="45291" xr:uid="{00000000-0005-0000-0000-0000F0160000}"/>
    <cellStyle name="Normal 12 4 2 6 4" xfId="29191" xr:uid="{00000000-0005-0000-0000-0000F1160000}"/>
    <cellStyle name="Normal 12 4 2 6 5" xfId="19622" xr:uid="{00000000-0005-0000-0000-0000F2160000}"/>
    <cellStyle name="Normal 12 4 2 7" xfId="10053" xr:uid="{00000000-0005-0000-0000-0000F3160000}"/>
    <cellStyle name="Normal 12 4 2 7 2" xfId="48327" xr:uid="{00000000-0005-0000-0000-0000F4160000}"/>
    <cellStyle name="Normal 12 4 2 7 3" xfId="32227" xr:uid="{00000000-0005-0000-0000-0000F5160000}"/>
    <cellStyle name="Normal 12 4 2 7 4" xfId="22658" xr:uid="{00000000-0005-0000-0000-0000F6160000}"/>
    <cellStyle name="Normal 12 4 2 8" xfId="3424" xr:uid="{00000000-0005-0000-0000-0000F7160000}"/>
    <cellStyle name="Normal 12 4 2 8 2" xfId="51265" xr:uid="{00000000-0005-0000-0000-0000F8160000}"/>
    <cellStyle name="Normal 12 4 2 8 3" xfId="35165" xr:uid="{00000000-0005-0000-0000-0000F9160000}"/>
    <cellStyle name="Normal 12 4 2 8 4" xfId="16029" xr:uid="{00000000-0005-0000-0000-0000FA160000}"/>
    <cellStyle name="Normal 12 4 2 9" xfId="41698" xr:uid="{00000000-0005-0000-0000-0000FB160000}"/>
    <cellStyle name="Normal 12 4 3" xfId="537" xr:uid="{00000000-0005-0000-0000-0000FC160000}"/>
    <cellStyle name="Normal 12 4 3 2" xfId="2567" xr:uid="{00000000-0005-0000-0000-0000FD160000}"/>
    <cellStyle name="Normal 12 4 3 2 2" xfId="9099" xr:uid="{00000000-0005-0000-0000-0000FE160000}"/>
    <cellStyle name="Normal 12 4 3 2 2 2" xfId="40840" xr:uid="{00000000-0005-0000-0000-0000FF160000}"/>
    <cellStyle name="Normal 12 4 3 2 2 2 2" xfId="56940" xr:uid="{00000000-0005-0000-0000-000000170000}"/>
    <cellStyle name="Normal 12 4 3 2 2 3" xfId="47373" xr:uid="{00000000-0005-0000-0000-000001170000}"/>
    <cellStyle name="Normal 12 4 3 2 2 4" xfId="31273" xr:uid="{00000000-0005-0000-0000-000002170000}"/>
    <cellStyle name="Normal 12 4 3 2 2 5" xfId="21704" xr:uid="{00000000-0005-0000-0000-000003170000}"/>
    <cellStyle name="Normal 12 4 3 2 3" xfId="12135" xr:uid="{00000000-0005-0000-0000-000004170000}"/>
    <cellStyle name="Normal 12 4 3 2 3 2" xfId="50409" xr:uid="{00000000-0005-0000-0000-000005170000}"/>
    <cellStyle name="Normal 12 4 3 2 3 3" xfId="34309" xr:uid="{00000000-0005-0000-0000-000006170000}"/>
    <cellStyle name="Normal 12 4 3 2 3 4" xfId="24740" xr:uid="{00000000-0005-0000-0000-000007170000}"/>
    <cellStyle name="Normal 12 4 3 2 4" xfId="6063" xr:uid="{00000000-0005-0000-0000-000008170000}"/>
    <cellStyle name="Normal 12 4 3 2 4 2" xfId="53904" xr:uid="{00000000-0005-0000-0000-000009170000}"/>
    <cellStyle name="Normal 12 4 3 2 4 3" xfId="37804" xr:uid="{00000000-0005-0000-0000-00000A170000}"/>
    <cellStyle name="Normal 12 4 3 2 4 4" xfId="18668" xr:uid="{00000000-0005-0000-0000-00000B170000}"/>
    <cellStyle name="Normal 12 4 3 2 5" xfId="44337" xr:uid="{00000000-0005-0000-0000-00000C170000}"/>
    <cellStyle name="Normal 12 4 3 2 6" xfId="28237" xr:uid="{00000000-0005-0000-0000-00000D170000}"/>
    <cellStyle name="Normal 12 4 3 2 7" xfId="15173" xr:uid="{00000000-0005-0000-0000-00000E170000}"/>
    <cellStyle name="Normal 12 4 3 3" xfId="1316" xr:uid="{00000000-0005-0000-0000-00000F170000}"/>
    <cellStyle name="Normal 12 4 3 3 2" xfId="7850" xr:uid="{00000000-0005-0000-0000-000010170000}"/>
    <cellStyle name="Normal 12 4 3 3 2 2" xfId="39591" xr:uid="{00000000-0005-0000-0000-000011170000}"/>
    <cellStyle name="Normal 12 4 3 3 2 2 2" xfId="55691" xr:uid="{00000000-0005-0000-0000-000012170000}"/>
    <cellStyle name="Normal 12 4 3 3 2 3" xfId="46124" xr:uid="{00000000-0005-0000-0000-000013170000}"/>
    <cellStyle name="Normal 12 4 3 3 2 4" xfId="30024" xr:uid="{00000000-0005-0000-0000-000014170000}"/>
    <cellStyle name="Normal 12 4 3 3 2 5" xfId="20455" xr:uid="{00000000-0005-0000-0000-000015170000}"/>
    <cellStyle name="Normal 12 4 3 3 3" xfId="10886" xr:uid="{00000000-0005-0000-0000-000016170000}"/>
    <cellStyle name="Normal 12 4 3 3 3 2" xfId="49160" xr:uid="{00000000-0005-0000-0000-000017170000}"/>
    <cellStyle name="Normal 12 4 3 3 3 3" xfId="33060" xr:uid="{00000000-0005-0000-0000-000018170000}"/>
    <cellStyle name="Normal 12 4 3 3 3 4" xfId="23491" xr:uid="{00000000-0005-0000-0000-000019170000}"/>
    <cellStyle name="Normal 12 4 3 3 4" xfId="4814" xr:uid="{00000000-0005-0000-0000-00001A170000}"/>
    <cellStyle name="Normal 12 4 3 3 4 2" xfId="52655" xr:uid="{00000000-0005-0000-0000-00001B170000}"/>
    <cellStyle name="Normal 12 4 3 3 4 3" xfId="36555" xr:uid="{00000000-0005-0000-0000-00001C170000}"/>
    <cellStyle name="Normal 12 4 3 3 4 4" xfId="17419" xr:uid="{00000000-0005-0000-0000-00001D170000}"/>
    <cellStyle name="Normal 12 4 3 3 5" xfId="43088" xr:uid="{00000000-0005-0000-0000-00001E170000}"/>
    <cellStyle name="Normal 12 4 3 3 6" xfId="26988" xr:uid="{00000000-0005-0000-0000-00001F170000}"/>
    <cellStyle name="Normal 12 4 3 3 7" xfId="13924" xr:uid="{00000000-0005-0000-0000-000020170000}"/>
    <cellStyle name="Normal 12 4 3 4" xfId="6840" xr:uid="{00000000-0005-0000-0000-000021170000}"/>
    <cellStyle name="Normal 12 4 3 4 2" xfId="38581" xr:uid="{00000000-0005-0000-0000-000022170000}"/>
    <cellStyle name="Normal 12 4 3 4 2 2" xfId="54681" xr:uid="{00000000-0005-0000-0000-000023170000}"/>
    <cellStyle name="Normal 12 4 3 4 3" xfId="45114" xr:uid="{00000000-0005-0000-0000-000024170000}"/>
    <cellStyle name="Normal 12 4 3 4 4" xfId="29014" xr:uid="{00000000-0005-0000-0000-000025170000}"/>
    <cellStyle name="Normal 12 4 3 4 5" xfId="19445" xr:uid="{00000000-0005-0000-0000-000026170000}"/>
    <cellStyle name="Normal 12 4 3 5" xfId="9876" xr:uid="{00000000-0005-0000-0000-000027170000}"/>
    <cellStyle name="Normal 12 4 3 5 2" xfId="48150" xr:uid="{00000000-0005-0000-0000-000028170000}"/>
    <cellStyle name="Normal 12 4 3 5 3" xfId="32050" xr:uid="{00000000-0005-0000-0000-000029170000}"/>
    <cellStyle name="Normal 12 4 3 5 4" xfId="22481" xr:uid="{00000000-0005-0000-0000-00002A170000}"/>
    <cellStyle name="Normal 12 4 3 6" xfId="3804" xr:uid="{00000000-0005-0000-0000-00002B170000}"/>
    <cellStyle name="Normal 12 4 3 6 2" xfId="51645" xr:uid="{00000000-0005-0000-0000-00002C170000}"/>
    <cellStyle name="Normal 12 4 3 6 3" xfId="35545" xr:uid="{00000000-0005-0000-0000-00002D170000}"/>
    <cellStyle name="Normal 12 4 3 6 4" xfId="16409" xr:uid="{00000000-0005-0000-0000-00002E170000}"/>
    <cellStyle name="Normal 12 4 3 7" xfId="42078" xr:uid="{00000000-0005-0000-0000-00002F170000}"/>
    <cellStyle name="Normal 12 4 3 8" xfId="25978" xr:uid="{00000000-0005-0000-0000-000030170000}"/>
    <cellStyle name="Normal 12 4 3 9" xfId="12914" xr:uid="{00000000-0005-0000-0000-000031170000}"/>
    <cellStyle name="Normal 12 4 4" xfId="831" xr:uid="{00000000-0005-0000-0000-000032170000}"/>
    <cellStyle name="Normal 12 4 4 2" xfId="2859" xr:uid="{00000000-0005-0000-0000-000033170000}"/>
    <cellStyle name="Normal 12 4 4 2 2" xfId="9391" xr:uid="{00000000-0005-0000-0000-000034170000}"/>
    <cellStyle name="Normal 12 4 4 2 2 2" xfId="41132" xr:uid="{00000000-0005-0000-0000-000035170000}"/>
    <cellStyle name="Normal 12 4 4 2 2 2 2" xfId="57232" xr:uid="{00000000-0005-0000-0000-000036170000}"/>
    <cellStyle name="Normal 12 4 4 2 2 3" xfId="47665" xr:uid="{00000000-0005-0000-0000-000037170000}"/>
    <cellStyle name="Normal 12 4 4 2 2 4" xfId="31565" xr:uid="{00000000-0005-0000-0000-000038170000}"/>
    <cellStyle name="Normal 12 4 4 2 2 5" xfId="21996" xr:uid="{00000000-0005-0000-0000-000039170000}"/>
    <cellStyle name="Normal 12 4 4 2 3" xfId="12427" xr:uid="{00000000-0005-0000-0000-00003A170000}"/>
    <cellStyle name="Normal 12 4 4 2 3 2" xfId="50701" xr:uid="{00000000-0005-0000-0000-00003B170000}"/>
    <cellStyle name="Normal 12 4 4 2 3 3" xfId="34601" xr:uid="{00000000-0005-0000-0000-00003C170000}"/>
    <cellStyle name="Normal 12 4 4 2 3 4" xfId="25032" xr:uid="{00000000-0005-0000-0000-00003D170000}"/>
    <cellStyle name="Normal 12 4 4 2 4" xfId="6355" xr:uid="{00000000-0005-0000-0000-00003E170000}"/>
    <cellStyle name="Normal 12 4 4 2 4 2" xfId="54196" xr:uid="{00000000-0005-0000-0000-00003F170000}"/>
    <cellStyle name="Normal 12 4 4 2 4 3" xfId="38096" xr:uid="{00000000-0005-0000-0000-000040170000}"/>
    <cellStyle name="Normal 12 4 4 2 4 4" xfId="18960" xr:uid="{00000000-0005-0000-0000-000041170000}"/>
    <cellStyle name="Normal 12 4 4 2 5" xfId="44629" xr:uid="{00000000-0005-0000-0000-000042170000}"/>
    <cellStyle name="Normal 12 4 4 2 6" xfId="28529" xr:uid="{00000000-0005-0000-0000-000043170000}"/>
    <cellStyle name="Normal 12 4 4 2 7" xfId="15465" xr:uid="{00000000-0005-0000-0000-000044170000}"/>
    <cellStyle name="Normal 12 4 4 3" xfId="1841" xr:uid="{00000000-0005-0000-0000-000045170000}"/>
    <cellStyle name="Normal 12 4 4 3 2" xfId="8375" xr:uid="{00000000-0005-0000-0000-000046170000}"/>
    <cellStyle name="Normal 12 4 4 3 2 2" xfId="40116" xr:uid="{00000000-0005-0000-0000-000047170000}"/>
    <cellStyle name="Normal 12 4 4 3 2 2 2" xfId="56216" xr:uid="{00000000-0005-0000-0000-000048170000}"/>
    <cellStyle name="Normal 12 4 4 3 2 3" xfId="46649" xr:uid="{00000000-0005-0000-0000-000049170000}"/>
    <cellStyle name="Normal 12 4 4 3 2 4" xfId="30549" xr:uid="{00000000-0005-0000-0000-00004A170000}"/>
    <cellStyle name="Normal 12 4 4 3 2 5" xfId="20980" xr:uid="{00000000-0005-0000-0000-00004B170000}"/>
    <cellStyle name="Normal 12 4 4 3 3" xfId="11411" xr:uid="{00000000-0005-0000-0000-00004C170000}"/>
    <cellStyle name="Normal 12 4 4 3 3 2" xfId="49685" xr:uid="{00000000-0005-0000-0000-00004D170000}"/>
    <cellStyle name="Normal 12 4 4 3 3 3" xfId="33585" xr:uid="{00000000-0005-0000-0000-00004E170000}"/>
    <cellStyle name="Normal 12 4 4 3 3 4" xfId="24016" xr:uid="{00000000-0005-0000-0000-00004F170000}"/>
    <cellStyle name="Normal 12 4 4 3 4" xfId="5339" xr:uid="{00000000-0005-0000-0000-000050170000}"/>
    <cellStyle name="Normal 12 4 4 3 4 2" xfId="53180" xr:uid="{00000000-0005-0000-0000-000051170000}"/>
    <cellStyle name="Normal 12 4 4 3 4 3" xfId="37080" xr:uid="{00000000-0005-0000-0000-000052170000}"/>
    <cellStyle name="Normal 12 4 4 3 4 4" xfId="17944" xr:uid="{00000000-0005-0000-0000-000053170000}"/>
    <cellStyle name="Normal 12 4 4 3 5" xfId="43613" xr:uid="{00000000-0005-0000-0000-000054170000}"/>
    <cellStyle name="Normal 12 4 4 3 6" xfId="27513" xr:uid="{00000000-0005-0000-0000-000055170000}"/>
    <cellStyle name="Normal 12 4 4 3 7" xfId="14449" xr:uid="{00000000-0005-0000-0000-000056170000}"/>
    <cellStyle name="Normal 12 4 4 4" xfId="7365" xr:uid="{00000000-0005-0000-0000-000057170000}"/>
    <cellStyle name="Normal 12 4 4 4 2" xfId="39106" xr:uid="{00000000-0005-0000-0000-000058170000}"/>
    <cellStyle name="Normal 12 4 4 4 2 2" xfId="55206" xr:uid="{00000000-0005-0000-0000-000059170000}"/>
    <cellStyle name="Normal 12 4 4 4 3" xfId="45639" xr:uid="{00000000-0005-0000-0000-00005A170000}"/>
    <cellStyle name="Normal 12 4 4 4 4" xfId="29539" xr:uid="{00000000-0005-0000-0000-00005B170000}"/>
    <cellStyle name="Normal 12 4 4 4 5" xfId="19970" xr:uid="{00000000-0005-0000-0000-00005C170000}"/>
    <cellStyle name="Normal 12 4 4 5" xfId="10401" xr:uid="{00000000-0005-0000-0000-00005D170000}"/>
    <cellStyle name="Normal 12 4 4 5 2" xfId="48675" xr:uid="{00000000-0005-0000-0000-00005E170000}"/>
    <cellStyle name="Normal 12 4 4 5 3" xfId="32575" xr:uid="{00000000-0005-0000-0000-00005F170000}"/>
    <cellStyle name="Normal 12 4 4 5 4" xfId="23006" xr:uid="{00000000-0005-0000-0000-000060170000}"/>
    <cellStyle name="Normal 12 4 4 6" xfId="4329" xr:uid="{00000000-0005-0000-0000-000061170000}"/>
    <cellStyle name="Normal 12 4 4 6 2" xfId="52170" xr:uid="{00000000-0005-0000-0000-000062170000}"/>
    <cellStyle name="Normal 12 4 4 6 3" xfId="36070" xr:uid="{00000000-0005-0000-0000-000063170000}"/>
    <cellStyle name="Normal 12 4 4 6 4" xfId="16934" xr:uid="{00000000-0005-0000-0000-000064170000}"/>
    <cellStyle name="Normal 12 4 4 7" xfId="42603" xr:uid="{00000000-0005-0000-0000-000065170000}"/>
    <cellStyle name="Normal 12 4 4 8" xfId="26503" xr:uid="{00000000-0005-0000-0000-000066170000}"/>
    <cellStyle name="Normal 12 4 4 9" xfId="13439" xr:uid="{00000000-0005-0000-0000-000067170000}"/>
    <cellStyle name="Normal 12 4 5" xfId="2104" xr:uid="{00000000-0005-0000-0000-000068170000}"/>
    <cellStyle name="Normal 12 4 5 2" xfId="8638" xr:uid="{00000000-0005-0000-0000-000069170000}"/>
    <cellStyle name="Normal 12 4 5 2 2" xfId="40379" xr:uid="{00000000-0005-0000-0000-00006A170000}"/>
    <cellStyle name="Normal 12 4 5 2 2 2" xfId="56479" xr:uid="{00000000-0005-0000-0000-00006B170000}"/>
    <cellStyle name="Normal 12 4 5 2 3" xfId="46912" xr:uid="{00000000-0005-0000-0000-00006C170000}"/>
    <cellStyle name="Normal 12 4 5 2 4" xfId="30812" xr:uid="{00000000-0005-0000-0000-00006D170000}"/>
    <cellStyle name="Normal 12 4 5 2 5" xfId="21243" xr:uid="{00000000-0005-0000-0000-00006E170000}"/>
    <cellStyle name="Normal 12 4 5 3" xfId="11674" xr:uid="{00000000-0005-0000-0000-00006F170000}"/>
    <cellStyle name="Normal 12 4 5 3 2" xfId="49948" xr:uid="{00000000-0005-0000-0000-000070170000}"/>
    <cellStyle name="Normal 12 4 5 3 3" xfId="33848" xr:uid="{00000000-0005-0000-0000-000071170000}"/>
    <cellStyle name="Normal 12 4 5 3 4" xfId="24279" xr:uid="{00000000-0005-0000-0000-000072170000}"/>
    <cellStyle name="Normal 12 4 5 4" xfId="5602" xr:uid="{00000000-0005-0000-0000-000073170000}"/>
    <cellStyle name="Normal 12 4 5 4 2" xfId="53443" xr:uid="{00000000-0005-0000-0000-000074170000}"/>
    <cellStyle name="Normal 12 4 5 4 3" xfId="37343" xr:uid="{00000000-0005-0000-0000-000075170000}"/>
    <cellStyle name="Normal 12 4 5 4 4" xfId="18207" xr:uid="{00000000-0005-0000-0000-000076170000}"/>
    <cellStyle name="Normal 12 4 5 5" xfId="43876" xr:uid="{00000000-0005-0000-0000-000077170000}"/>
    <cellStyle name="Normal 12 4 5 6" xfId="27776" xr:uid="{00000000-0005-0000-0000-000078170000}"/>
    <cellStyle name="Normal 12 4 5 7" xfId="14712" xr:uid="{00000000-0005-0000-0000-000079170000}"/>
    <cellStyle name="Normal 12 4 6" xfId="1158" xr:uid="{00000000-0005-0000-0000-00007A170000}"/>
    <cellStyle name="Normal 12 4 6 2" xfId="7692" xr:uid="{00000000-0005-0000-0000-00007B170000}"/>
    <cellStyle name="Normal 12 4 6 2 2" xfId="39433" xr:uid="{00000000-0005-0000-0000-00007C170000}"/>
    <cellStyle name="Normal 12 4 6 2 2 2" xfId="55533" xr:uid="{00000000-0005-0000-0000-00007D170000}"/>
    <cellStyle name="Normal 12 4 6 2 3" xfId="45966" xr:uid="{00000000-0005-0000-0000-00007E170000}"/>
    <cellStyle name="Normal 12 4 6 2 4" xfId="29866" xr:uid="{00000000-0005-0000-0000-00007F170000}"/>
    <cellStyle name="Normal 12 4 6 2 5" xfId="20297" xr:uid="{00000000-0005-0000-0000-000080170000}"/>
    <cellStyle name="Normal 12 4 6 3" xfId="10728" xr:uid="{00000000-0005-0000-0000-000081170000}"/>
    <cellStyle name="Normal 12 4 6 3 2" xfId="49002" xr:uid="{00000000-0005-0000-0000-000082170000}"/>
    <cellStyle name="Normal 12 4 6 3 3" xfId="32902" xr:uid="{00000000-0005-0000-0000-000083170000}"/>
    <cellStyle name="Normal 12 4 6 3 4" xfId="23333" xr:uid="{00000000-0005-0000-0000-000084170000}"/>
    <cellStyle name="Normal 12 4 6 4" xfId="4656" xr:uid="{00000000-0005-0000-0000-000085170000}"/>
    <cellStyle name="Normal 12 4 6 4 2" xfId="52497" xr:uid="{00000000-0005-0000-0000-000086170000}"/>
    <cellStyle name="Normal 12 4 6 4 3" xfId="36397" xr:uid="{00000000-0005-0000-0000-000087170000}"/>
    <cellStyle name="Normal 12 4 6 4 4" xfId="17261" xr:uid="{00000000-0005-0000-0000-000088170000}"/>
    <cellStyle name="Normal 12 4 6 5" xfId="42930" xr:uid="{00000000-0005-0000-0000-000089170000}"/>
    <cellStyle name="Normal 12 4 6 6" xfId="26830" xr:uid="{00000000-0005-0000-0000-00008A170000}"/>
    <cellStyle name="Normal 12 4 6 7" xfId="13766" xr:uid="{00000000-0005-0000-0000-00008B170000}"/>
    <cellStyle name="Normal 12 4 7" xfId="3646" xr:uid="{00000000-0005-0000-0000-00008C170000}"/>
    <cellStyle name="Normal 12 4 7 2" xfId="35387" xr:uid="{00000000-0005-0000-0000-00008D170000}"/>
    <cellStyle name="Normal 12 4 7 2 2" xfId="51487" xr:uid="{00000000-0005-0000-0000-00008E170000}"/>
    <cellStyle name="Normal 12 4 7 3" xfId="41920" xr:uid="{00000000-0005-0000-0000-00008F170000}"/>
    <cellStyle name="Normal 12 4 7 4" xfId="25820" xr:uid="{00000000-0005-0000-0000-000090170000}"/>
    <cellStyle name="Normal 12 4 7 5" xfId="16251" xr:uid="{00000000-0005-0000-0000-000091170000}"/>
    <cellStyle name="Normal 12 4 8" xfId="6682" xr:uid="{00000000-0005-0000-0000-000092170000}"/>
    <cellStyle name="Normal 12 4 8 2" xfId="38423" xr:uid="{00000000-0005-0000-0000-000093170000}"/>
    <cellStyle name="Normal 12 4 8 2 2" xfId="54523" xr:uid="{00000000-0005-0000-0000-000094170000}"/>
    <cellStyle name="Normal 12 4 8 3" xfId="44956" xr:uid="{00000000-0005-0000-0000-000095170000}"/>
    <cellStyle name="Normal 12 4 8 4" xfId="28856" xr:uid="{00000000-0005-0000-0000-000096170000}"/>
    <cellStyle name="Normal 12 4 8 5" xfId="19287" xr:uid="{00000000-0005-0000-0000-000097170000}"/>
    <cellStyle name="Normal 12 4 9" xfId="9718" xr:uid="{00000000-0005-0000-0000-000098170000}"/>
    <cellStyle name="Normal 12 4 9 2" xfId="47992" xr:uid="{00000000-0005-0000-0000-000099170000}"/>
    <cellStyle name="Normal 12 4 9 3" xfId="31892" xr:uid="{00000000-0005-0000-0000-00009A170000}"/>
    <cellStyle name="Normal 12 4 9 4" xfId="22323" xr:uid="{00000000-0005-0000-0000-00009B170000}"/>
    <cellStyle name="Normal 12 5" xfId="156" xr:uid="{00000000-0005-0000-0000-00009C170000}"/>
    <cellStyle name="Normal 12 5 10" xfId="3203" xr:uid="{00000000-0005-0000-0000-00009D170000}"/>
    <cellStyle name="Normal 12 5 10 2" xfId="51045" xr:uid="{00000000-0005-0000-0000-00009E170000}"/>
    <cellStyle name="Normal 12 5 10 3" xfId="34945" xr:uid="{00000000-0005-0000-0000-00009F170000}"/>
    <cellStyle name="Normal 12 5 10 4" xfId="15809" xr:uid="{00000000-0005-0000-0000-0000A0170000}"/>
    <cellStyle name="Normal 12 5 11" xfId="41478" xr:uid="{00000000-0005-0000-0000-0000A1170000}"/>
    <cellStyle name="Normal 12 5 12" xfId="25378" xr:uid="{00000000-0005-0000-0000-0000A2170000}"/>
    <cellStyle name="Normal 12 5 13" xfId="12773" xr:uid="{00000000-0005-0000-0000-0000A3170000}"/>
    <cellStyle name="Normal 12 5 2" xfId="333" xr:uid="{00000000-0005-0000-0000-0000A4170000}"/>
    <cellStyle name="Normal 12 5 2 10" xfId="13162" xr:uid="{00000000-0005-0000-0000-0000A5170000}"/>
    <cellStyle name="Normal 12 5 2 2" xfId="2352" xr:uid="{00000000-0005-0000-0000-0000A6170000}"/>
    <cellStyle name="Normal 12 5 2 2 2" xfId="8886" xr:uid="{00000000-0005-0000-0000-0000A7170000}"/>
    <cellStyle name="Normal 12 5 2 2 2 2" xfId="40627" xr:uid="{00000000-0005-0000-0000-0000A8170000}"/>
    <cellStyle name="Normal 12 5 2 2 2 2 2" xfId="56727" xr:uid="{00000000-0005-0000-0000-0000A9170000}"/>
    <cellStyle name="Normal 12 5 2 2 2 3" xfId="47160" xr:uid="{00000000-0005-0000-0000-0000AA170000}"/>
    <cellStyle name="Normal 12 5 2 2 2 4" xfId="31060" xr:uid="{00000000-0005-0000-0000-0000AB170000}"/>
    <cellStyle name="Normal 12 5 2 2 2 5" xfId="21491" xr:uid="{00000000-0005-0000-0000-0000AC170000}"/>
    <cellStyle name="Normal 12 5 2 2 3" xfId="11922" xr:uid="{00000000-0005-0000-0000-0000AD170000}"/>
    <cellStyle name="Normal 12 5 2 2 3 2" xfId="50196" xr:uid="{00000000-0005-0000-0000-0000AE170000}"/>
    <cellStyle name="Normal 12 5 2 2 3 3" xfId="34096" xr:uid="{00000000-0005-0000-0000-0000AF170000}"/>
    <cellStyle name="Normal 12 5 2 2 3 4" xfId="24527" xr:uid="{00000000-0005-0000-0000-0000B0170000}"/>
    <cellStyle name="Normal 12 5 2 2 4" xfId="5850" xr:uid="{00000000-0005-0000-0000-0000B1170000}"/>
    <cellStyle name="Normal 12 5 2 2 4 2" xfId="53691" xr:uid="{00000000-0005-0000-0000-0000B2170000}"/>
    <cellStyle name="Normal 12 5 2 2 4 3" xfId="37591" xr:uid="{00000000-0005-0000-0000-0000B3170000}"/>
    <cellStyle name="Normal 12 5 2 2 4 4" xfId="18455" xr:uid="{00000000-0005-0000-0000-0000B4170000}"/>
    <cellStyle name="Normal 12 5 2 2 5" xfId="44124" xr:uid="{00000000-0005-0000-0000-0000B5170000}"/>
    <cellStyle name="Normal 12 5 2 2 6" xfId="28024" xr:uid="{00000000-0005-0000-0000-0000B6170000}"/>
    <cellStyle name="Normal 12 5 2 2 7" xfId="14960" xr:uid="{00000000-0005-0000-0000-0000B7170000}"/>
    <cellStyle name="Normal 12 5 2 3" xfId="1564" xr:uid="{00000000-0005-0000-0000-0000B8170000}"/>
    <cellStyle name="Normal 12 5 2 3 2" xfId="8098" xr:uid="{00000000-0005-0000-0000-0000B9170000}"/>
    <cellStyle name="Normal 12 5 2 3 2 2" xfId="39839" xr:uid="{00000000-0005-0000-0000-0000BA170000}"/>
    <cellStyle name="Normal 12 5 2 3 2 2 2" xfId="55939" xr:uid="{00000000-0005-0000-0000-0000BB170000}"/>
    <cellStyle name="Normal 12 5 2 3 2 3" xfId="46372" xr:uid="{00000000-0005-0000-0000-0000BC170000}"/>
    <cellStyle name="Normal 12 5 2 3 2 4" xfId="30272" xr:uid="{00000000-0005-0000-0000-0000BD170000}"/>
    <cellStyle name="Normal 12 5 2 3 2 5" xfId="20703" xr:uid="{00000000-0005-0000-0000-0000BE170000}"/>
    <cellStyle name="Normal 12 5 2 3 3" xfId="11134" xr:uid="{00000000-0005-0000-0000-0000BF170000}"/>
    <cellStyle name="Normal 12 5 2 3 3 2" xfId="49408" xr:uid="{00000000-0005-0000-0000-0000C0170000}"/>
    <cellStyle name="Normal 12 5 2 3 3 3" xfId="33308" xr:uid="{00000000-0005-0000-0000-0000C1170000}"/>
    <cellStyle name="Normal 12 5 2 3 3 4" xfId="23739" xr:uid="{00000000-0005-0000-0000-0000C2170000}"/>
    <cellStyle name="Normal 12 5 2 3 4" xfId="5062" xr:uid="{00000000-0005-0000-0000-0000C3170000}"/>
    <cellStyle name="Normal 12 5 2 3 4 2" xfId="52903" xr:uid="{00000000-0005-0000-0000-0000C4170000}"/>
    <cellStyle name="Normal 12 5 2 3 4 3" xfId="36803" xr:uid="{00000000-0005-0000-0000-0000C5170000}"/>
    <cellStyle name="Normal 12 5 2 3 4 4" xfId="17667" xr:uid="{00000000-0005-0000-0000-0000C6170000}"/>
    <cellStyle name="Normal 12 5 2 3 5" xfId="43336" xr:uid="{00000000-0005-0000-0000-0000C7170000}"/>
    <cellStyle name="Normal 12 5 2 3 6" xfId="27236" xr:uid="{00000000-0005-0000-0000-0000C8170000}"/>
    <cellStyle name="Normal 12 5 2 3 7" xfId="14172" xr:uid="{00000000-0005-0000-0000-0000C9170000}"/>
    <cellStyle name="Normal 12 5 2 4" xfId="4052" xr:uid="{00000000-0005-0000-0000-0000CA170000}"/>
    <cellStyle name="Normal 12 5 2 4 2" xfId="35793" xr:uid="{00000000-0005-0000-0000-0000CB170000}"/>
    <cellStyle name="Normal 12 5 2 4 2 2" xfId="51893" xr:uid="{00000000-0005-0000-0000-0000CC170000}"/>
    <cellStyle name="Normal 12 5 2 4 3" xfId="42326" xr:uid="{00000000-0005-0000-0000-0000CD170000}"/>
    <cellStyle name="Normal 12 5 2 4 4" xfId="26226" xr:uid="{00000000-0005-0000-0000-0000CE170000}"/>
    <cellStyle name="Normal 12 5 2 4 5" xfId="16657" xr:uid="{00000000-0005-0000-0000-0000CF170000}"/>
    <cellStyle name="Normal 12 5 2 5" xfId="7088" xr:uid="{00000000-0005-0000-0000-0000D0170000}"/>
    <cellStyle name="Normal 12 5 2 5 2" xfId="38829" xr:uid="{00000000-0005-0000-0000-0000D1170000}"/>
    <cellStyle name="Normal 12 5 2 5 2 2" xfId="54929" xr:uid="{00000000-0005-0000-0000-0000D2170000}"/>
    <cellStyle name="Normal 12 5 2 5 3" xfId="45362" xr:uid="{00000000-0005-0000-0000-0000D3170000}"/>
    <cellStyle name="Normal 12 5 2 5 4" xfId="29262" xr:uid="{00000000-0005-0000-0000-0000D4170000}"/>
    <cellStyle name="Normal 12 5 2 5 5" xfId="19693" xr:uid="{00000000-0005-0000-0000-0000D5170000}"/>
    <cellStyle name="Normal 12 5 2 6" xfId="10124" xr:uid="{00000000-0005-0000-0000-0000D6170000}"/>
    <cellStyle name="Normal 12 5 2 6 2" xfId="48398" xr:uid="{00000000-0005-0000-0000-0000D7170000}"/>
    <cellStyle name="Normal 12 5 2 6 3" xfId="32298" xr:uid="{00000000-0005-0000-0000-0000D8170000}"/>
    <cellStyle name="Normal 12 5 2 6 4" xfId="22729" xr:uid="{00000000-0005-0000-0000-0000D9170000}"/>
    <cellStyle name="Normal 12 5 2 7" xfId="3441" xr:uid="{00000000-0005-0000-0000-0000DA170000}"/>
    <cellStyle name="Normal 12 5 2 7 2" xfId="51282" xr:uid="{00000000-0005-0000-0000-0000DB170000}"/>
    <cellStyle name="Normal 12 5 2 7 3" xfId="35182" xr:uid="{00000000-0005-0000-0000-0000DC170000}"/>
    <cellStyle name="Normal 12 5 2 7 4" xfId="16046" xr:uid="{00000000-0005-0000-0000-0000DD170000}"/>
    <cellStyle name="Normal 12 5 2 8" xfId="41715" xr:uid="{00000000-0005-0000-0000-0000DE170000}"/>
    <cellStyle name="Normal 12 5 2 9" xfId="25615" xr:uid="{00000000-0005-0000-0000-0000DF170000}"/>
    <cellStyle name="Normal 12 5 3" xfId="591" xr:uid="{00000000-0005-0000-0000-0000E0170000}"/>
    <cellStyle name="Normal 12 5 3 2" xfId="2619" xr:uid="{00000000-0005-0000-0000-0000E1170000}"/>
    <cellStyle name="Normal 12 5 3 2 2" xfId="9151" xr:uid="{00000000-0005-0000-0000-0000E2170000}"/>
    <cellStyle name="Normal 12 5 3 2 2 2" xfId="40892" xr:uid="{00000000-0005-0000-0000-0000E3170000}"/>
    <cellStyle name="Normal 12 5 3 2 2 2 2" xfId="56992" xr:uid="{00000000-0005-0000-0000-0000E4170000}"/>
    <cellStyle name="Normal 12 5 3 2 2 3" xfId="47425" xr:uid="{00000000-0005-0000-0000-0000E5170000}"/>
    <cellStyle name="Normal 12 5 3 2 2 4" xfId="31325" xr:uid="{00000000-0005-0000-0000-0000E6170000}"/>
    <cellStyle name="Normal 12 5 3 2 2 5" xfId="21756" xr:uid="{00000000-0005-0000-0000-0000E7170000}"/>
    <cellStyle name="Normal 12 5 3 2 3" xfId="12187" xr:uid="{00000000-0005-0000-0000-0000E8170000}"/>
    <cellStyle name="Normal 12 5 3 2 3 2" xfId="50461" xr:uid="{00000000-0005-0000-0000-0000E9170000}"/>
    <cellStyle name="Normal 12 5 3 2 3 3" xfId="34361" xr:uid="{00000000-0005-0000-0000-0000EA170000}"/>
    <cellStyle name="Normal 12 5 3 2 3 4" xfId="24792" xr:uid="{00000000-0005-0000-0000-0000EB170000}"/>
    <cellStyle name="Normal 12 5 3 2 4" xfId="6115" xr:uid="{00000000-0005-0000-0000-0000EC170000}"/>
    <cellStyle name="Normal 12 5 3 2 4 2" xfId="53956" xr:uid="{00000000-0005-0000-0000-0000ED170000}"/>
    <cellStyle name="Normal 12 5 3 2 4 3" xfId="37856" xr:uid="{00000000-0005-0000-0000-0000EE170000}"/>
    <cellStyle name="Normal 12 5 3 2 4 4" xfId="18720" xr:uid="{00000000-0005-0000-0000-0000EF170000}"/>
    <cellStyle name="Normal 12 5 3 2 5" xfId="44389" xr:uid="{00000000-0005-0000-0000-0000F0170000}"/>
    <cellStyle name="Normal 12 5 3 2 6" xfId="28289" xr:uid="{00000000-0005-0000-0000-0000F1170000}"/>
    <cellStyle name="Normal 12 5 3 2 7" xfId="15225" xr:uid="{00000000-0005-0000-0000-0000F2170000}"/>
    <cellStyle name="Normal 12 5 3 3" xfId="1387" xr:uid="{00000000-0005-0000-0000-0000F3170000}"/>
    <cellStyle name="Normal 12 5 3 3 2" xfId="7921" xr:uid="{00000000-0005-0000-0000-0000F4170000}"/>
    <cellStyle name="Normal 12 5 3 3 2 2" xfId="39662" xr:uid="{00000000-0005-0000-0000-0000F5170000}"/>
    <cellStyle name="Normal 12 5 3 3 2 2 2" xfId="55762" xr:uid="{00000000-0005-0000-0000-0000F6170000}"/>
    <cellStyle name="Normal 12 5 3 3 2 3" xfId="46195" xr:uid="{00000000-0005-0000-0000-0000F7170000}"/>
    <cellStyle name="Normal 12 5 3 3 2 4" xfId="30095" xr:uid="{00000000-0005-0000-0000-0000F8170000}"/>
    <cellStyle name="Normal 12 5 3 3 2 5" xfId="20526" xr:uid="{00000000-0005-0000-0000-0000F9170000}"/>
    <cellStyle name="Normal 12 5 3 3 3" xfId="10957" xr:uid="{00000000-0005-0000-0000-0000FA170000}"/>
    <cellStyle name="Normal 12 5 3 3 3 2" xfId="49231" xr:uid="{00000000-0005-0000-0000-0000FB170000}"/>
    <cellStyle name="Normal 12 5 3 3 3 3" xfId="33131" xr:uid="{00000000-0005-0000-0000-0000FC170000}"/>
    <cellStyle name="Normal 12 5 3 3 3 4" xfId="23562" xr:uid="{00000000-0005-0000-0000-0000FD170000}"/>
    <cellStyle name="Normal 12 5 3 3 4" xfId="4885" xr:uid="{00000000-0005-0000-0000-0000FE170000}"/>
    <cellStyle name="Normal 12 5 3 3 4 2" xfId="52726" xr:uid="{00000000-0005-0000-0000-0000FF170000}"/>
    <cellStyle name="Normal 12 5 3 3 4 3" xfId="36626" xr:uid="{00000000-0005-0000-0000-000000180000}"/>
    <cellStyle name="Normal 12 5 3 3 4 4" xfId="17490" xr:uid="{00000000-0005-0000-0000-000001180000}"/>
    <cellStyle name="Normal 12 5 3 3 5" xfId="43159" xr:uid="{00000000-0005-0000-0000-000002180000}"/>
    <cellStyle name="Normal 12 5 3 3 6" xfId="27059" xr:uid="{00000000-0005-0000-0000-000003180000}"/>
    <cellStyle name="Normal 12 5 3 3 7" xfId="13995" xr:uid="{00000000-0005-0000-0000-000004180000}"/>
    <cellStyle name="Normal 12 5 3 4" xfId="6911" xr:uid="{00000000-0005-0000-0000-000005180000}"/>
    <cellStyle name="Normal 12 5 3 4 2" xfId="38652" xr:uid="{00000000-0005-0000-0000-000006180000}"/>
    <cellStyle name="Normal 12 5 3 4 2 2" xfId="54752" xr:uid="{00000000-0005-0000-0000-000007180000}"/>
    <cellStyle name="Normal 12 5 3 4 3" xfId="45185" xr:uid="{00000000-0005-0000-0000-000008180000}"/>
    <cellStyle name="Normal 12 5 3 4 4" xfId="29085" xr:uid="{00000000-0005-0000-0000-000009180000}"/>
    <cellStyle name="Normal 12 5 3 4 5" xfId="19516" xr:uid="{00000000-0005-0000-0000-00000A180000}"/>
    <cellStyle name="Normal 12 5 3 5" xfId="9947" xr:uid="{00000000-0005-0000-0000-00000B180000}"/>
    <cellStyle name="Normal 12 5 3 5 2" xfId="48221" xr:uid="{00000000-0005-0000-0000-00000C180000}"/>
    <cellStyle name="Normal 12 5 3 5 3" xfId="32121" xr:uid="{00000000-0005-0000-0000-00000D180000}"/>
    <cellStyle name="Normal 12 5 3 5 4" xfId="22552" xr:uid="{00000000-0005-0000-0000-00000E180000}"/>
    <cellStyle name="Normal 12 5 3 6" xfId="3875" xr:uid="{00000000-0005-0000-0000-00000F180000}"/>
    <cellStyle name="Normal 12 5 3 6 2" xfId="51716" xr:uid="{00000000-0005-0000-0000-000010180000}"/>
    <cellStyle name="Normal 12 5 3 6 3" xfId="35616" xr:uid="{00000000-0005-0000-0000-000011180000}"/>
    <cellStyle name="Normal 12 5 3 6 4" xfId="16480" xr:uid="{00000000-0005-0000-0000-000012180000}"/>
    <cellStyle name="Normal 12 5 3 7" xfId="42149" xr:uid="{00000000-0005-0000-0000-000013180000}"/>
    <cellStyle name="Normal 12 5 3 8" xfId="26049" xr:uid="{00000000-0005-0000-0000-000014180000}"/>
    <cellStyle name="Normal 12 5 3 9" xfId="12985" xr:uid="{00000000-0005-0000-0000-000015180000}"/>
    <cellStyle name="Normal 12 5 4" xfId="848" xr:uid="{00000000-0005-0000-0000-000016180000}"/>
    <cellStyle name="Normal 12 5 4 2" xfId="2876" xr:uid="{00000000-0005-0000-0000-000017180000}"/>
    <cellStyle name="Normal 12 5 4 2 2" xfId="9408" xr:uid="{00000000-0005-0000-0000-000018180000}"/>
    <cellStyle name="Normal 12 5 4 2 2 2" xfId="41149" xr:uid="{00000000-0005-0000-0000-000019180000}"/>
    <cellStyle name="Normal 12 5 4 2 2 2 2" xfId="57249" xr:uid="{00000000-0005-0000-0000-00001A180000}"/>
    <cellStyle name="Normal 12 5 4 2 2 3" xfId="47682" xr:uid="{00000000-0005-0000-0000-00001B180000}"/>
    <cellStyle name="Normal 12 5 4 2 2 4" xfId="31582" xr:uid="{00000000-0005-0000-0000-00001C180000}"/>
    <cellStyle name="Normal 12 5 4 2 2 5" xfId="22013" xr:uid="{00000000-0005-0000-0000-00001D180000}"/>
    <cellStyle name="Normal 12 5 4 2 3" xfId="12444" xr:uid="{00000000-0005-0000-0000-00001E180000}"/>
    <cellStyle name="Normal 12 5 4 2 3 2" xfId="50718" xr:uid="{00000000-0005-0000-0000-00001F180000}"/>
    <cellStyle name="Normal 12 5 4 2 3 3" xfId="34618" xr:uid="{00000000-0005-0000-0000-000020180000}"/>
    <cellStyle name="Normal 12 5 4 2 3 4" xfId="25049" xr:uid="{00000000-0005-0000-0000-000021180000}"/>
    <cellStyle name="Normal 12 5 4 2 4" xfId="6372" xr:uid="{00000000-0005-0000-0000-000022180000}"/>
    <cellStyle name="Normal 12 5 4 2 4 2" xfId="54213" xr:uid="{00000000-0005-0000-0000-000023180000}"/>
    <cellStyle name="Normal 12 5 4 2 4 3" xfId="38113" xr:uid="{00000000-0005-0000-0000-000024180000}"/>
    <cellStyle name="Normal 12 5 4 2 4 4" xfId="18977" xr:uid="{00000000-0005-0000-0000-000025180000}"/>
    <cellStyle name="Normal 12 5 4 2 5" xfId="44646" xr:uid="{00000000-0005-0000-0000-000026180000}"/>
    <cellStyle name="Normal 12 5 4 2 6" xfId="28546" xr:uid="{00000000-0005-0000-0000-000027180000}"/>
    <cellStyle name="Normal 12 5 4 2 7" xfId="15482" xr:uid="{00000000-0005-0000-0000-000028180000}"/>
    <cellStyle name="Normal 12 5 4 3" xfId="1858" xr:uid="{00000000-0005-0000-0000-000029180000}"/>
    <cellStyle name="Normal 12 5 4 3 2" xfId="8392" xr:uid="{00000000-0005-0000-0000-00002A180000}"/>
    <cellStyle name="Normal 12 5 4 3 2 2" xfId="40133" xr:uid="{00000000-0005-0000-0000-00002B180000}"/>
    <cellStyle name="Normal 12 5 4 3 2 2 2" xfId="56233" xr:uid="{00000000-0005-0000-0000-00002C180000}"/>
    <cellStyle name="Normal 12 5 4 3 2 3" xfId="46666" xr:uid="{00000000-0005-0000-0000-00002D180000}"/>
    <cellStyle name="Normal 12 5 4 3 2 4" xfId="30566" xr:uid="{00000000-0005-0000-0000-00002E180000}"/>
    <cellStyle name="Normal 12 5 4 3 2 5" xfId="20997" xr:uid="{00000000-0005-0000-0000-00002F180000}"/>
    <cellStyle name="Normal 12 5 4 3 3" xfId="11428" xr:uid="{00000000-0005-0000-0000-000030180000}"/>
    <cellStyle name="Normal 12 5 4 3 3 2" xfId="49702" xr:uid="{00000000-0005-0000-0000-000031180000}"/>
    <cellStyle name="Normal 12 5 4 3 3 3" xfId="33602" xr:uid="{00000000-0005-0000-0000-000032180000}"/>
    <cellStyle name="Normal 12 5 4 3 3 4" xfId="24033" xr:uid="{00000000-0005-0000-0000-000033180000}"/>
    <cellStyle name="Normal 12 5 4 3 4" xfId="5356" xr:uid="{00000000-0005-0000-0000-000034180000}"/>
    <cellStyle name="Normal 12 5 4 3 4 2" xfId="53197" xr:uid="{00000000-0005-0000-0000-000035180000}"/>
    <cellStyle name="Normal 12 5 4 3 4 3" xfId="37097" xr:uid="{00000000-0005-0000-0000-000036180000}"/>
    <cellStyle name="Normal 12 5 4 3 4 4" xfId="17961" xr:uid="{00000000-0005-0000-0000-000037180000}"/>
    <cellStyle name="Normal 12 5 4 3 5" xfId="43630" xr:uid="{00000000-0005-0000-0000-000038180000}"/>
    <cellStyle name="Normal 12 5 4 3 6" xfId="27530" xr:uid="{00000000-0005-0000-0000-000039180000}"/>
    <cellStyle name="Normal 12 5 4 3 7" xfId="14466" xr:uid="{00000000-0005-0000-0000-00003A180000}"/>
    <cellStyle name="Normal 12 5 4 4" xfId="7382" xr:uid="{00000000-0005-0000-0000-00003B180000}"/>
    <cellStyle name="Normal 12 5 4 4 2" xfId="39123" xr:uid="{00000000-0005-0000-0000-00003C180000}"/>
    <cellStyle name="Normal 12 5 4 4 2 2" xfId="55223" xr:uid="{00000000-0005-0000-0000-00003D180000}"/>
    <cellStyle name="Normal 12 5 4 4 3" xfId="45656" xr:uid="{00000000-0005-0000-0000-00003E180000}"/>
    <cellStyle name="Normal 12 5 4 4 4" xfId="29556" xr:uid="{00000000-0005-0000-0000-00003F180000}"/>
    <cellStyle name="Normal 12 5 4 4 5" xfId="19987" xr:uid="{00000000-0005-0000-0000-000040180000}"/>
    <cellStyle name="Normal 12 5 4 5" xfId="10418" xr:uid="{00000000-0005-0000-0000-000041180000}"/>
    <cellStyle name="Normal 12 5 4 5 2" xfId="48692" xr:uid="{00000000-0005-0000-0000-000042180000}"/>
    <cellStyle name="Normal 12 5 4 5 3" xfId="32592" xr:uid="{00000000-0005-0000-0000-000043180000}"/>
    <cellStyle name="Normal 12 5 4 5 4" xfId="23023" xr:uid="{00000000-0005-0000-0000-000044180000}"/>
    <cellStyle name="Normal 12 5 4 6" xfId="4346" xr:uid="{00000000-0005-0000-0000-000045180000}"/>
    <cellStyle name="Normal 12 5 4 6 2" xfId="52187" xr:uid="{00000000-0005-0000-0000-000046180000}"/>
    <cellStyle name="Normal 12 5 4 6 3" xfId="36087" xr:uid="{00000000-0005-0000-0000-000047180000}"/>
    <cellStyle name="Normal 12 5 4 6 4" xfId="16951" xr:uid="{00000000-0005-0000-0000-000048180000}"/>
    <cellStyle name="Normal 12 5 4 7" xfId="42620" xr:uid="{00000000-0005-0000-0000-000049180000}"/>
    <cellStyle name="Normal 12 5 4 8" xfId="26520" xr:uid="{00000000-0005-0000-0000-00004A180000}"/>
    <cellStyle name="Normal 12 5 4 9" xfId="13456" xr:uid="{00000000-0005-0000-0000-00004B180000}"/>
    <cellStyle name="Normal 12 5 5" xfId="2175" xr:uid="{00000000-0005-0000-0000-00004C180000}"/>
    <cellStyle name="Normal 12 5 5 2" xfId="8709" xr:uid="{00000000-0005-0000-0000-00004D180000}"/>
    <cellStyle name="Normal 12 5 5 2 2" xfId="40450" xr:uid="{00000000-0005-0000-0000-00004E180000}"/>
    <cellStyle name="Normal 12 5 5 2 2 2" xfId="56550" xr:uid="{00000000-0005-0000-0000-00004F180000}"/>
    <cellStyle name="Normal 12 5 5 2 3" xfId="46983" xr:uid="{00000000-0005-0000-0000-000050180000}"/>
    <cellStyle name="Normal 12 5 5 2 4" xfId="30883" xr:uid="{00000000-0005-0000-0000-000051180000}"/>
    <cellStyle name="Normal 12 5 5 2 5" xfId="21314" xr:uid="{00000000-0005-0000-0000-000052180000}"/>
    <cellStyle name="Normal 12 5 5 3" xfId="11745" xr:uid="{00000000-0005-0000-0000-000053180000}"/>
    <cellStyle name="Normal 12 5 5 3 2" xfId="50019" xr:uid="{00000000-0005-0000-0000-000054180000}"/>
    <cellStyle name="Normal 12 5 5 3 3" xfId="33919" xr:uid="{00000000-0005-0000-0000-000055180000}"/>
    <cellStyle name="Normal 12 5 5 3 4" xfId="24350" xr:uid="{00000000-0005-0000-0000-000056180000}"/>
    <cellStyle name="Normal 12 5 5 4" xfId="5673" xr:uid="{00000000-0005-0000-0000-000057180000}"/>
    <cellStyle name="Normal 12 5 5 4 2" xfId="53514" xr:uid="{00000000-0005-0000-0000-000058180000}"/>
    <cellStyle name="Normal 12 5 5 4 3" xfId="37414" xr:uid="{00000000-0005-0000-0000-000059180000}"/>
    <cellStyle name="Normal 12 5 5 4 4" xfId="18278" xr:uid="{00000000-0005-0000-0000-00005A180000}"/>
    <cellStyle name="Normal 12 5 5 5" xfId="43947" xr:uid="{00000000-0005-0000-0000-00005B180000}"/>
    <cellStyle name="Normal 12 5 5 6" xfId="27847" xr:uid="{00000000-0005-0000-0000-00005C180000}"/>
    <cellStyle name="Normal 12 5 5 7" xfId="14783" xr:uid="{00000000-0005-0000-0000-00005D180000}"/>
    <cellStyle name="Normal 12 5 6" xfId="1175" xr:uid="{00000000-0005-0000-0000-00005E180000}"/>
    <cellStyle name="Normal 12 5 6 2" xfId="7709" xr:uid="{00000000-0005-0000-0000-00005F180000}"/>
    <cellStyle name="Normal 12 5 6 2 2" xfId="39450" xr:uid="{00000000-0005-0000-0000-000060180000}"/>
    <cellStyle name="Normal 12 5 6 2 2 2" xfId="55550" xr:uid="{00000000-0005-0000-0000-000061180000}"/>
    <cellStyle name="Normal 12 5 6 2 3" xfId="45983" xr:uid="{00000000-0005-0000-0000-000062180000}"/>
    <cellStyle name="Normal 12 5 6 2 4" xfId="29883" xr:uid="{00000000-0005-0000-0000-000063180000}"/>
    <cellStyle name="Normal 12 5 6 2 5" xfId="20314" xr:uid="{00000000-0005-0000-0000-000064180000}"/>
    <cellStyle name="Normal 12 5 6 3" xfId="10745" xr:uid="{00000000-0005-0000-0000-000065180000}"/>
    <cellStyle name="Normal 12 5 6 3 2" xfId="49019" xr:uid="{00000000-0005-0000-0000-000066180000}"/>
    <cellStyle name="Normal 12 5 6 3 3" xfId="32919" xr:uid="{00000000-0005-0000-0000-000067180000}"/>
    <cellStyle name="Normal 12 5 6 3 4" xfId="23350" xr:uid="{00000000-0005-0000-0000-000068180000}"/>
    <cellStyle name="Normal 12 5 6 4" xfId="4673" xr:uid="{00000000-0005-0000-0000-000069180000}"/>
    <cellStyle name="Normal 12 5 6 4 2" xfId="52514" xr:uid="{00000000-0005-0000-0000-00006A180000}"/>
    <cellStyle name="Normal 12 5 6 4 3" xfId="36414" xr:uid="{00000000-0005-0000-0000-00006B180000}"/>
    <cellStyle name="Normal 12 5 6 4 4" xfId="17278" xr:uid="{00000000-0005-0000-0000-00006C180000}"/>
    <cellStyle name="Normal 12 5 6 5" xfId="42947" xr:uid="{00000000-0005-0000-0000-00006D180000}"/>
    <cellStyle name="Normal 12 5 6 6" xfId="26847" xr:uid="{00000000-0005-0000-0000-00006E180000}"/>
    <cellStyle name="Normal 12 5 6 7" xfId="13783" xr:uid="{00000000-0005-0000-0000-00006F180000}"/>
    <cellStyle name="Normal 12 5 7" xfId="3663" xr:uid="{00000000-0005-0000-0000-000070180000}"/>
    <cellStyle name="Normal 12 5 7 2" xfId="35404" xr:uid="{00000000-0005-0000-0000-000071180000}"/>
    <cellStyle name="Normal 12 5 7 2 2" xfId="51504" xr:uid="{00000000-0005-0000-0000-000072180000}"/>
    <cellStyle name="Normal 12 5 7 3" xfId="41937" xr:uid="{00000000-0005-0000-0000-000073180000}"/>
    <cellStyle name="Normal 12 5 7 4" xfId="25837" xr:uid="{00000000-0005-0000-0000-000074180000}"/>
    <cellStyle name="Normal 12 5 7 5" xfId="16268" xr:uid="{00000000-0005-0000-0000-000075180000}"/>
    <cellStyle name="Normal 12 5 8" xfId="6699" xr:uid="{00000000-0005-0000-0000-000076180000}"/>
    <cellStyle name="Normal 12 5 8 2" xfId="38440" xr:uid="{00000000-0005-0000-0000-000077180000}"/>
    <cellStyle name="Normal 12 5 8 2 2" xfId="54540" xr:uid="{00000000-0005-0000-0000-000078180000}"/>
    <cellStyle name="Normal 12 5 8 3" xfId="44973" xr:uid="{00000000-0005-0000-0000-000079180000}"/>
    <cellStyle name="Normal 12 5 8 4" xfId="28873" xr:uid="{00000000-0005-0000-0000-00007A180000}"/>
    <cellStyle name="Normal 12 5 8 5" xfId="19304" xr:uid="{00000000-0005-0000-0000-00007B180000}"/>
    <cellStyle name="Normal 12 5 9" xfId="9735" xr:uid="{00000000-0005-0000-0000-00007C180000}"/>
    <cellStyle name="Normal 12 5 9 2" xfId="48009" xr:uid="{00000000-0005-0000-0000-00007D180000}"/>
    <cellStyle name="Normal 12 5 9 3" xfId="31909" xr:uid="{00000000-0005-0000-0000-00007E180000}"/>
    <cellStyle name="Normal 12 5 9 4" xfId="22340" xr:uid="{00000000-0005-0000-0000-00007F180000}"/>
    <cellStyle name="Normal 12 6" xfId="227" xr:uid="{00000000-0005-0000-0000-000080180000}"/>
    <cellStyle name="Normal 12 6 10" xfId="41495" xr:uid="{00000000-0005-0000-0000-000081180000}"/>
    <cellStyle name="Normal 12 6 11" xfId="25395" xr:uid="{00000000-0005-0000-0000-000082180000}"/>
    <cellStyle name="Normal 12 6 12" xfId="12790" xr:uid="{00000000-0005-0000-0000-000083180000}"/>
    <cellStyle name="Normal 12 6 2" xfId="608" xr:uid="{00000000-0005-0000-0000-000084180000}"/>
    <cellStyle name="Normal 12 6 2 10" xfId="13056" xr:uid="{00000000-0005-0000-0000-000085180000}"/>
    <cellStyle name="Normal 12 6 2 2" xfId="2636" xr:uid="{00000000-0005-0000-0000-000086180000}"/>
    <cellStyle name="Normal 12 6 2 2 2" xfId="9168" xr:uid="{00000000-0005-0000-0000-000087180000}"/>
    <cellStyle name="Normal 12 6 2 2 2 2" xfId="40909" xr:uid="{00000000-0005-0000-0000-000088180000}"/>
    <cellStyle name="Normal 12 6 2 2 2 2 2" xfId="57009" xr:uid="{00000000-0005-0000-0000-000089180000}"/>
    <cellStyle name="Normal 12 6 2 2 2 3" xfId="47442" xr:uid="{00000000-0005-0000-0000-00008A180000}"/>
    <cellStyle name="Normal 12 6 2 2 2 4" xfId="31342" xr:uid="{00000000-0005-0000-0000-00008B180000}"/>
    <cellStyle name="Normal 12 6 2 2 2 5" xfId="21773" xr:uid="{00000000-0005-0000-0000-00008C180000}"/>
    <cellStyle name="Normal 12 6 2 2 3" xfId="12204" xr:uid="{00000000-0005-0000-0000-00008D180000}"/>
    <cellStyle name="Normal 12 6 2 2 3 2" xfId="50478" xr:uid="{00000000-0005-0000-0000-00008E180000}"/>
    <cellStyle name="Normal 12 6 2 2 3 3" xfId="34378" xr:uid="{00000000-0005-0000-0000-00008F180000}"/>
    <cellStyle name="Normal 12 6 2 2 3 4" xfId="24809" xr:uid="{00000000-0005-0000-0000-000090180000}"/>
    <cellStyle name="Normal 12 6 2 2 4" xfId="6132" xr:uid="{00000000-0005-0000-0000-000091180000}"/>
    <cellStyle name="Normal 12 6 2 2 4 2" xfId="53973" xr:uid="{00000000-0005-0000-0000-000092180000}"/>
    <cellStyle name="Normal 12 6 2 2 4 3" xfId="37873" xr:uid="{00000000-0005-0000-0000-000093180000}"/>
    <cellStyle name="Normal 12 6 2 2 4 4" xfId="18737" xr:uid="{00000000-0005-0000-0000-000094180000}"/>
    <cellStyle name="Normal 12 6 2 2 5" xfId="44406" xr:uid="{00000000-0005-0000-0000-000095180000}"/>
    <cellStyle name="Normal 12 6 2 2 6" xfId="28306" xr:uid="{00000000-0005-0000-0000-000096180000}"/>
    <cellStyle name="Normal 12 6 2 2 7" xfId="15242" xr:uid="{00000000-0005-0000-0000-000097180000}"/>
    <cellStyle name="Normal 12 6 2 3" xfId="1458" xr:uid="{00000000-0005-0000-0000-000098180000}"/>
    <cellStyle name="Normal 12 6 2 3 2" xfId="7992" xr:uid="{00000000-0005-0000-0000-000099180000}"/>
    <cellStyle name="Normal 12 6 2 3 2 2" xfId="39733" xr:uid="{00000000-0005-0000-0000-00009A180000}"/>
    <cellStyle name="Normal 12 6 2 3 2 2 2" xfId="55833" xr:uid="{00000000-0005-0000-0000-00009B180000}"/>
    <cellStyle name="Normal 12 6 2 3 2 3" xfId="46266" xr:uid="{00000000-0005-0000-0000-00009C180000}"/>
    <cellStyle name="Normal 12 6 2 3 2 4" xfId="30166" xr:uid="{00000000-0005-0000-0000-00009D180000}"/>
    <cellStyle name="Normal 12 6 2 3 2 5" xfId="20597" xr:uid="{00000000-0005-0000-0000-00009E180000}"/>
    <cellStyle name="Normal 12 6 2 3 3" xfId="11028" xr:uid="{00000000-0005-0000-0000-00009F180000}"/>
    <cellStyle name="Normal 12 6 2 3 3 2" xfId="49302" xr:uid="{00000000-0005-0000-0000-0000A0180000}"/>
    <cellStyle name="Normal 12 6 2 3 3 3" xfId="33202" xr:uid="{00000000-0005-0000-0000-0000A1180000}"/>
    <cellStyle name="Normal 12 6 2 3 3 4" xfId="23633" xr:uid="{00000000-0005-0000-0000-0000A2180000}"/>
    <cellStyle name="Normal 12 6 2 3 4" xfId="4956" xr:uid="{00000000-0005-0000-0000-0000A3180000}"/>
    <cellStyle name="Normal 12 6 2 3 4 2" xfId="52797" xr:uid="{00000000-0005-0000-0000-0000A4180000}"/>
    <cellStyle name="Normal 12 6 2 3 4 3" xfId="36697" xr:uid="{00000000-0005-0000-0000-0000A5180000}"/>
    <cellStyle name="Normal 12 6 2 3 4 4" xfId="17561" xr:uid="{00000000-0005-0000-0000-0000A6180000}"/>
    <cellStyle name="Normal 12 6 2 3 5" xfId="43230" xr:uid="{00000000-0005-0000-0000-0000A7180000}"/>
    <cellStyle name="Normal 12 6 2 3 6" xfId="27130" xr:uid="{00000000-0005-0000-0000-0000A8180000}"/>
    <cellStyle name="Normal 12 6 2 3 7" xfId="14066" xr:uid="{00000000-0005-0000-0000-0000A9180000}"/>
    <cellStyle name="Normal 12 6 2 4" xfId="3946" xr:uid="{00000000-0005-0000-0000-0000AA180000}"/>
    <cellStyle name="Normal 12 6 2 4 2" xfId="35687" xr:uid="{00000000-0005-0000-0000-0000AB180000}"/>
    <cellStyle name="Normal 12 6 2 4 2 2" xfId="51787" xr:uid="{00000000-0005-0000-0000-0000AC180000}"/>
    <cellStyle name="Normal 12 6 2 4 3" xfId="42220" xr:uid="{00000000-0005-0000-0000-0000AD180000}"/>
    <cellStyle name="Normal 12 6 2 4 4" xfId="26120" xr:uid="{00000000-0005-0000-0000-0000AE180000}"/>
    <cellStyle name="Normal 12 6 2 4 5" xfId="16551" xr:uid="{00000000-0005-0000-0000-0000AF180000}"/>
    <cellStyle name="Normal 12 6 2 5" xfId="6982" xr:uid="{00000000-0005-0000-0000-0000B0180000}"/>
    <cellStyle name="Normal 12 6 2 5 2" xfId="38723" xr:uid="{00000000-0005-0000-0000-0000B1180000}"/>
    <cellStyle name="Normal 12 6 2 5 2 2" xfId="54823" xr:uid="{00000000-0005-0000-0000-0000B2180000}"/>
    <cellStyle name="Normal 12 6 2 5 3" xfId="45256" xr:uid="{00000000-0005-0000-0000-0000B3180000}"/>
    <cellStyle name="Normal 12 6 2 5 4" xfId="29156" xr:uid="{00000000-0005-0000-0000-0000B4180000}"/>
    <cellStyle name="Normal 12 6 2 5 5" xfId="19587" xr:uid="{00000000-0005-0000-0000-0000B5180000}"/>
    <cellStyle name="Normal 12 6 2 6" xfId="10018" xr:uid="{00000000-0005-0000-0000-0000B6180000}"/>
    <cellStyle name="Normal 12 6 2 6 2" xfId="48292" xr:uid="{00000000-0005-0000-0000-0000B7180000}"/>
    <cellStyle name="Normal 12 6 2 6 3" xfId="32192" xr:uid="{00000000-0005-0000-0000-0000B8180000}"/>
    <cellStyle name="Normal 12 6 2 6 4" xfId="22623" xr:uid="{00000000-0005-0000-0000-0000B9180000}"/>
    <cellStyle name="Normal 12 6 2 7" xfId="3458" xr:uid="{00000000-0005-0000-0000-0000BA180000}"/>
    <cellStyle name="Normal 12 6 2 7 2" xfId="51299" xr:uid="{00000000-0005-0000-0000-0000BB180000}"/>
    <cellStyle name="Normal 12 6 2 7 3" xfId="35199" xr:uid="{00000000-0005-0000-0000-0000BC180000}"/>
    <cellStyle name="Normal 12 6 2 7 4" xfId="16063" xr:uid="{00000000-0005-0000-0000-0000BD180000}"/>
    <cellStyle name="Normal 12 6 2 8" xfId="41732" xr:uid="{00000000-0005-0000-0000-0000BE180000}"/>
    <cellStyle name="Normal 12 6 2 9" xfId="25632" xr:uid="{00000000-0005-0000-0000-0000BF180000}"/>
    <cellStyle name="Normal 12 6 3" xfId="865" xr:uid="{00000000-0005-0000-0000-0000C0180000}"/>
    <cellStyle name="Normal 12 6 3 2" xfId="2893" xr:uid="{00000000-0005-0000-0000-0000C1180000}"/>
    <cellStyle name="Normal 12 6 3 2 2" xfId="9425" xr:uid="{00000000-0005-0000-0000-0000C2180000}"/>
    <cellStyle name="Normal 12 6 3 2 2 2" xfId="41166" xr:uid="{00000000-0005-0000-0000-0000C3180000}"/>
    <cellStyle name="Normal 12 6 3 2 2 2 2" xfId="57266" xr:uid="{00000000-0005-0000-0000-0000C4180000}"/>
    <cellStyle name="Normal 12 6 3 2 2 3" xfId="47699" xr:uid="{00000000-0005-0000-0000-0000C5180000}"/>
    <cellStyle name="Normal 12 6 3 2 2 4" xfId="31599" xr:uid="{00000000-0005-0000-0000-0000C6180000}"/>
    <cellStyle name="Normal 12 6 3 2 2 5" xfId="22030" xr:uid="{00000000-0005-0000-0000-0000C7180000}"/>
    <cellStyle name="Normal 12 6 3 2 3" xfId="12461" xr:uid="{00000000-0005-0000-0000-0000C8180000}"/>
    <cellStyle name="Normal 12 6 3 2 3 2" xfId="50735" xr:uid="{00000000-0005-0000-0000-0000C9180000}"/>
    <cellStyle name="Normal 12 6 3 2 3 3" xfId="34635" xr:uid="{00000000-0005-0000-0000-0000CA180000}"/>
    <cellStyle name="Normal 12 6 3 2 3 4" xfId="25066" xr:uid="{00000000-0005-0000-0000-0000CB180000}"/>
    <cellStyle name="Normal 12 6 3 2 4" xfId="6389" xr:uid="{00000000-0005-0000-0000-0000CC180000}"/>
    <cellStyle name="Normal 12 6 3 2 4 2" xfId="54230" xr:uid="{00000000-0005-0000-0000-0000CD180000}"/>
    <cellStyle name="Normal 12 6 3 2 4 3" xfId="38130" xr:uid="{00000000-0005-0000-0000-0000CE180000}"/>
    <cellStyle name="Normal 12 6 3 2 4 4" xfId="18994" xr:uid="{00000000-0005-0000-0000-0000CF180000}"/>
    <cellStyle name="Normal 12 6 3 2 5" xfId="44663" xr:uid="{00000000-0005-0000-0000-0000D0180000}"/>
    <cellStyle name="Normal 12 6 3 2 6" xfId="28563" xr:uid="{00000000-0005-0000-0000-0000D1180000}"/>
    <cellStyle name="Normal 12 6 3 2 7" xfId="15499" xr:uid="{00000000-0005-0000-0000-0000D2180000}"/>
    <cellStyle name="Normal 12 6 3 3" xfId="1875" xr:uid="{00000000-0005-0000-0000-0000D3180000}"/>
    <cellStyle name="Normal 12 6 3 3 2" xfId="8409" xr:uid="{00000000-0005-0000-0000-0000D4180000}"/>
    <cellStyle name="Normal 12 6 3 3 2 2" xfId="40150" xr:uid="{00000000-0005-0000-0000-0000D5180000}"/>
    <cellStyle name="Normal 12 6 3 3 2 2 2" xfId="56250" xr:uid="{00000000-0005-0000-0000-0000D6180000}"/>
    <cellStyle name="Normal 12 6 3 3 2 3" xfId="46683" xr:uid="{00000000-0005-0000-0000-0000D7180000}"/>
    <cellStyle name="Normal 12 6 3 3 2 4" xfId="30583" xr:uid="{00000000-0005-0000-0000-0000D8180000}"/>
    <cellStyle name="Normal 12 6 3 3 2 5" xfId="21014" xr:uid="{00000000-0005-0000-0000-0000D9180000}"/>
    <cellStyle name="Normal 12 6 3 3 3" xfId="11445" xr:uid="{00000000-0005-0000-0000-0000DA180000}"/>
    <cellStyle name="Normal 12 6 3 3 3 2" xfId="49719" xr:uid="{00000000-0005-0000-0000-0000DB180000}"/>
    <cellStyle name="Normal 12 6 3 3 3 3" xfId="33619" xr:uid="{00000000-0005-0000-0000-0000DC180000}"/>
    <cellStyle name="Normal 12 6 3 3 3 4" xfId="24050" xr:uid="{00000000-0005-0000-0000-0000DD180000}"/>
    <cellStyle name="Normal 12 6 3 3 4" xfId="5373" xr:uid="{00000000-0005-0000-0000-0000DE180000}"/>
    <cellStyle name="Normal 12 6 3 3 4 2" xfId="53214" xr:uid="{00000000-0005-0000-0000-0000DF180000}"/>
    <cellStyle name="Normal 12 6 3 3 4 3" xfId="37114" xr:uid="{00000000-0005-0000-0000-0000E0180000}"/>
    <cellStyle name="Normal 12 6 3 3 4 4" xfId="17978" xr:uid="{00000000-0005-0000-0000-0000E1180000}"/>
    <cellStyle name="Normal 12 6 3 3 5" xfId="43647" xr:uid="{00000000-0005-0000-0000-0000E2180000}"/>
    <cellStyle name="Normal 12 6 3 3 6" xfId="27547" xr:uid="{00000000-0005-0000-0000-0000E3180000}"/>
    <cellStyle name="Normal 12 6 3 3 7" xfId="14483" xr:uid="{00000000-0005-0000-0000-0000E4180000}"/>
    <cellStyle name="Normal 12 6 3 4" xfId="7399" xr:uid="{00000000-0005-0000-0000-0000E5180000}"/>
    <cellStyle name="Normal 12 6 3 4 2" xfId="39140" xr:uid="{00000000-0005-0000-0000-0000E6180000}"/>
    <cellStyle name="Normal 12 6 3 4 2 2" xfId="55240" xr:uid="{00000000-0005-0000-0000-0000E7180000}"/>
    <cellStyle name="Normal 12 6 3 4 3" xfId="45673" xr:uid="{00000000-0005-0000-0000-0000E8180000}"/>
    <cellStyle name="Normal 12 6 3 4 4" xfId="29573" xr:uid="{00000000-0005-0000-0000-0000E9180000}"/>
    <cellStyle name="Normal 12 6 3 4 5" xfId="20004" xr:uid="{00000000-0005-0000-0000-0000EA180000}"/>
    <cellStyle name="Normal 12 6 3 5" xfId="10435" xr:uid="{00000000-0005-0000-0000-0000EB180000}"/>
    <cellStyle name="Normal 12 6 3 5 2" xfId="48709" xr:uid="{00000000-0005-0000-0000-0000EC180000}"/>
    <cellStyle name="Normal 12 6 3 5 3" xfId="32609" xr:uid="{00000000-0005-0000-0000-0000ED180000}"/>
    <cellStyle name="Normal 12 6 3 5 4" xfId="23040" xr:uid="{00000000-0005-0000-0000-0000EE180000}"/>
    <cellStyle name="Normal 12 6 3 6" xfId="4363" xr:uid="{00000000-0005-0000-0000-0000EF180000}"/>
    <cellStyle name="Normal 12 6 3 6 2" xfId="52204" xr:uid="{00000000-0005-0000-0000-0000F0180000}"/>
    <cellStyle name="Normal 12 6 3 6 3" xfId="36104" xr:uid="{00000000-0005-0000-0000-0000F1180000}"/>
    <cellStyle name="Normal 12 6 3 6 4" xfId="16968" xr:uid="{00000000-0005-0000-0000-0000F2180000}"/>
    <cellStyle name="Normal 12 6 3 7" xfId="42637" xr:uid="{00000000-0005-0000-0000-0000F3180000}"/>
    <cellStyle name="Normal 12 6 3 8" xfId="26537" xr:uid="{00000000-0005-0000-0000-0000F4180000}"/>
    <cellStyle name="Normal 12 6 3 9" xfId="13473" xr:uid="{00000000-0005-0000-0000-0000F5180000}"/>
    <cellStyle name="Normal 12 6 4" xfId="2246" xr:uid="{00000000-0005-0000-0000-0000F6180000}"/>
    <cellStyle name="Normal 12 6 4 2" xfId="8780" xr:uid="{00000000-0005-0000-0000-0000F7180000}"/>
    <cellStyle name="Normal 12 6 4 2 2" xfId="40521" xr:uid="{00000000-0005-0000-0000-0000F8180000}"/>
    <cellStyle name="Normal 12 6 4 2 2 2" xfId="56621" xr:uid="{00000000-0005-0000-0000-0000F9180000}"/>
    <cellStyle name="Normal 12 6 4 2 3" xfId="47054" xr:uid="{00000000-0005-0000-0000-0000FA180000}"/>
    <cellStyle name="Normal 12 6 4 2 4" xfId="30954" xr:uid="{00000000-0005-0000-0000-0000FB180000}"/>
    <cellStyle name="Normal 12 6 4 2 5" xfId="21385" xr:uid="{00000000-0005-0000-0000-0000FC180000}"/>
    <cellStyle name="Normal 12 6 4 3" xfId="11816" xr:uid="{00000000-0005-0000-0000-0000FD180000}"/>
    <cellStyle name="Normal 12 6 4 3 2" xfId="50090" xr:uid="{00000000-0005-0000-0000-0000FE180000}"/>
    <cellStyle name="Normal 12 6 4 3 3" xfId="33990" xr:uid="{00000000-0005-0000-0000-0000FF180000}"/>
    <cellStyle name="Normal 12 6 4 3 4" xfId="24421" xr:uid="{00000000-0005-0000-0000-000000190000}"/>
    <cellStyle name="Normal 12 6 4 4" xfId="5744" xr:uid="{00000000-0005-0000-0000-000001190000}"/>
    <cellStyle name="Normal 12 6 4 4 2" xfId="53585" xr:uid="{00000000-0005-0000-0000-000002190000}"/>
    <cellStyle name="Normal 12 6 4 4 3" xfId="37485" xr:uid="{00000000-0005-0000-0000-000003190000}"/>
    <cellStyle name="Normal 12 6 4 4 4" xfId="18349" xr:uid="{00000000-0005-0000-0000-000004190000}"/>
    <cellStyle name="Normal 12 6 4 5" xfId="44018" xr:uid="{00000000-0005-0000-0000-000005190000}"/>
    <cellStyle name="Normal 12 6 4 6" xfId="27918" xr:uid="{00000000-0005-0000-0000-000006190000}"/>
    <cellStyle name="Normal 12 6 4 7" xfId="14854" xr:uid="{00000000-0005-0000-0000-000007190000}"/>
    <cellStyle name="Normal 12 6 5" xfId="1192" xr:uid="{00000000-0005-0000-0000-000008190000}"/>
    <cellStyle name="Normal 12 6 5 2" xfId="7726" xr:uid="{00000000-0005-0000-0000-000009190000}"/>
    <cellStyle name="Normal 12 6 5 2 2" xfId="39467" xr:uid="{00000000-0005-0000-0000-00000A190000}"/>
    <cellStyle name="Normal 12 6 5 2 2 2" xfId="55567" xr:uid="{00000000-0005-0000-0000-00000B190000}"/>
    <cellStyle name="Normal 12 6 5 2 3" xfId="46000" xr:uid="{00000000-0005-0000-0000-00000C190000}"/>
    <cellStyle name="Normal 12 6 5 2 4" xfId="29900" xr:uid="{00000000-0005-0000-0000-00000D190000}"/>
    <cellStyle name="Normal 12 6 5 2 5" xfId="20331" xr:uid="{00000000-0005-0000-0000-00000E190000}"/>
    <cellStyle name="Normal 12 6 5 3" xfId="10762" xr:uid="{00000000-0005-0000-0000-00000F190000}"/>
    <cellStyle name="Normal 12 6 5 3 2" xfId="49036" xr:uid="{00000000-0005-0000-0000-000010190000}"/>
    <cellStyle name="Normal 12 6 5 3 3" xfId="32936" xr:uid="{00000000-0005-0000-0000-000011190000}"/>
    <cellStyle name="Normal 12 6 5 3 4" xfId="23367" xr:uid="{00000000-0005-0000-0000-000012190000}"/>
    <cellStyle name="Normal 12 6 5 4" xfId="4690" xr:uid="{00000000-0005-0000-0000-000013190000}"/>
    <cellStyle name="Normal 12 6 5 4 2" xfId="52531" xr:uid="{00000000-0005-0000-0000-000014190000}"/>
    <cellStyle name="Normal 12 6 5 4 3" xfId="36431" xr:uid="{00000000-0005-0000-0000-000015190000}"/>
    <cellStyle name="Normal 12 6 5 4 4" xfId="17295" xr:uid="{00000000-0005-0000-0000-000016190000}"/>
    <cellStyle name="Normal 12 6 5 5" xfId="42964" xr:uid="{00000000-0005-0000-0000-000017190000}"/>
    <cellStyle name="Normal 12 6 5 6" xfId="26864" xr:uid="{00000000-0005-0000-0000-000018190000}"/>
    <cellStyle name="Normal 12 6 5 7" xfId="13800" xr:uid="{00000000-0005-0000-0000-000019190000}"/>
    <cellStyle name="Normal 12 6 6" xfId="3680" xr:uid="{00000000-0005-0000-0000-00001A190000}"/>
    <cellStyle name="Normal 12 6 6 2" xfId="35421" xr:uid="{00000000-0005-0000-0000-00001B190000}"/>
    <cellStyle name="Normal 12 6 6 2 2" xfId="51521" xr:uid="{00000000-0005-0000-0000-00001C190000}"/>
    <cellStyle name="Normal 12 6 6 3" xfId="41954" xr:uid="{00000000-0005-0000-0000-00001D190000}"/>
    <cellStyle name="Normal 12 6 6 4" xfId="25854" xr:uid="{00000000-0005-0000-0000-00001E190000}"/>
    <cellStyle name="Normal 12 6 6 5" xfId="16285" xr:uid="{00000000-0005-0000-0000-00001F190000}"/>
    <cellStyle name="Normal 12 6 7" xfId="6716" xr:uid="{00000000-0005-0000-0000-000020190000}"/>
    <cellStyle name="Normal 12 6 7 2" xfId="38457" xr:uid="{00000000-0005-0000-0000-000021190000}"/>
    <cellStyle name="Normal 12 6 7 2 2" xfId="54557" xr:uid="{00000000-0005-0000-0000-000022190000}"/>
    <cellStyle name="Normal 12 6 7 3" xfId="44990" xr:uid="{00000000-0005-0000-0000-000023190000}"/>
    <cellStyle name="Normal 12 6 7 4" xfId="28890" xr:uid="{00000000-0005-0000-0000-000024190000}"/>
    <cellStyle name="Normal 12 6 7 5" xfId="19321" xr:uid="{00000000-0005-0000-0000-000025190000}"/>
    <cellStyle name="Normal 12 6 8" xfId="9752" xr:uid="{00000000-0005-0000-0000-000026190000}"/>
    <cellStyle name="Normal 12 6 8 2" xfId="48026" xr:uid="{00000000-0005-0000-0000-000027190000}"/>
    <cellStyle name="Normal 12 6 8 3" xfId="31926" xr:uid="{00000000-0005-0000-0000-000028190000}"/>
    <cellStyle name="Normal 12 6 8 4" xfId="22357" xr:uid="{00000000-0005-0000-0000-000029190000}"/>
    <cellStyle name="Normal 12 6 9" xfId="3220" xr:uid="{00000000-0005-0000-0000-00002A190000}"/>
    <cellStyle name="Normal 12 6 9 2" xfId="51062" xr:uid="{00000000-0005-0000-0000-00002B190000}"/>
    <cellStyle name="Normal 12 6 9 3" xfId="34962" xr:uid="{00000000-0005-0000-0000-00002C190000}"/>
    <cellStyle name="Normal 12 6 9 4" xfId="15826" xr:uid="{00000000-0005-0000-0000-00002D190000}"/>
    <cellStyle name="Normal 12 7" xfId="44" xr:uid="{00000000-0005-0000-0000-00002E190000}"/>
    <cellStyle name="Normal 12 7 10" xfId="41512" xr:uid="{00000000-0005-0000-0000-00002F190000}"/>
    <cellStyle name="Normal 12 7 11" xfId="25412" xr:uid="{00000000-0005-0000-0000-000030190000}"/>
    <cellStyle name="Normal 12 7 12" xfId="12807" xr:uid="{00000000-0005-0000-0000-000031190000}"/>
    <cellStyle name="Normal 12 7 2" xfId="882" xr:uid="{00000000-0005-0000-0000-000032190000}"/>
    <cellStyle name="Normal 12 7 2 10" xfId="13490" xr:uid="{00000000-0005-0000-0000-000033190000}"/>
    <cellStyle name="Normal 12 7 2 2" xfId="2910" xr:uid="{00000000-0005-0000-0000-000034190000}"/>
    <cellStyle name="Normal 12 7 2 2 2" xfId="9442" xr:uid="{00000000-0005-0000-0000-000035190000}"/>
    <cellStyle name="Normal 12 7 2 2 2 2" xfId="41183" xr:uid="{00000000-0005-0000-0000-000036190000}"/>
    <cellStyle name="Normal 12 7 2 2 2 2 2" xfId="57283" xr:uid="{00000000-0005-0000-0000-000037190000}"/>
    <cellStyle name="Normal 12 7 2 2 2 3" xfId="47716" xr:uid="{00000000-0005-0000-0000-000038190000}"/>
    <cellStyle name="Normal 12 7 2 2 2 4" xfId="31616" xr:uid="{00000000-0005-0000-0000-000039190000}"/>
    <cellStyle name="Normal 12 7 2 2 2 5" xfId="22047" xr:uid="{00000000-0005-0000-0000-00003A190000}"/>
    <cellStyle name="Normal 12 7 2 2 3" xfId="12478" xr:uid="{00000000-0005-0000-0000-00003B190000}"/>
    <cellStyle name="Normal 12 7 2 2 3 2" xfId="50752" xr:uid="{00000000-0005-0000-0000-00003C190000}"/>
    <cellStyle name="Normal 12 7 2 2 3 3" xfId="34652" xr:uid="{00000000-0005-0000-0000-00003D190000}"/>
    <cellStyle name="Normal 12 7 2 2 3 4" xfId="25083" xr:uid="{00000000-0005-0000-0000-00003E190000}"/>
    <cellStyle name="Normal 12 7 2 2 4" xfId="6406" xr:uid="{00000000-0005-0000-0000-00003F190000}"/>
    <cellStyle name="Normal 12 7 2 2 4 2" xfId="54247" xr:uid="{00000000-0005-0000-0000-000040190000}"/>
    <cellStyle name="Normal 12 7 2 2 4 3" xfId="38147" xr:uid="{00000000-0005-0000-0000-000041190000}"/>
    <cellStyle name="Normal 12 7 2 2 4 4" xfId="19011" xr:uid="{00000000-0005-0000-0000-000042190000}"/>
    <cellStyle name="Normal 12 7 2 2 5" xfId="44680" xr:uid="{00000000-0005-0000-0000-000043190000}"/>
    <cellStyle name="Normal 12 7 2 2 6" xfId="28580" xr:uid="{00000000-0005-0000-0000-000044190000}"/>
    <cellStyle name="Normal 12 7 2 2 7" xfId="15516" xr:uid="{00000000-0005-0000-0000-000045190000}"/>
    <cellStyle name="Normal 12 7 2 3" xfId="1892" xr:uid="{00000000-0005-0000-0000-000046190000}"/>
    <cellStyle name="Normal 12 7 2 3 2" xfId="8426" xr:uid="{00000000-0005-0000-0000-000047190000}"/>
    <cellStyle name="Normal 12 7 2 3 2 2" xfId="40167" xr:uid="{00000000-0005-0000-0000-000048190000}"/>
    <cellStyle name="Normal 12 7 2 3 2 2 2" xfId="56267" xr:uid="{00000000-0005-0000-0000-000049190000}"/>
    <cellStyle name="Normal 12 7 2 3 2 3" xfId="46700" xr:uid="{00000000-0005-0000-0000-00004A190000}"/>
    <cellStyle name="Normal 12 7 2 3 2 4" xfId="30600" xr:uid="{00000000-0005-0000-0000-00004B190000}"/>
    <cellStyle name="Normal 12 7 2 3 2 5" xfId="21031" xr:uid="{00000000-0005-0000-0000-00004C190000}"/>
    <cellStyle name="Normal 12 7 2 3 3" xfId="11462" xr:uid="{00000000-0005-0000-0000-00004D190000}"/>
    <cellStyle name="Normal 12 7 2 3 3 2" xfId="49736" xr:uid="{00000000-0005-0000-0000-00004E190000}"/>
    <cellStyle name="Normal 12 7 2 3 3 3" xfId="33636" xr:uid="{00000000-0005-0000-0000-00004F190000}"/>
    <cellStyle name="Normal 12 7 2 3 3 4" xfId="24067" xr:uid="{00000000-0005-0000-0000-000050190000}"/>
    <cellStyle name="Normal 12 7 2 3 4" xfId="5390" xr:uid="{00000000-0005-0000-0000-000051190000}"/>
    <cellStyle name="Normal 12 7 2 3 4 2" xfId="53231" xr:uid="{00000000-0005-0000-0000-000052190000}"/>
    <cellStyle name="Normal 12 7 2 3 4 3" xfId="37131" xr:uid="{00000000-0005-0000-0000-000053190000}"/>
    <cellStyle name="Normal 12 7 2 3 4 4" xfId="17995" xr:uid="{00000000-0005-0000-0000-000054190000}"/>
    <cellStyle name="Normal 12 7 2 3 5" xfId="43664" xr:uid="{00000000-0005-0000-0000-000055190000}"/>
    <cellStyle name="Normal 12 7 2 3 6" xfId="27564" xr:uid="{00000000-0005-0000-0000-000056190000}"/>
    <cellStyle name="Normal 12 7 2 3 7" xfId="14500" xr:uid="{00000000-0005-0000-0000-000057190000}"/>
    <cellStyle name="Normal 12 7 2 4" xfId="4380" xr:uid="{00000000-0005-0000-0000-000058190000}"/>
    <cellStyle name="Normal 12 7 2 4 2" xfId="36121" xr:uid="{00000000-0005-0000-0000-000059190000}"/>
    <cellStyle name="Normal 12 7 2 4 2 2" xfId="52221" xr:uid="{00000000-0005-0000-0000-00005A190000}"/>
    <cellStyle name="Normal 12 7 2 4 3" xfId="42654" xr:uid="{00000000-0005-0000-0000-00005B190000}"/>
    <cellStyle name="Normal 12 7 2 4 4" xfId="26554" xr:uid="{00000000-0005-0000-0000-00005C190000}"/>
    <cellStyle name="Normal 12 7 2 4 5" xfId="16985" xr:uid="{00000000-0005-0000-0000-00005D190000}"/>
    <cellStyle name="Normal 12 7 2 5" xfId="7416" xr:uid="{00000000-0005-0000-0000-00005E190000}"/>
    <cellStyle name="Normal 12 7 2 5 2" xfId="39157" xr:uid="{00000000-0005-0000-0000-00005F190000}"/>
    <cellStyle name="Normal 12 7 2 5 2 2" xfId="55257" xr:uid="{00000000-0005-0000-0000-000060190000}"/>
    <cellStyle name="Normal 12 7 2 5 3" xfId="45690" xr:uid="{00000000-0005-0000-0000-000061190000}"/>
    <cellStyle name="Normal 12 7 2 5 4" xfId="29590" xr:uid="{00000000-0005-0000-0000-000062190000}"/>
    <cellStyle name="Normal 12 7 2 5 5" xfId="20021" xr:uid="{00000000-0005-0000-0000-000063190000}"/>
    <cellStyle name="Normal 12 7 2 6" xfId="10452" xr:uid="{00000000-0005-0000-0000-000064190000}"/>
    <cellStyle name="Normal 12 7 2 6 2" xfId="48726" xr:uid="{00000000-0005-0000-0000-000065190000}"/>
    <cellStyle name="Normal 12 7 2 6 3" xfId="32626" xr:uid="{00000000-0005-0000-0000-000066190000}"/>
    <cellStyle name="Normal 12 7 2 6 4" xfId="23057" xr:uid="{00000000-0005-0000-0000-000067190000}"/>
    <cellStyle name="Normal 12 7 2 7" xfId="3475" xr:uid="{00000000-0005-0000-0000-000068190000}"/>
    <cellStyle name="Normal 12 7 2 7 2" xfId="51316" xr:uid="{00000000-0005-0000-0000-000069190000}"/>
    <cellStyle name="Normal 12 7 2 7 3" xfId="35216" xr:uid="{00000000-0005-0000-0000-00006A190000}"/>
    <cellStyle name="Normal 12 7 2 7 4" xfId="16080" xr:uid="{00000000-0005-0000-0000-00006B190000}"/>
    <cellStyle name="Normal 12 7 2 8" xfId="41749" xr:uid="{00000000-0005-0000-0000-00006C190000}"/>
    <cellStyle name="Normal 12 7 2 9" xfId="25649" xr:uid="{00000000-0005-0000-0000-00006D190000}"/>
    <cellStyle name="Normal 12 7 3" xfId="660" xr:uid="{00000000-0005-0000-0000-00006E190000}"/>
    <cellStyle name="Normal 12 7 3 2" xfId="2688" xr:uid="{00000000-0005-0000-0000-00006F190000}"/>
    <cellStyle name="Normal 12 7 3 2 2" xfId="9220" xr:uid="{00000000-0005-0000-0000-000070190000}"/>
    <cellStyle name="Normal 12 7 3 2 2 2" xfId="40961" xr:uid="{00000000-0005-0000-0000-000071190000}"/>
    <cellStyle name="Normal 12 7 3 2 2 2 2" xfId="57061" xr:uid="{00000000-0005-0000-0000-000072190000}"/>
    <cellStyle name="Normal 12 7 3 2 2 3" xfId="47494" xr:uid="{00000000-0005-0000-0000-000073190000}"/>
    <cellStyle name="Normal 12 7 3 2 2 4" xfId="31394" xr:uid="{00000000-0005-0000-0000-000074190000}"/>
    <cellStyle name="Normal 12 7 3 2 2 5" xfId="21825" xr:uid="{00000000-0005-0000-0000-000075190000}"/>
    <cellStyle name="Normal 12 7 3 2 3" xfId="12256" xr:uid="{00000000-0005-0000-0000-000076190000}"/>
    <cellStyle name="Normal 12 7 3 2 3 2" xfId="50530" xr:uid="{00000000-0005-0000-0000-000077190000}"/>
    <cellStyle name="Normal 12 7 3 2 3 3" xfId="34430" xr:uid="{00000000-0005-0000-0000-000078190000}"/>
    <cellStyle name="Normal 12 7 3 2 3 4" xfId="24861" xr:uid="{00000000-0005-0000-0000-000079190000}"/>
    <cellStyle name="Normal 12 7 3 2 4" xfId="6184" xr:uid="{00000000-0005-0000-0000-00007A190000}"/>
    <cellStyle name="Normal 12 7 3 2 4 2" xfId="54025" xr:uid="{00000000-0005-0000-0000-00007B190000}"/>
    <cellStyle name="Normal 12 7 3 2 4 3" xfId="37925" xr:uid="{00000000-0005-0000-0000-00007C190000}"/>
    <cellStyle name="Normal 12 7 3 2 4 4" xfId="18789" xr:uid="{00000000-0005-0000-0000-00007D190000}"/>
    <cellStyle name="Normal 12 7 3 2 5" xfId="44458" xr:uid="{00000000-0005-0000-0000-00007E190000}"/>
    <cellStyle name="Normal 12 7 3 2 6" xfId="28358" xr:uid="{00000000-0005-0000-0000-00007F190000}"/>
    <cellStyle name="Normal 12 7 3 2 7" xfId="15294" xr:uid="{00000000-0005-0000-0000-000080190000}"/>
    <cellStyle name="Normal 12 7 3 3" xfId="1670" xr:uid="{00000000-0005-0000-0000-000081190000}"/>
    <cellStyle name="Normal 12 7 3 3 2" xfId="8204" xr:uid="{00000000-0005-0000-0000-000082190000}"/>
    <cellStyle name="Normal 12 7 3 3 2 2" xfId="39945" xr:uid="{00000000-0005-0000-0000-000083190000}"/>
    <cellStyle name="Normal 12 7 3 3 2 2 2" xfId="56045" xr:uid="{00000000-0005-0000-0000-000084190000}"/>
    <cellStyle name="Normal 12 7 3 3 2 3" xfId="46478" xr:uid="{00000000-0005-0000-0000-000085190000}"/>
    <cellStyle name="Normal 12 7 3 3 2 4" xfId="30378" xr:uid="{00000000-0005-0000-0000-000086190000}"/>
    <cellStyle name="Normal 12 7 3 3 2 5" xfId="20809" xr:uid="{00000000-0005-0000-0000-000087190000}"/>
    <cellStyle name="Normal 12 7 3 3 3" xfId="11240" xr:uid="{00000000-0005-0000-0000-000088190000}"/>
    <cellStyle name="Normal 12 7 3 3 3 2" xfId="49514" xr:uid="{00000000-0005-0000-0000-000089190000}"/>
    <cellStyle name="Normal 12 7 3 3 3 3" xfId="33414" xr:uid="{00000000-0005-0000-0000-00008A190000}"/>
    <cellStyle name="Normal 12 7 3 3 3 4" xfId="23845" xr:uid="{00000000-0005-0000-0000-00008B190000}"/>
    <cellStyle name="Normal 12 7 3 3 4" xfId="5168" xr:uid="{00000000-0005-0000-0000-00008C190000}"/>
    <cellStyle name="Normal 12 7 3 3 4 2" xfId="53009" xr:uid="{00000000-0005-0000-0000-00008D190000}"/>
    <cellStyle name="Normal 12 7 3 3 4 3" xfId="36909" xr:uid="{00000000-0005-0000-0000-00008E190000}"/>
    <cellStyle name="Normal 12 7 3 3 4 4" xfId="17773" xr:uid="{00000000-0005-0000-0000-00008F190000}"/>
    <cellStyle name="Normal 12 7 3 3 5" xfId="43442" xr:uid="{00000000-0005-0000-0000-000090190000}"/>
    <cellStyle name="Normal 12 7 3 3 6" xfId="27342" xr:uid="{00000000-0005-0000-0000-000091190000}"/>
    <cellStyle name="Normal 12 7 3 3 7" xfId="14278" xr:uid="{00000000-0005-0000-0000-000092190000}"/>
    <cellStyle name="Normal 12 7 3 4" xfId="7194" xr:uid="{00000000-0005-0000-0000-000093190000}"/>
    <cellStyle name="Normal 12 7 3 4 2" xfId="38935" xr:uid="{00000000-0005-0000-0000-000094190000}"/>
    <cellStyle name="Normal 12 7 3 4 2 2" xfId="55035" xr:uid="{00000000-0005-0000-0000-000095190000}"/>
    <cellStyle name="Normal 12 7 3 4 3" xfId="45468" xr:uid="{00000000-0005-0000-0000-000096190000}"/>
    <cellStyle name="Normal 12 7 3 4 4" xfId="29368" xr:uid="{00000000-0005-0000-0000-000097190000}"/>
    <cellStyle name="Normal 12 7 3 4 5" xfId="19799" xr:uid="{00000000-0005-0000-0000-000098190000}"/>
    <cellStyle name="Normal 12 7 3 5" xfId="10230" xr:uid="{00000000-0005-0000-0000-000099190000}"/>
    <cellStyle name="Normal 12 7 3 5 2" xfId="48504" xr:uid="{00000000-0005-0000-0000-00009A190000}"/>
    <cellStyle name="Normal 12 7 3 5 3" xfId="32404" xr:uid="{00000000-0005-0000-0000-00009B190000}"/>
    <cellStyle name="Normal 12 7 3 5 4" xfId="22835" xr:uid="{00000000-0005-0000-0000-00009C190000}"/>
    <cellStyle name="Normal 12 7 3 6" xfId="4158" xr:uid="{00000000-0005-0000-0000-00009D190000}"/>
    <cellStyle name="Normal 12 7 3 6 2" xfId="51999" xr:uid="{00000000-0005-0000-0000-00009E190000}"/>
    <cellStyle name="Normal 12 7 3 6 3" xfId="35899" xr:uid="{00000000-0005-0000-0000-00009F190000}"/>
    <cellStyle name="Normal 12 7 3 6 4" xfId="16763" xr:uid="{00000000-0005-0000-0000-0000A0190000}"/>
    <cellStyle name="Normal 12 7 3 7" xfId="42432" xr:uid="{00000000-0005-0000-0000-0000A1190000}"/>
    <cellStyle name="Normal 12 7 3 8" xfId="26332" xr:uid="{00000000-0005-0000-0000-0000A2190000}"/>
    <cellStyle name="Normal 12 7 3 9" xfId="13268" xr:uid="{00000000-0005-0000-0000-0000A3190000}"/>
    <cellStyle name="Normal 12 7 4" xfId="2460" xr:uid="{00000000-0005-0000-0000-0000A4190000}"/>
    <cellStyle name="Normal 12 7 4 2" xfId="8992" xr:uid="{00000000-0005-0000-0000-0000A5190000}"/>
    <cellStyle name="Normal 12 7 4 2 2" xfId="40733" xr:uid="{00000000-0005-0000-0000-0000A6190000}"/>
    <cellStyle name="Normal 12 7 4 2 2 2" xfId="56833" xr:uid="{00000000-0005-0000-0000-0000A7190000}"/>
    <cellStyle name="Normal 12 7 4 2 3" xfId="47266" xr:uid="{00000000-0005-0000-0000-0000A8190000}"/>
    <cellStyle name="Normal 12 7 4 2 4" xfId="31166" xr:uid="{00000000-0005-0000-0000-0000A9190000}"/>
    <cellStyle name="Normal 12 7 4 2 5" xfId="21597" xr:uid="{00000000-0005-0000-0000-0000AA190000}"/>
    <cellStyle name="Normal 12 7 4 3" xfId="12028" xr:uid="{00000000-0005-0000-0000-0000AB190000}"/>
    <cellStyle name="Normal 12 7 4 3 2" xfId="50302" xr:uid="{00000000-0005-0000-0000-0000AC190000}"/>
    <cellStyle name="Normal 12 7 4 3 3" xfId="34202" xr:uid="{00000000-0005-0000-0000-0000AD190000}"/>
    <cellStyle name="Normal 12 7 4 3 4" xfId="24633" xr:uid="{00000000-0005-0000-0000-0000AE190000}"/>
    <cellStyle name="Normal 12 7 4 4" xfId="5956" xr:uid="{00000000-0005-0000-0000-0000AF190000}"/>
    <cellStyle name="Normal 12 7 4 4 2" xfId="53797" xr:uid="{00000000-0005-0000-0000-0000B0190000}"/>
    <cellStyle name="Normal 12 7 4 4 3" xfId="37697" xr:uid="{00000000-0005-0000-0000-0000B1190000}"/>
    <cellStyle name="Normal 12 7 4 4 4" xfId="18561" xr:uid="{00000000-0005-0000-0000-0000B2190000}"/>
    <cellStyle name="Normal 12 7 4 5" xfId="44230" xr:uid="{00000000-0005-0000-0000-0000B3190000}"/>
    <cellStyle name="Normal 12 7 4 6" xfId="28130" xr:uid="{00000000-0005-0000-0000-0000B4190000}"/>
    <cellStyle name="Normal 12 7 4 7" xfId="15066" xr:uid="{00000000-0005-0000-0000-0000B5190000}"/>
    <cellStyle name="Normal 12 7 5" xfId="1209" xr:uid="{00000000-0005-0000-0000-0000B6190000}"/>
    <cellStyle name="Normal 12 7 5 2" xfId="7743" xr:uid="{00000000-0005-0000-0000-0000B7190000}"/>
    <cellStyle name="Normal 12 7 5 2 2" xfId="39484" xr:uid="{00000000-0005-0000-0000-0000B8190000}"/>
    <cellStyle name="Normal 12 7 5 2 2 2" xfId="55584" xr:uid="{00000000-0005-0000-0000-0000B9190000}"/>
    <cellStyle name="Normal 12 7 5 2 3" xfId="46017" xr:uid="{00000000-0005-0000-0000-0000BA190000}"/>
    <cellStyle name="Normal 12 7 5 2 4" xfId="29917" xr:uid="{00000000-0005-0000-0000-0000BB190000}"/>
    <cellStyle name="Normal 12 7 5 2 5" xfId="20348" xr:uid="{00000000-0005-0000-0000-0000BC190000}"/>
    <cellStyle name="Normal 12 7 5 3" xfId="10779" xr:uid="{00000000-0005-0000-0000-0000BD190000}"/>
    <cellStyle name="Normal 12 7 5 3 2" xfId="49053" xr:uid="{00000000-0005-0000-0000-0000BE190000}"/>
    <cellStyle name="Normal 12 7 5 3 3" xfId="32953" xr:uid="{00000000-0005-0000-0000-0000BF190000}"/>
    <cellStyle name="Normal 12 7 5 3 4" xfId="23384" xr:uid="{00000000-0005-0000-0000-0000C0190000}"/>
    <cellStyle name="Normal 12 7 5 4" xfId="4707" xr:uid="{00000000-0005-0000-0000-0000C1190000}"/>
    <cellStyle name="Normal 12 7 5 4 2" xfId="52548" xr:uid="{00000000-0005-0000-0000-0000C2190000}"/>
    <cellStyle name="Normal 12 7 5 4 3" xfId="36448" xr:uid="{00000000-0005-0000-0000-0000C3190000}"/>
    <cellStyle name="Normal 12 7 5 4 4" xfId="17312" xr:uid="{00000000-0005-0000-0000-0000C4190000}"/>
    <cellStyle name="Normal 12 7 5 5" xfId="42981" xr:uid="{00000000-0005-0000-0000-0000C5190000}"/>
    <cellStyle name="Normal 12 7 5 6" xfId="26881" xr:uid="{00000000-0005-0000-0000-0000C6190000}"/>
    <cellStyle name="Normal 12 7 5 7" xfId="13817" xr:uid="{00000000-0005-0000-0000-0000C7190000}"/>
    <cellStyle name="Normal 12 7 6" xfId="3697" xr:uid="{00000000-0005-0000-0000-0000C8190000}"/>
    <cellStyle name="Normal 12 7 6 2" xfId="35438" xr:uid="{00000000-0005-0000-0000-0000C9190000}"/>
    <cellStyle name="Normal 12 7 6 2 2" xfId="51538" xr:uid="{00000000-0005-0000-0000-0000CA190000}"/>
    <cellStyle name="Normal 12 7 6 3" xfId="41971" xr:uid="{00000000-0005-0000-0000-0000CB190000}"/>
    <cellStyle name="Normal 12 7 6 4" xfId="25871" xr:uid="{00000000-0005-0000-0000-0000CC190000}"/>
    <cellStyle name="Normal 12 7 6 5" xfId="16302" xr:uid="{00000000-0005-0000-0000-0000CD190000}"/>
    <cellStyle name="Normal 12 7 7" xfId="6733" xr:uid="{00000000-0005-0000-0000-0000CE190000}"/>
    <cellStyle name="Normal 12 7 7 2" xfId="38474" xr:uid="{00000000-0005-0000-0000-0000CF190000}"/>
    <cellStyle name="Normal 12 7 7 2 2" xfId="54574" xr:uid="{00000000-0005-0000-0000-0000D0190000}"/>
    <cellStyle name="Normal 12 7 7 3" xfId="45007" xr:uid="{00000000-0005-0000-0000-0000D1190000}"/>
    <cellStyle name="Normal 12 7 7 4" xfId="28907" xr:uid="{00000000-0005-0000-0000-0000D2190000}"/>
    <cellStyle name="Normal 12 7 7 5" xfId="19338" xr:uid="{00000000-0005-0000-0000-0000D3190000}"/>
    <cellStyle name="Normal 12 7 8" xfId="9769" xr:uid="{00000000-0005-0000-0000-0000D4190000}"/>
    <cellStyle name="Normal 12 7 8 2" xfId="48043" xr:uid="{00000000-0005-0000-0000-0000D5190000}"/>
    <cellStyle name="Normal 12 7 8 3" xfId="31943" xr:uid="{00000000-0005-0000-0000-0000D6190000}"/>
    <cellStyle name="Normal 12 7 8 4" xfId="22374" xr:uid="{00000000-0005-0000-0000-0000D7190000}"/>
    <cellStyle name="Normal 12 7 9" xfId="3237" xr:uid="{00000000-0005-0000-0000-0000D8190000}"/>
    <cellStyle name="Normal 12 7 9 2" xfId="51079" xr:uid="{00000000-0005-0000-0000-0000D9190000}"/>
    <cellStyle name="Normal 12 7 9 3" xfId="34979" xr:uid="{00000000-0005-0000-0000-0000DA190000}"/>
    <cellStyle name="Normal 12 7 9 4" xfId="15843" xr:uid="{00000000-0005-0000-0000-0000DB190000}"/>
    <cellStyle name="Normal 12 8" xfId="446" xr:uid="{00000000-0005-0000-0000-0000DC190000}"/>
    <cellStyle name="Normal 12 8 10" xfId="41529" xr:uid="{00000000-0005-0000-0000-0000DD190000}"/>
    <cellStyle name="Normal 12 8 11" xfId="25429" xr:uid="{00000000-0005-0000-0000-0000DE190000}"/>
    <cellStyle name="Normal 12 8 12" xfId="12824" xr:uid="{00000000-0005-0000-0000-0000DF190000}"/>
    <cellStyle name="Normal 12 8 2" xfId="899" xr:uid="{00000000-0005-0000-0000-0000E0190000}"/>
    <cellStyle name="Normal 12 8 2 10" xfId="13507" xr:uid="{00000000-0005-0000-0000-0000E1190000}"/>
    <cellStyle name="Normal 12 8 2 2" xfId="2927" xr:uid="{00000000-0005-0000-0000-0000E2190000}"/>
    <cellStyle name="Normal 12 8 2 2 2" xfId="9459" xr:uid="{00000000-0005-0000-0000-0000E3190000}"/>
    <cellStyle name="Normal 12 8 2 2 2 2" xfId="41200" xr:uid="{00000000-0005-0000-0000-0000E4190000}"/>
    <cellStyle name="Normal 12 8 2 2 2 2 2" xfId="57300" xr:uid="{00000000-0005-0000-0000-0000E5190000}"/>
    <cellStyle name="Normal 12 8 2 2 2 3" xfId="47733" xr:uid="{00000000-0005-0000-0000-0000E6190000}"/>
    <cellStyle name="Normal 12 8 2 2 2 4" xfId="31633" xr:uid="{00000000-0005-0000-0000-0000E7190000}"/>
    <cellStyle name="Normal 12 8 2 2 2 5" xfId="22064" xr:uid="{00000000-0005-0000-0000-0000E8190000}"/>
    <cellStyle name="Normal 12 8 2 2 3" xfId="12495" xr:uid="{00000000-0005-0000-0000-0000E9190000}"/>
    <cellStyle name="Normal 12 8 2 2 3 2" xfId="50769" xr:uid="{00000000-0005-0000-0000-0000EA190000}"/>
    <cellStyle name="Normal 12 8 2 2 3 3" xfId="34669" xr:uid="{00000000-0005-0000-0000-0000EB190000}"/>
    <cellStyle name="Normal 12 8 2 2 3 4" xfId="25100" xr:uid="{00000000-0005-0000-0000-0000EC190000}"/>
    <cellStyle name="Normal 12 8 2 2 4" xfId="6423" xr:uid="{00000000-0005-0000-0000-0000ED190000}"/>
    <cellStyle name="Normal 12 8 2 2 4 2" xfId="54264" xr:uid="{00000000-0005-0000-0000-0000EE190000}"/>
    <cellStyle name="Normal 12 8 2 2 4 3" xfId="38164" xr:uid="{00000000-0005-0000-0000-0000EF190000}"/>
    <cellStyle name="Normal 12 8 2 2 4 4" xfId="19028" xr:uid="{00000000-0005-0000-0000-0000F0190000}"/>
    <cellStyle name="Normal 12 8 2 2 5" xfId="44697" xr:uid="{00000000-0005-0000-0000-0000F1190000}"/>
    <cellStyle name="Normal 12 8 2 2 6" xfId="28597" xr:uid="{00000000-0005-0000-0000-0000F2190000}"/>
    <cellStyle name="Normal 12 8 2 2 7" xfId="15533" xr:uid="{00000000-0005-0000-0000-0000F3190000}"/>
    <cellStyle name="Normal 12 8 2 3" xfId="1909" xr:uid="{00000000-0005-0000-0000-0000F4190000}"/>
    <cellStyle name="Normal 12 8 2 3 2" xfId="8443" xr:uid="{00000000-0005-0000-0000-0000F5190000}"/>
    <cellStyle name="Normal 12 8 2 3 2 2" xfId="40184" xr:uid="{00000000-0005-0000-0000-0000F6190000}"/>
    <cellStyle name="Normal 12 8 2 3 2 2 2" xfId="56284" xr:uid="{00000000-0005-0000-0000-0000F7190000}"/>
    <cellStyle name="Normal 12 8 2 3 2 3" xfId="46717" xr:uid="{00000000-0005-0000-0000-0000F8190000}"/>
    <cellStyle name="Normal 12 8 2 3 2 4" xfId="30617" xr:uid="{00000000-0005-0000-0000-0000F9190000}"/>
    <cellStyle name="Normal 12 8 2 3 2 5" xfId="21048" xr:uid="{00000000-0005-0000-0000-0000FA190000}"/>
    <cellStyle name="Normal 12 8 2 3 3" xfId="11479" xr:uid="{00000000-0005-0000-0000-0000FB190000}"/>
    <cellStyle name="Normal 12 8 2 3 3 2" xfId="49753" xr:uid="{00000000-0005-0000-0000-0000FC190000}"/>
    <cellStyle name="Normal 12 8 2 3 3 3" xfId="33653" xr:uid="{00000000-0005-0000-0000-0000FD190000}"/>
    <cellStyle name="Normal 12 8 2 3 3 4" xfId="24084" xr:uid="{00000000-0005-0000-0000-0000FE190000}"/>
    <cellStyle name="Normal 12 8 2 3 4" xfId="5407" xr:uid="{00000000-0005-0000-0000-0000FF190000}"/>
    <cellStyle name="Normal 12 8 2 3 4 2" xfId="53248" xr:uid="{00000000-0005-0000-0000-0000001A0000}"/>
    <cellStyle name="Normal 12 8 2 3 4 3" xfId="37148" xr:uid="{00000000-0005-0000-0000-0000011A0000}"/>
    <cellStyle name="Normal 12 8 2 3 4 4" xfId="18012" xr:uid="{00000000-0005-0000-0000-0000021A0000}"/>
    <cellStyle name="Normal 12 8 2 3 5" xfId="43681" xr:uid="{00000000-0005-0000-0000-0000031A0000}"/>
    <cellStyle name="Normal 12 8 2 3 6" xfId="27581" xr:uid="{00000000-0005-0000-0000-0000041A0000}"/>
    <cellStyle name="Normal 12 8 2 3 7" xfId="14517" xr:uid="{00000000-0005-0000-0000-0000051A0000}"/>
    <cellStyle name="Normal 12 8 2 4" xfId="4397" xr:uid="{00000000-0005-0000-0000-0000061A0000}"/>
    <cellStyle name="Normal 12 8 2 4 2" xfId="36138" xr:uid="{00000000-0005-0000-0000-0000071A0000}"/>
    <cellStyle name="Normal 12 8 2 4 2 2" xfId="52238" xr:uid="{00000000-0005-0000-0000-0000081A0000}"/>
    <cellStyle name="Normal 12 8 2 4 3" xfId="42671" xr:uid="{00000000-0005-0000-0000-0000091A0000}"/>
    <cellStyle name="Normal 12 8 2 4 4" xfId="26571" xr:uid="{00000000-0005-0000-0000-00000A1A0000}"/>
    <cellStyle name="Normal 12 8 2 4 5" xfId="17002" xr:uid="{00000000-0005-0000-0000-00000B1A0000}"/>
    <cellStyle name="Normal 12 8 2 5" xfId="7433" xr:uid="{00000000-0005-0000-0000-00000C1A0000}"/>
    <cellStyle name="Normal 12 8 2 5 2" xfId="39174" xr:uid="{00000000-0005-0000-0000-00000D1A0000}"/>
    <cellStyle name="Normal 12 8 2 5 2 2" xfId="55274" xr:uid="{00000000-0005-0000-0000-00000E1A0000}"/>
    <cellStyle name="Normal 12 8 2 5 3" xfId="45707" xr:uid="{00000000-0005-0000-0000-00000F1A0000}"/>
    <cellStyle name="Normal 12 8 2 5 4" xfId="29607" xr:uid="{00000000-0005-0000-0000-0000101A0000}"/>
    <cellStyle name="Normal 12 8 2 5 5" xfId="20038" xr:uid="{00000000-0005-0000-0000-0000111A0000}"/>
    <cellStyle name="Normal 12 8 2 6" xfId="10469" xr:uid="{00000000-0005-0000-0000-0000121A0000}"/>
    <cellStyle name="Normal 12 8 2 6 2" xfId="48743" xr:uid="{00000000-0005-0000-0000-0000131A0000}"/>
    <cellStyle name="Normal 12 8 2 6 3" xfId="32643" xr:uid="{00000000-0005-0000-0000-0000141A0000}"/>
    <cellStyle name="Normal 12 8 2 6 4" xfId="23074" xr:uid="{00000000-0005-0000-0000-0000151A0000}"/>
    <cellStyle name="Normal 12 8 2 7" xfId="3492" xr:uid="{00000000-0005-0000-0000-0000161A0000}"/>
    <cellStyle name="Normal 12 8 2 7 2" xfId="51333" xr:uid="{00000000-0005-0000-0000-0000171A0000}"/>
    <cellStyle name="Normal 12 8 2 7 3" xfId="35233" xr:uid="{00000000-0005-0000-0000-0000181A0000}"/>
    <cellStyle name="Normal 12 8 2 7 4" xfId="16097" xr:uid="{00000000-0005-0000-0000-0000191A0000}"/>
    <cellStyle name="Normal 12 8 2 8" xfId="41766" xr:uid="{00000000-0005-0000-0000-00001A1A0000}"/>
    <cellStyle name="Normal 12 8 2 9" xfId="25666" xr:uid="{00000000-0005-0000-0000-00001B1A0000}"/>
    <cellStyle name="Normal 12 8 3" xfId="677" xr:uid="{00000000-0005-0000-0000-00001C1A0000}"/>
    <cellStyle name="Normal 12 8 3 2" xfId="2705" xr:uid="{00000000-0005-0000-0000-00001D1A0000}"/>
    <cellStyle name="Normal 12 8 3 2 2" xfId="9237" xr:uid="{00000000-0005-0000-0000-00001E1A0000}"/>
    <cellStyle name="Normal 12 8 3 2 2 2" xfId="40978" xr:uid="{00000000-0005-0000-0000-00001F1A0000}"/>
    <cellStyle name="Normal 12 8 3 2 2 2 2" xfId="57078" xr:uid="{00000000-0005-0000-0000-0000201A0000}"/>
    <cellStyle name="Normal 12 8 3 2 2 3" xfId="47511" xr:uid="{00000000-0005-0000-0000-0000211A0000}"/>
    <cellStyle name="Normal 12 8 3 2 2 4" xfId="31411" xr:uid="{00000000-0005-0000-0000-0000221A0000}"/>
    <cellStyle name="Normal 12 8 3 2 2 5" xfId="21842" xr:uid="{00000000-0005-0000-0000-0000231A0000}"/>
    <cellStyle name="Normal 12 8 3 2 3" xfId="12273" xr:uid="{00000000-0005-0000-0000-0000241A0000}"/>
    <cellStyle name="Normal 12 8 3 2 3 2" xfId="50547" xr:uid="{00000000-0005-0000-0000-0000251A0000}"/>
    <cellStyle name="Normal 12 8 3 2 3 3" xfId="34447" xr:uid="{00000000-0005-0000-0000-0000261A0000}"/>
    <cellStyle name="Normal 12 8 3 2 3 4" xfId="24878" xr:uid="{00000000-0005-0000-0000-0000271A0000}"/>
    <cellStyle name="Normal 12 8 3 2 4" xfId="6201" xr:uid="{00000000-0005-0000-0000-0000281A0000}"/>
    <cellStyle name="Normal 12 8 3 2 4 2" xfId="54042" xr:uid="{00000000-0005-0000-0000-0000291A0000}"/>
    <cellStyle name="Normal 12 8 3 2 4 3" xfId="37942" xr:uid="{00000000-0005-0000-0000-00002A1A0000}"/>
    <cellStyle name="Normal 12 8 3 2 4 4" xfId="18806" xr:uid="{00000000-0005-0000-0000-00002B1A0000}"/>
    <cellStyle name="Normal 12 8 3 2 5" xfId="44475" xr:uid="{00000000-0005-0000-0000-00002C1A0000}"/>
    <cellStyle name="Normal 12 8 3 2 6" xfId="28375" xr:uid="{00000000-0005-0000-0000-00002D1A0000}"/>
    <cellStyle name="Normal 12 8 3 2 7" xfId="15311" xr:uid="{00000000-0005-0000-0000-00002E1A0000}"/>
    <cellStyle name="Normal 12 8 3 3" xfId="1687" xr:uid="{00000000-0005-0000-0000-00002F1A0000}"/>
    <cellStyle name="Normal 12 8 3 3 2" xfId="8221" xr:uid="{00000000-0005-0000-0000-0000301A0000}"/>
    <cellStyle name="Normal 12 8 3 3 2 2" xfId="39962" xr:uid="{00000000-0005-0000-0000-0000311A0000}"/>
    <cellStyle name="Normal 12 8 3 3 2 2 2" xfId="56062" xr:uid="{00000000-0005-0000-0000-0000321A0000}"/>
    <cellStyle name="Normal 12 8 3 3 2 3" xfId="46495" xr:uid="{00000000-0005-0000-0000-0000331A0000}"/>
    <cellStyle name="Normal 12 8 3 3 2 4" xfId="30395" xr:uid="{00000000-0005-0000-0000-0000341A0000}"/>
    <cellStyle name="Normal 12 8 3 3 2 5" xfId="20826" xr:uid="{00000000-0005-0000-0000-0000351A0000}"/>
    <cellStyle name="Normal 12 8 3 3 3" xfId="11257" xr:uid="{00000000-0005-0000-0000-0000361A0000}"/>
    <cellStyle name="Normal 12 8 3 3 3 2" xfId="49531" xr:uid="{00000000-0005-0000-0000-0000371A0000}"/>
    <cellStyle name="Normal 12 8 3 3 3 3" xfId="33431" xr:uid="{00000000-0005-0000-0000-0000381A0000}"/>
    <cellStyle name="Normal 12 8 3 3 3 4" xfId="23862" xr:uid="{00000000-0005-0000-0000-0000391A0000}"/>
    <cellStyle name="Normal 12 8 3 3 4" xfId="5185" xr:uid="{00000000-0005-0000-0000-00003A1A0000}"/>
    <cellStyle name="Normal 12 8 3 3 4 2" xfId="53026" xr:uid="{00000000-0005-0000-0000-00003B1A0000}"/>
    <cellStyle name="Normal 12 8 3 3 4 3" xfId="36926" xr:uid="{00000000-0005-0000-0000-00003C1A0000}"/>
    <cellStyle name="Normal 12 8 3 3 4 4" xfId="17790" xr:uid="{00000000-0005-0000-0000-00003D1A0000}"/>
    <cellStyle name="Normal 12 8 3 3 5" xfId="43459" xr:uid="{00000000-0005-0000-0000-00003E1A0000}"/>
    <cellStyle name="Normal 12 8 3 3 6" xfId="27359" xr:uid="{00000000-0005-0000-0000-00003F1A0000}"/>
    <cellStyle name="Normal 12 8 3 3 7" xfId="14295" xr:uid="{00000000-0005-0000-0000-0000401A0000}"/>
    <cellStyle name="Normal 12 8 3 4" xfId="7211" xr:uid="{00000000-0005-0000-0000-0000411A0000}"/>
    <cellStyle name="Normal 12 8 3 4 2" xfId="38952" xr:uid="{00000000-0005-0000-0000-0000421A0000}"/>
    <cellStyle name="Normal 12 8 3 4 2 2" xfId="55052" xr:uid="{00000000-0005-0000-0000-0000431A0000}"/>
    <cellStyle name="Normal 12 8 3 4 3" xfId="45485" xr:uid="{00000000-0005-0000-0000-0000441A0000}"/>
    <cellStyle name="Normal 12 8 3 4 4" xfId="29385" xr:uid="{00000000-0005-0000-0000-0000451A0000}"/>
    <cellStyle name="Normal 12 8 3 4 5" xfId="19816" xr:uid="{00000000-0005-0000-0000-0000461A0000}"/>
    <cellStyle name="Normal 12 8 3 5" xfId="10247" xr:uid="{00000000-0005-0000-0000-0000471A0000}"/>
    <cellStyle name="Normal 12 8 3 5 2" xfId="48521" xr:uid="{00000000-0005-0000-0000-0000481A0000}"/>
    <cellStyle name="Normal 12 8 3 5 3" xfId="32421" xr:uid="{00000000-0005-0000-0000-0000491A0000}"/>
    <cellStyle name="Normal 12 8 3 5 4" xfId="22852" xr:uid="{00000000-0005-0000-0000-00004A1A0000}"/>
    <cellStyle name="Normal 12 8 3 6" xfId="4175" xr:uid="{00000000-0005-0000-0000-00004B1A0000}"/>
    <cellStyle name="Normal 12 8 3 6 2" xfId="52016" xr:uid="{00000000-0005-0000-0000-00004C1A0000}"/>
    <cellStyle name="Normal 12 8 3 6 3" xfId="35916" xr:uid="{00000000-0005-0000-0000-00004D1A0000}"/>
    <cellStyle name="Normal 12 8 3 6 4" xfId="16780" xr:uid="{00000000-0005-0000-0000-00004E1A0000}"/>
    <cellStyle name="Normal 12 8 3 7" xfId="42449" xr:uid="{00000000-0005-0000-0000-00004F1A0000}"/>
    <cellStyle name="Normal 12 8 3 8" xfId="26349" xr:uid="{00000000-0005-0000-0000-0000501A0000}"/>
    <cellStyle name="Normal 12 8 3 9" xfId="13285" xr:uid="{00000000-0005-0000-0000-0000511A0000}"/>
    <cellStyle name="Normal 12 8 4" xfId="2477" xr:uid="{00000000-0005-0000-0000-0000521A0000}"/>
    <cellStyle name="Normal 12 8 4 2" xfId="9009" xr:uid="{00000000-0005-0000-0000-0000531A0000}"/>
    <cellStyle name="Normal 12 8 4 2 2" xfId="40750" xr:uid="{00000000-0005-0000-0000-0000541A0000}"/>
    <cellStyle name="Normal 12 8 4 2 2 2" xfId="56850" xr:uid="{00000000-0005-0000-0000-0000551A0000}"/>
    <cellStyle name="Normal 12 8 4 2 3" xfId="47283" xr:uid="{00000000-0005-0000-0000-0000561A0000}"/>
    <cellStyle name="Normal 12 8 4 2 4" xfId="31183" xr:uid="{00000000-0005-0000-0000-0000571A0000}"/>
    <cellStyle name="Normal 12 8 4 2 5" xfId="21614" xr:uid="{00000000-0005-0000-0000-0000581A0000}"/>
    <cellStyle name="Normal 12 8 4 3" xfId="12045" xr:uid="{00000000-0005-0000-0000-0000591A0000}"/>
    <cellStyle name="Normal 12 8 4 3 2" xfId="50319" xr:uid="{00000000-0005-0000-0000-00005A1A0000}"/>
    <cellStyle name="Normal 12 8 4 3 3" xfId="34219" xr:uid="{00000000-0005-0000-0000-00005B1A0000}"/>
    <cellStyle name="Normal 12 8 4 3 4" xfId="24650" xr:uid="{00000000-0005-0000-0000-00005C1A0000}"/>
    <cellStyle name="Normal 12 8 4 4" xfId="5973" xr:uid="{00000000-0005-0000-0000-00005D1A0000}"/>
    <cellStyle name="Normal 12 8 4 4 2" xfId="53814" xr:uid="{00000000-0005-0000-0000-00005E1A0000}"/>
    <cellStyle name="Normal 12 8 4 4 3" xfId="37714" xr:uid="{00000000-0005-0000-0000-00005F1A0000}"/>
    <cellStyle name="Normal 12 8 4 4 4" xfId="18578" xr:uid="{00000000-0005-0000-0000-0000601A0000}"/>
    <cellStyle name="Normal 12 8 4 5" xfId="44247" xr:uid="{00000000-0005-0000-0000-0000611A0000}"/>
    <cellStyle name="Normal 12 8 4 6" xfId="28147" xr:uid="{00000000-0005-0000-0000-0000621A0000}"/>
    <cellStyle name="Normal 12 8 4 7" xfId="15083" xr:uid="{00000000-0005-0000-0000-0000631A0000}"/>
    <cellStyle name="Normal 12 8 5" xfId="1226" xr:uid="{00000000-0005-0000-0000-0000641A0000}"/>
    <cellStyle name="Normal 12 8 5 2" xfId="7760" xr:uid="{00000000-0005-0000-0000-0000651A0000}"/>
    <cellStyle name="Normal 12 8 5 2 2" xfId="39501" xr:uid="{00000000-0005-0000-0000-0000661A0000}"/>
    <cellStyle name="Normal 12 8 5 2 2 2" xfId="55601" xr:uid="{00000000-0005-0000-0000-0000671A0000}"/>
    <cellStyle name="Normal 12 8 5 2 3" xfId="46034" xr:uid="{00000000-0005-0000-0000-0000681A0000}"/>
    <cellStyle name="Normal 12 8 5 2 4" xfId="29934" xr:uid="{00000000-0005-0000-0000-0000691A0000}"/>
    <cellStyle name="Normal 12 8 5 2 5" xfId="20365" xr:uid="{00000000-0005-0000-0000-00006A1A0000}"/>
    <cellStyle name="Normal 12 8 5 3" xfId="10796" xr:uid="{00000000-0005-0000-0000-00006B1A0000}"/>
    <cellStyle name="Normal 12 8 5 3 2" xfId="49070" xr:uid="{00000000-0005-0000-0000-00006C1A0000}"/>
    <cellStyle name="Normal 12 8 5 3 3" xfId="32970" xr:uid="{00000000-0005-0000-0000-00006D1A0000}"/>
    <cellStyle name="Normal 12 8 5 3 4" xfId="23401" xr:uid="{00000000-0005-0000-0000-00006E1A0000}"/>
    <cellStyle name="Normal 12 8 5 4" xfId="4724" xr:uid="{00000000-0005-0000-0000-00006F1A0000}"/>
    <cellStyle name="Normal 12 8 5 4 2" xfId="52565" xr:uid="{00000000-0005-0000-0000-0000701A0000}"/>
    <cellStyle name="Normal 12 8 5 4 3" xfId="36465" xr:uid="{00000000-0005-0000-0000-0000711A0000}"/>
    <cellStyle name="Normal 12 8 5 4 4" xfId="17329" xr:uid="{00000000-0005-0000-0000-0000721A0000}"/>
    <cellStyle name="Normal 12 8 5 5" xfId="42998" xr:uid="{00000000-0005-0000-0000-0000731A0000}"/>
    <cellStyle name="Normal 12 8 5 6" xfId="26898" xr:uid="{00000000-0005-0000-0000-0000741A0000}"/>
    <cellStyle name="Normal 12 8 5 7" xfId="13834" xr:uid="{00000000-0005-0000-0000-0000751A0000}"/>
    <cellStyle name="Normal 12 8 6" xfId="3714" xr:uid="{00000000-0005-0000-0000-0000761A0000}"/>
    <cellStyle name="Normal 12 8 6 2" xfId="35455" xr:uid="{00000000-0005-0000-0000-0000771A0000}"/>
    <cellStyle name="Normal 12 8 6 2 2" xfId="51555" xr:uid="{00000000-0005-0000-0000-0000781A0000}"/>
    <cellStyle name="Normal 12 8 6 3" xfId="41988" xr:uid="{00000000-0005-0000-0000-0000791A0000}"/>
    <cellStyle name="Normal 12 8 6 4" xfId="25888" xr:uid="{00000000-0005-0000-0000-00007A1A0000}"/>
    <cellStyle name="Normal 12 8 6 5" xfId="16319" xr:uid="{00000000-0005-0000-0000-00007B1A0000}"/>
    <cellStyle name="Normal 12 8 7" xfId="6750" xr:uid="{00000000-0005-0000-0000-00007C1A0000}"/>
    <cellStyle name="Normal 12 8 7 2" xfId="38491" xr:uid="{00000000-0005-0000-0000-00007D1A0000}"/>
    <cellStyle name="Normal 12 8 7 2 2" xfId="54591" xr:uid="{00000000-0005-0000-0000-00007E1A0000}"/>
    <cellStyle name="Normal 12 8 7 3" xfId="45024" xr:uid="{00000000-0005-0000-0000-00007F1A0000}"/>
    <cellStyle name="Normal 12 8 7 4" xfId="28924" xr:uid="{00000000-0005-0000-0000-0000801A0000}"/>
    <cellStyle name="Normal 12 8 7 5" xfId="19355" xr:uid="{00000000-0005-0000-0000-0000811A0000}"/>
    <cellStyle name="Normal 12 8 8" xfId="9786" xr:uid="{00000000-0005-0000-0000-0000821A0000}"/>
    <cellStyle name="Normal 12 8 8 2" xfId="48060" xr:uid="{00000000-0005-0000-0000-0000831A0000}"/>
    <cellStyle name="Normal 12 8 8 3" xfId="31960" xr:uid="{00000000-0005-0000-0000-0000841A0000}"/>
    <cellStyle name="Normal 12 8 8 4" xfId="22391" xr:uid="{00000000-0005-0000-0000-0000851A0000}"/>
    <cellStyle name="Normal 12 8 9" xfId="3254" xr:uid="{00000000-0005-0000-0000-0000861A0000}"/>
    <cellStyle name="Normal 12 8 9 2" xfId="51096" xr:uid="{00000000-0005-0000-0000-0000871A0000}"/>
    <cellStyle name="Normal 12 8 9 3" xfId="34996" xr:uid="{00000000-0005-0000-0000-0000881A0000}"/>
    <cellStyle name="Normal 12 8 9 4" xfId="15860" xr:uid="{00000000-0005-0000-0000-0000891A0000}"/>
    <cellStyle name="Normal 12 9" xfId="463" xr:uid="{00000000-0005-0000-0000-00008A1A0000}"/>
    <cellStyle name="Normal 12 9 10" xfId="41546" xr:uid="{00000000-0005-0000-0000-00008B1A0000}"/>
    <cellStyle name="Normal 12 9 11" xfId="25446" xr:uid="{00000000-0005-0000-0000-00008C1A0000}"/>
    <cellStyle name="Normal 12 9 12" xfId="12841" xr:uid="{00000000-0005-0000-0000-00008D1A0000}"/>
    <cellStyle name="Normal 12 9 2" xfId="916" xr:uid="{00000000-0005-0000-0000-00008E1A0000}"/>
    <cellStyle name="Normal 12 9 2 10" xfId="13524" xr:uid="{00000000-0005-0000-0000-00008F1A0000}"/>
    <cellStyle name="Normal 12 9 2 2" xfId="2944" xr:uid="{00000000-0005-0000-0000-0000901A0000}"/>
    <cellStyle name="Normal 12 9 2 2 2" xfId="9476" xr:uid="{00000000-0005-0000-0000-0000911A0000}"/>
    <cellStyle name="Normal 12 9 2 2 2 2" xfId="41217" xr:uid="{00000000-0005-0000-0000-0000921A0000}"/>
    <cellStyle name="Normal 12 9 2 2 2 2 2" xfId="57317" xr:uid="{00000000-0005-0000-0000-0000931A0000}"/>
    <cellStyle name="Normal 12 9 2 2 2 3" xfId="47750" xr:uid="{00000000-0005-0000-0000-0000941A0000}"/>
    <cellStyle name="Normal 12 9 2 2 2 4" xfId="31650" xr:uid="{00000000-0005-0000-0000-0000951A0000}"/>
    <cellStyle name="Normal 12 9 2 2 2 5" xfId="22081" xr:uid="{00000000-0005-0000-0000-0000961A0000}"/>
    <cellStyle name="Normal 12 9 2 2 3" xfId="12512" xr:uid="{00000000-0005-0000-0000-0000971A0000}"/>
    <cellStyle name="Normal 12 9 2 2 3 2" xfId="50786" xr:uid="{00000000-0005-0000-0000-0000981A0000}"/>
    <cellStyle name="Normal 12 9 2 2 3 3" xfId="34686" xr:uid="{00000000-0005-0000-0000-0000991A0000}"/>
    <cellStyle name="Normal 12 9 2 2 3 4" xfId="25117" xr:uid="{00000000-0005-0000-0000-00009A1A0000}"/>
    <cellStyle name="Normal 12 9 2 2 4" xfId="6440" xr:uid="{00000000-0005-0000-0000-00009B1A0000}"/>
    <cellStyle name="Normal 12 9 2 2 4 2" xfId="54281" xr:uid="{00000000-0005-0000-0000-00009C1A0000}"/>
    <cellStyle name="Normal 12 9 2 2 4 3" xfId="38181" xr:uid="{00000000-0005-0000-0000-00009D1A0000}"/>
    <cellStyle name="Normal 12 9 2 2 4 4" xfId="19045" xr:uid="{00000000-0005-0000-0000-00009E1A0000}"/>
    <cellStyle name="Normal 12 9 2 2 5" xfId="44714" xr:uid="{00000000-0005-0000-0000-00009F1A0000}"/>
    <cellStyle name="Normal 12 9 2 2 6" xfId="28614" xr:uid="{00000000-0005-0000-0000-0000A01A0000}"/>
    <cellStyle name="Normal 12 9 2 2 7" xfId="15550" xr:uid="{00000000-0005-0000-0000-0000A11A0000}"/>
    <cellStyle name="Normal 12 9 2 3" xfId="1926" xr:uid="{00000000-0005-0000-0000-0000A21A0000}"/>
    <cellStyle name="Normal 12 9 2 3 2" xfId="8460" xr:uid="{00000000-0005-0000-0000-0000A31A0000}"/>
    <cellStyle name="Normal 12 9 2 3 2 2" xfId="40201" xr:uid="{00000000-0005-0000-0000-0000A41A0000}"/>
    <cellStyle name="Normal 12 9 2 3 2 2 2" xfId="56301" xr:uid="{00000000-0005-0000-0000-0000A51A0000}"/>
    <cellStyle name="Normal 12 9 2 3 2 3" xfId="46734" xr:uid="{00000000-0005-0000-0000-0000A61A0000}"/>
    <cellStyle name="Normal 12 9 2 3 2 4" xfId="30634" xr:uid="{00000000-0005-0000-0000-0000A71A0000}"/>
    <cellStyle name="Normal 12 9 2 3 2 5" xfId="21065" xr:uid="{00000000-0005-0000-0000-0000A81A0000}"/>
    <cellStyle name="Normal 12 9 2 3 3" xfId="11496" xr:uid="{00000000-0005-0000-0000-0000A91A0000}"/>
    <cellStyle name="Normal 12 9 2 3 3 2" xfId="49770" xr:uid="{00000000-0005-0000-0000-0000AA1A0000}"/>
    <cellStyle name="Normal 12 9 2 3 3 3" xfId="33670" xr:uid="{00000000-0005-0000-0000-0000AB1A0000}"/>
    <cellStyle name="Normal 12 9 2 3 3 4" xfId="24101" xr:uid="{00000000-0005-0000-0000-0000AC1A0000}"/>
    <cellStyle name="Normal 12 9 2 3 4" xfId="5424" xr:uid="{00000000-0005-0000-0000-0000AD1A0000}"/>
    <cellStyle name="Normal 12 9 2 3 4 2" xfId="53265" xr:uid="{00000000-0005-0000-0000-0000AE1A0000}"/>
    <cellStyle name="Normal 12 9 2 3 4 3" xfId="37165" xr:uid="{00000000-0005-0000-0000-0000AF1A0000}"/>
    <cellStyle name="Normal 12 9 2 3 4 4" xfId="18029" xr:uid="{00000000-0005-0000-0000-0000B01A0000}"/>
    <cellStyle name="Normal 12 9 2 3 5" xfId="43698" xr:uid="{00000000-0005-0000-0000-0000B11A0000}"/>
    <cellStyle name="Normal 12 9 2 3 6" xfId="27598" xr:uid="{00000000-0005-0000-0000-0000B21A0000}"/>
    <cellStyle name="Normal 12 9 2 3 7" xfId="14534" xr:uid="{00000000-0005-0000-0000-0000B31A0000}"/>
    <cellStyle name="Normal 12 9 2 4" xfId="4414" xr:uid="{00000000-0005-0000-0000-0000B41A0000}"/>
    <cellStyle name="Normal 12 9 2 4 2" xfId="36155" xr:uid="{00000000-0005-0000-0000-0000B51A0000}"/>
    <cellStyle name="Normal 12 9 2 4 2 2" xfId="52255" xr:uid="{00000000-0005-0000-0000-0000B61A0000}"/>
    <cellStyle name="Normal 12 9 2 4 3" xfId="42688" xr:uid="{00000000-0005-0000-0000-0000B71A0000}"/>
    <cellStyle name="Normal 12 9 2 4 4" xfId="26588" xr:uid="{00000000-0005-0000-0000-0000B81A0000}"/>
    <cellStyle name="Normal 12 9 2 4 5" xfId="17019" xr:uid="{00000000-0005-0000-0000-0000B91A0000}"/>
    <cellStyle name="Normal 12 9 2 5" xfId="7450" xr:uid="{00000000-0005-0000-0000-0000BA1A0000}"/>
    <cellStyle name="Normal 12 9 2 5 2" xfId="39191" xr:uid="{00000000-0005-0000-0000-0000BB1A0000}"/>
    <cellStyle name="Normal 12 9 2 5 2 2" xfId="55291" xr:uid="{00000000-0005-0000-0000-0000BC1A0000}"/>
    <cellStyle name="Normal 12 9 2 5 3" xfId="45724" xr:uid="{00000000-0005-0000-0000-0000BD1A0000}"/>
    <cellStyle name="Normal 12 9 2 5 4" xfId="29624" xr:uid="{00000000-0005-0000-0000-0000BE1A0000}"/>
    <cellStyle name="Normal 12 9 2 5 5" xfId="20055" xr:uid="{00000000-0005-0000-0000-0000BF1A0000}"/>
    <cellStyle name="Normal 12 9 2 6" xfId="10486" xr:uid="{00000000-0005-0000-0000-0000C01A0000}"/>
    <cellStyle name="Normal 12 9 2 6 2" xfId="48760" xr:uid="{00000000-0005-0000-0000-0000C11A0000}"/>
    <cellStyle name="Normal 12 9 2 6 3" xfId="32660" xr:uid="{00000000-0005-0000-0000-0000C21A0000}"/>
    <cellStyle name="Normal 12 9 2 6 4" xfId="23091" xr:uid="{00000000-0005-0000-0000-0000C31A0000}"/>
    <cellStyle name="Normal 12 9 2 7" xfId="3509" xr:uid="{00000000-0005-0000-0000-0000C41A0000}"/>
    <cellStyle name="Normal 12 9 2 7 2" xfId="51350" xr:uid="{00000000-0005-0000-0000-0000C51A0000}"/>
    <cellStyle name="Normal 12 9 2 7 3" xfId="35250" xr:uid="{00000000-0005-0000-0000-0000C61A0000}"/>
    <cellStyle name="Normal 12 9 2 7 4" xfId="16114" xr:uid="{00000000-0005-0000-0000-0000C71A0000}"/>
    <cellStyle name="Normal 12 9 2 8" xfId="41783" xr:uid="{00000000-0005-0000-0000-0000C81A0000}"/>
    <cellStyle name="Normal 12 9 2 9" xfId="25683" xr:uid="{00000000-0005-0000-0000-0000C91A0000}"/>
    <cellStyle name="Normal 12 9 3" xfId="694" xr:uid="{00000000-0005-0000-0000-0000CA1A0000}"/>
    <cellStyle name="Normal 12 9 3 2" xfId="2722" xr:uid="{00000000-0005-0000-0000-0000CB1A0000}"/>
    <cellStyle name="Normal 12 9 3 2 2" xfId="9254" xr:uid="{00000000-0005-0000-0000-0000CC1A0000}"/>
    <cellStyle name="Normal 12 9 3 2 2 2" xfId="40995" xr:uid="{00000000-0005-0000-0000-0000CD1A0000}"/>
    <cellStyle name="Normal 12 9 3 2 2 2 2" xfId="57095" xr:uid="{00000000-0005-0000-0000-0000CE1A0000}"/>
    <cellStyle name="Normal 12 9 3 2 2 3" xfId="47528" xr:uid="{00000000-0005-0000-0000-0000CF1A0000}"/>
    <cellStyle name="Normal 12 9 3 2 2 4" xfId="31428" xr:uid="{00000000-0005-0000-0000-0000D01A0000}"/>
    <cellStyle name="Normal 12 9 3 2 2 5" xfId="21859" xr:uid="{00000000-0005-0000-0000-0000D11A0000}"/>
    <cellStyle name="Normal 12 9 3 2 3" xfId="12290" xr:uid="{00000000-0005-0000-0000-0000D21A0000}"/>
    <cellStyle name="Normal 12 9 3 2 3 2" xfId="50564" xr:uid="{00000000-0005-0000-0000-0000D31A0000}"/>
    <cellStyle name="Normal 12 9 3 2 3 3" xfId="34464" xr:uid="{00000000-0005-0000-0000-0000D41A0000}"/>
    <cellStyle name="Normal 12 9 3 2 3 4" xfId="24895" xr:uid="{00000000-0005-0000-0000-0000D51A0000}"/>
    <cellStyle name="Normal 12 9 3 2 4" xfId="6218" xr:uid="{00000000-0005-0000-0000-0000D61A0000}"/>
    <cellStyle name="Normal 12 9 3 2 4 2" xfId="54059" xr:uid="{00000000-0005-0000-0000-0000D71A0000}"/>
    <cellStyle name="Normal 12 9 3 2 4 3" xfId="37959" xr:uid="{00000000-0005-0000-0000-0000D81A0000}"/>
    <cellStyle name="Normal 12 9 3 2 4 4" xfId="18823" xr:uid="{00000000-0005-0000-0000-0000D91A0000}"/>
    <cellStyle name="Normal 12 9 3 2 5" xfId="44492" xr:uid="{00000000-0005-0000-0000-0000DA1A0000}"/>
    <cellStyle name="Normal 12 9 3 2 6" xfId="28392" xr:uid="{00000000-0005-0000-0000-0000DB1A0000}"/>
    <cellStyle name="Normal 12 9 3 2 7" xfId="15328" xr:uid="{00000000-0005-0000-0000-0000DC1A0000}"/>
    <cellStyle name="Normal 12 9 3 3" xfId="1704" xr:uid="{00000000-0005-0000-0000-0000DD1A0000}"/>
    <cellStyle name="Normal 12 9 3 3 2" xfId="8238" xr:uid="{00000000-0005-0000-0000-0000DE1A0000}"/>
    <cellStyle name="Normal 12 9 3 3 2 2" xfId="39979" xr:uid="{00000000-0005-0000-0000-0000DF1A0000}"/>
    <cellStyle name="Normal 12 9 3 3 2 2 2" xfId="56079" xr:uid="{00000000-0005-0000-0000-0000E01A0000}"/>
    <cellStyle name="Normal 12 9 3 3 2 3" xfId="46512" xr:uid="{00000000-0005-0000-0000-0000E11A0000}"/>
    <cellStyle name="Normal 12 9 3 3 2 4" xfId="30412" xr:uid="{00000000-0005-0000-0000-0000E21A0000}"/>
    <cellStyle name="Normal 12 9 3 3 2 5" xfId="20843" xr:uid="{00000000-0005-0000-0000-0000E31A0000}"/>
    <cellStyle name="Normal 12 9 3 3 3" xfId="11274" xr:uid="{00000000-0005-0000-0000-0000E41A0000}"/>
    <cellStyle name="Normal 12 9 3 3 3 2" xfId="49548" xr:uid="{00000000-0005-0000-0000-0000E51A0000}"/>
    <cellStyle name="Normal 12 9 3 3 3 3" xfId="33448" xr:uid="{00000000-0005-0000-0000-0000E61A0000}"/>
    <cellStyle name="Normal 12 9 3 3 3 4" xfId="23879" xr:uid="{00000000-0005-0000-0000-0000E71A0000}"/>
    <cellStyle name="Normal 12 9 3 3 4" xfId="5202" xr:uid="{00000000-0005-0000-0000-0000E81A0000}"/>
    <cellStyle name="Normal 12 9 3 3 4 2" xfId="53043" xr:uid="{00000000-0005-0000-0000-0000E91A0000}"/>
    <cellStyle name="Normal 12 9 3 3 4 3" xfId="36943" xr:uid="{00000000-0005-0000-0000-0000EA1A0000}"/>
    <cellStyle name="Normal 12 9 3 3 4 4" xfId="17807" xr:uid="{00000000-0005-0000-0000-0000EB1A0000}"/>
    <cellStyle name="Normal 12 9 3 3 5" xfId="43476" xr:uid="{00000000-0005-0000-0000-0000EC1A0000}"/>
    <cellStyle name="Normal 12 9 3 3 6" xfId="27376" xr:uid="{00000000-0005-0000-0000-0000ED1A0000}"/>
    <cellStyle name="Normal 12 9 3 3 7" xfId="14312" xr:uid="{00000000-0005-0000-0000-0000EE1A0000}"/>
    <cellStyle name="Normal 12 9 3 4" xfId="7228" xr:uid="{00000000-0005-0000-0000-0000EF1A0000}"/>
    <cellStyle name="Normal 12 9 3 4 2" xfId="38969" xr:uid="{00000000-0005-0000-0000-0000F01A0000}"/>
    <cellStyle name="Normal 12 9 3 4 2 2" xfId="55069" xr:uid="{00000000-0005-0000-0000-0000F11A0000}"/>
    <cellStyle name="Normal 12 9 3 4 3" xfId="45502" xr:uid="{00000000-0005-0000-0000-0000F21A0000}"/>
    <cellStyle name="Normal 12 9 3 4 4" xfId="29402" xr:uid="{00000000-0005-0000-0000-0000F31A0000}"/>
    <cellStyle name="Normal 12 9 3 4 5" xfId="19833" xr:uid="{00000000-0005-0000-0000-0000F41A0000}"/>
    <cellStyle name="Normal 12 9 3 5" xfId="10264" xr:uid="{00000000-0005-0000-0000-0000F51A0000}"/>
    <cellStyle name="Normal 12 9 3 5 2" xfId="48538" xr:uid="{00000000-0005-0000-0000-0000F61A0000}"/>
    <cellStyle name="Normal 12 9 3 5 3" xfId="32438" xr:uid="{00000000-0005-0000-0000-0000F71A0000}"/>
    <cellStyle name="Normal 12 9 3 5 4" xfId="22869" xr:uid="{00000000-0005-0000-0000-0000F81A0000}"/>
    <cellStyle name="Normal 12 9 3 6" xfId="4192" xr:uid="{00000000-0005-0000-0000-0000F91A0000}"/>
    <cellStyle name="Normal 12 9 3 6 2" xfId="52033" xr:uid="{00000000-0005-0000-0000-0000FA1A0000}"/>
    <cellStyle name="Normal 12 9 3 6 3" xfId="35933" xr:uid="{00000000-0005-0000-0000-0000FB1A0000}"/>
    <cellStyle name="Normal 12 9 3 6 4" xfId="16797" xr:uid="{00000000-0005-0000-0000-0000FC1A0000}"/>
    <cellStyle name="Normal 12 9 3 7" xfId="42466" xr:uid="{00000000-0005-0000-0000-0000FD1A0000}"/>
    <cellStyle name="Normal 12 9 3 8" xfId="26366" xr:uid="{00000000-0005-0000-0000-0000FE1A0000}"/>
    <cellStyle name="Normal 12 9 3 9" xfId="13302" xr:uid="{00000000-0005-0000-0000-0000FF1A0000}"/>
    <cellStyle name="Normal 12 9 4" xfId="2494" xr:uid="{00000000-0005-0000-0000-0000001B0000}"/>
    <cellStyle name="Normal 12 9 4 2" xfId="9026" xr:uid="{00000000-0005-0000-0000-0000011B0000}"/>
    <cellStyle name="Normal 12 9 4 2 2" xfId="40767" xr:uid="{00000000-0005-0000-0000-0000021B0000}"/>
    <cellStyle name="Normal 12 9 4 2 2 2" xfId="56867" xr:uid="{00000000-0005-0000-0000-0000031B0000}"/>
    <cellStyle name="Normal 12 9 4 2 3" xfId="47300" xr:uid="{00000000-0005-0000-0000-0000041B0000}"/>
    <cellStyle name="Normal 12 9 4 2 4" xfId="31200" xr:uid="{00000000-0005-0000-0000-0000051B0000}"/>
    <cellStyle name="Normal 12 9 4 2 5" xfId="21631" xr:uid="{00000000-0005-0000-0000-0000061B0000}"/>
    <cellStyle name="Normal 12 9 4 3" xfId="12062" xr:uid="{00000000-0005-0000-0000-0000071B0000}"/>
    <cellStyle name="Normal 12 9 4 3 2" xfId="50336" xr:uid="{00000000-0005-0000-0000-0000081B0000}"/>
    <cellStyle name="Normal 12 9 4 3 3" xfId="34236" xr:uid="{00000000-0005-0000-0000-0000091B0000}"/>
    <cellStyle name="Normal 12 9 4 3 4" xfId="24667" xr:uid="{00000000-0005-0000-0000-00000A1B0000}"/>
    <cellStyle name="Normal 12 9 4 4" xfId="5990" xr:uid="{00000000-0005-0000-0000-00000B1B0000}"/>
    <cellStyle name="Normal 12 9 4 4 2" xfId="53831" xr:uid="{00000000-0005-0000-0000-00000C1B0000}"/>
    <cellStyle name="Normal 12 9 4 4 3" xfId="37731" xr:uid="{00000000-0005-0000-0000-00000D1B0000}"/>
    <cellStyle name="Normal 12 9 4 4 4" xfId="18595" xr:uid="{00000000-0005-0000-0000-00000E1B0000}"/>
    <cellStyle name="Normal 12 9 4 5" xfId="44264" xr:uid="{00000000-0005-0000-0000-00000F1B0000}"/>
    <cellStyle name="Normal 12 9 4 6" xfId="28164" xr:uid="{00000000-0005-0000-0000-0000101B0000}"/>
    <cellStyle name="Normal 12 9 4 7" xfId="15100" xr:uid="{00000000-0005-0000-0000-0000111B0000}"/>
    <cellStyle name="Normal 12 9 5" xfId="1243" xr:uid="{00000000-0005-0000-0000-0000121B0000}"/>
    <cellStyle name="Normal 12 9 5 2" xfId="7777" xr:uid="{00000000-0005-0000-0000-0000131B0000}"/>
    <cellStyle name="Normal 12 9 5 2 2" xfId="39518" xr:uid="{00000000-0005-0000-0000-0000141B0000}"/>
    <cellStyle name="Normal 12 9 5 2 2 2" xfId="55618" xr:uid="{00000000-0005-0000-0000-0000151B0000}"/>
    <cellStyle name="Normal 12 9 5 2 3" xfId="46051" xr:uid="{00000000-0005-0000-0000-0000161B0000}"/>
    <cellStyle name="Normal 12 9 5 2 4" xfId="29951" xr:uid="{00000000-0005-0000-0000-0000171B0000}"/>
    <cellStyle name="Normal 12 9 5 2 5" xfId="20382" xr:uid="{00000000-0005-0000-0000-0000181B0000}"/>
    <cellStyle name="Normal 12 9 5 3" xfId="10813" xr:uid="{00000000-0005-0000-0000-0000191B0000}"/>
    <cellStyle name="Normal 12 9 5 3 2" xfId="49087" xr:uid="{00000000-0005-0000-0000-00001A1B0000}"/>
    <cellStyle name="Normal 12 9 5 3 3" xfId="32987" xr:uid="{00000000-0005-0000-0000-00001B1B0000}"/>
    <cellStyle name="Normal 12 9 5 3 4" xfId="23418" xr:uid="{00000000-0005-0000-0000-00001C1B0000}"/>
    <cellStyle name="Normal 12 9 5 4" xfId="4741" xr:uid="{00000000-0005-0000-0000-00001D1B0000}"/>
    <cellStyle name="Normal 12 9 5 4 2" xfId="52582" xr:uid="{00000000-0005-0000-0000-00001E1B0000}"/>
    <cellStyle name="Normal 12 9 5 4 3" xfId="36482" xr:uid="{00000000-0005-0000-0000-00001F1B0000}"/>
    <cellStyle name="Normal 12 9 5 4 4" xfId="17346" xr:uid="{00000000-0005-0000-0000-0000201B0000}"/>
    <cellStyle name="Normal 12 9 5 5" xfId="43015" xr:uid="{00000000-0005-0000-0000-0000211B0000}"/>
    <cellStyle name="Normal 12 9 5 6" xfId="26915" xr:uid="{00000000-0005-0000-0000-0000221B0000}"/>
    <cellStyle name="Normal 12 9 5 7" xfId="13851" xr:uid="{00000000-0005-0000-0000-0000231B0000}"/>
    <cellStyle name="Normal 12 9 6" xfId="3731" xr:uid="{00000000-0005-0000-0000-0000241B0000}"/>
    <cellStyle name="Normal 12 9 6 2" xfId="35472" xr:uid="{00000000-0005-0000-0000-0000251B0000}"/>
    <cellStyle name="Normal 12 9 6 2 2" xfId="51572" xr:uid="{00000000-0005-0000-0000-0000261B0000}"/>
    <cellStyle name="Normal 12 9 6 3" xfId="42005" xr:uid="{00000000-0005-0000-0000-0000271B0000}"/>
    <cellStyle name="Normal 12 9 6 4" xfId="25905" xr:uid="{00000000-0005-0000-0000-0000281B0000}"/>
    <cellStyle name="Normal 12 9 6 5" xfId="16336" xr:uid="{00000000-0005-0000-0000-0000291B0000}"/>
    <cellStyle name="Normal 12 9 7" xfId="6767" xr:uid="{00000000-0005-0000-0000-00002A1B0000}"/>
    <cellStyle name="Normal 12 9 7 2" xfId="38508" xr:uid="{00000000-0005-0000-0000-00002B1B0000}"/>
    <cellStyle name="Normal 12 9 7 2 2" xfId="54608" xr:uid="{00000000-0005-0000-0000-00002C1B0000}"/>
    <cellStyle name="Normal 12 9 7 3" xfId="45041" xr:uid="{00000000-0005-0000-0000-00002D1B0000}"/>
    <cellStyle name="Normal 12 9 7 4" xfId="28941" xr:uid="{00000000-0005-0000-0000-00002E1B0000}"/>
    <cellStyle name="Normal 12 9 7 5" xfId="19372" xr:uid="{00000000-0005-0000-0000-00002F1B0000}"/>
    <cellStyle name="Normal 12 9 8" xfId="9803" xr:uid="{00000000-0005-0000-0000-0000301B0000}"/>
    <cellStyle name="Normal 12 9 8 2" xfId="48077" xr:uid="{00000000-0005-0000-0000-0000311B0000}"/>
    <cellStyle name="Normal 12 9 8 3" xfId="31977" xr:uid="{00000000-0005-0000-0000-0000321B0000}"/>
    <cellStyle name="Normal 12 9 8 4" xfId="22408" xr:uid="{00000000-0005-0000-0000-0000331B0000}"/>
    <cellStyle name="Normal 12 9 9" xfId="3271" xr:uid="{00000000-0005-0000-0000-0000341B0000}"/>
    <cellStyle name="Normal 12 9 9 2" xfId="51113" xr:uid="{00000000-0005-0000-0000-0000351B0000}"/>
    <cellStyle name="Normal 12 9 9 3" xfId="35013" xr:uid="{00000000-0005-0000-0000-0000361B0000}"/>
    <cellStyle name="Normal 12 9 9 4" xfId="15877" xr:uid="{00000000-0005-0000-0000-0000371B0000}"/>
    <cellStyle name="Normal 13" xfId="18" xr:uid="{00000000-0005-0000-0000-0000381B0000}"/>
    <cellStyle name="Normal 13 10" xfId="481" xr:uid="{00000000-0005-0000-0000-0000391B0000}"/>
    <cellStyle name="Normal 13 10 10" xfId="41564" xr:uid="{00000000-0005-0000-0000-00003A1B0000}"/>
    <cellStyle name="Normal 13 10 11" xfId="25464" xr:uid="{00000000-0005-0000-0000-00003B1B0000}"/>
    <cellStyle name="Normal 13 10 12" xfId="12859" xr:uid="{00000000-0005-0000-0000-00003C1B0000}"/>
    <cellStyle name="Normal 13 10 2" xfId="934" xr:uid="{00000000-0005-0000-0000-00003D1B0000}"/>
    <cellStyle name="Normal 13 10 2 10" xfId="13542" xr:uid="{00000000-0005-0000-0000-00003E1B0000}"/>
    <cellStyle name="Normal 13 10 2 2" xfId="2962" xr:uid="{00000000-0005-0000-0000-00003F1B0000}"/>
    <cellStyle name="Normal 13 10 2 2 2" xfId="9494" xr:uid="{00000000-0005-0000-0000-0000401B0000}"/>
    <cellStyle name="Normal 13 10 2 2 2 2" xfId="41235" xr:uid="{00000000-0005-0000-0000-0000411B0000}"/>
    <cellStyle name="Normal 13 10 2 2 2 2 2" xfId="57335" xr:uid="{00000000-0005-0000-0000-0000421B0000}"/>
    <cellStyle name="Normal 13 10 2 2 2 3" xfId="47768" xr:uid="{00000000-0005-0000-0000-0000431B0000}"/>
    <cellStyle name="Normal 13 10 2 2 2 4" xfId="31668" xr:uid="{00000000-0005-0000-0000-0000441B0000}"/>
    <cellStyle name="Normal 13 10 2 2 2 5" xfId="22099" xr:uid="{00000000-0005-0000-0000-0000451B0000}"/>
    <cellStyle name="Normal 13 10 2 2 3" xfId="12530" xr:uid="{00000000-0005-0000-0000-0000461B0000}"/>
    <cellStyle name="Normal 13 10 2 2 3 2" xfId="50804" xr:uid="{00000000-0005-0000-0000-0000471B0000}"/>
    <cellStyle name="Normal 13 10 2 2 3 3" xfId="34704" xr:uid="{00000000-0005-0000-0000-0000481B0000}"/>
    <cellStyle name="Normal 13 10 2 2 3 4" xfId="25135" xr:uid="{00000000-0005-0000-0000-0000491B0000}"/>
    <cellStyle name="Normal 13 10 2 2 4" xfId="6458" xr:uid="{00000000-0005-0000-0000-00004A1B0000}"/>
    <cellStyle name="Normal 13 10 2 2 4 2" xfId="54299" xr:uid="{00000000-0005-0000-0000-00004B1B0000}"/>
    <cellStyle name="Normal 13 10 2 2 4 3" xfId="38199" xr:uid="{00000000-0005-0000-0000-00004C1B0000}"/>
    <cellStyle name="Normal 13 10 2 2 4 4" xfId="19063" xr:uid="{00000000-0005-0000-0000-00004D1B0000}"/>
    <cellStyle name="Normal 13 10 2 2 5" xfId="44732" xr:uid="{00000000-0005-0000-0000-00004E1B0000}"/>
    <cellStyle name="Normal 13 10 2 2 6" xfId="28632" xr:uid="{00000000-0005-0000-0000-00004F1B0000}"/>
    <cellStyle name="Normal 13 10 2 2 7" xfId="15568" xr:uid="{00000000-0005-0000-0000-0000501B0000}"/>
    <cellStyle name="Normal 13 10 2 3" xfId="1944" xr:uid="{00000000-0005-0000-0000-0000511B0000}"/>
    <cellStyle name="Normal 13 10 2 3 2" xfId="8478" xr:uid="{00000000-0005-0000-0000-0000521B0000}"/>
    <cellStyle name="Normal 13 10 2 3 2 2" xfId="40219" xr:uid="{00000000-0005-0000-0000-0000531B0000}"/>
    <cellStyle name="Normal 13 10 2 3 2 2 2" xfId="56319" xr:uid="{00000000-0005-0000-0000-0000541B0000}"/>
    <cellStyle name="Normal 13 10 2 3 2 3" xfId="46752" xr:uid="{00000000-0005-0000-0000-0000551B0000}"/>
    <cellStyle name="Normal 13 10 2 3 2 4" xfId="30652" xr:uid="{00000000-0005-0000-0000-0000561B0000}"/>
    <cellStyle name="Normal 13 10 2 3 2 5" xfId="21083" xr:uid="{00000000-0005-0000-0000-0000571B0000}"/>
    <cellStyle name="Normal 13 10 2 3 3" xfId="11514" xr:uid="{00000000-0005-0000-0000-0000581B0000}"/>
    <cellStyle name="Normal 13 10 2 3 3 2" xfId="49788" xr:uid="{00000000-0005-0000-0000-0000591B0000}"/>
    <cellStyle name="Normal 13 10 2 3 3 3" xfId="33688" xr:uid="{00000000-0005-0000-0000-00005A1B0000}"/>
    <cellStyle name="Normal 13 10 2 3 3 4" xfId="24119" xr:uid="{00000000-0005-0000-0000-00005B1B0000}"/>
    <cellStyle name="Normal 13 10 2 3 4" xfId="5442" xr:uid="{00000000-0005-0000-0000-00005C1B0000}"/>
    <cellStyle name="Normal 13 10 2 3 4 2" xfId="53283" xr:uid="{00000000-0005-0000-0000-00005D1B0000}"/>
    <cellStyle name="Normal 13 10 2 3 4 3" xfId="37183" xr:uid="{00000000-0005-0000-0000-00005E1B0000}"/>
    <cellStyle name="Normal 13 10 2 3 4 4" xfId="18047" xr:uid="{00000000-0005-0000-0000-00005F1B0000}"/>
    <cellStyle name="Normal 13 10 2 3 5" xfId="43716" xr:uid="{00000000-0005-0000-0000-0000601B0000}"/>
    <cellStyle name="Normal 13 10 2 3 6" xfId="27616" xr:uid="{00000000-0005-0000-0000-0000611B0000}"/>
    <cellStyle name="Normal 13 10 2 3 7" xfId="14552" xr:uid="{00000000-0005-0000-0000-0000621B0000}"/>
    <cellStyle name="Normal 13 10 2 4" xfId="4432" xr:uid="{00000000-0005-0000-0000-0000631B0000}"/>
    <cellStyle name="Normal 13 10 2 4 2" xfId="36173" xr:uid="{00000000-0005-0000-0000-0000641B0000}"/>
    <cellStyle name="Normal 13 10 2 4 2 2" xfId="52273" xr:uid="{00000000-0005-0000-0000-0000651B0000}"/>
    <cellStyle name="Normal 13 10 2 4 3" xfId="42706" xr:uid="{00000000-0005-0000-0000-0000661B0000}"/>
    <cellStyle name="Normal 13 10 2 4 4" xfId="26606" xr:uid="{00000000-0005-0000-0000-0000671B0000}"/>
    <cellStyle name="Normal 13 10 2 4 5" xfId="17037" xr:uid="{00000000-0005-0000-0000-0000681B0000}"/>
    <cellStyle name="Normal 13 10 2 5" xfId="7468" xr:uid="{00000000-0005-0000-0000-0000691B0000}"/>
    <cellStyle name="Normal 13 10 2 5 2" xfId="39209" xr:uid="{00000000-0005-0000-0000-00006A1B0000}"/>
    <cellStyle name="Normal 13 10 2 5 2 2" xfId="55309" xr:uid="{00000000-0005-0000-0000-00006B1B0000}"/>
    <cellStyle name="Normal 13 10 2 5 3" xfId="45742" xr:uid="{00000000-0005-0000-0000-00006C1B0000}"/>
    <cellStyle name="Normal 13 10 2 5 4" xfId="29642" xr:uid="{00000000-0005-0000-0000-00006D1B0000}"/>
    <cellStyle name="Normal 13 10 2 5 5" xfId="20073" xr:uid="{00000000-0005-0000-0000-00006E1B0000}"/>
    <cellStyle name="Normal 13 10 2 6" xfId="10504" xr:uid="{00000000-0005-0000-0000-00006F1B0000}"/>
    <cellStyle name="Normal 13 10 2 6 2" xfId="48778" xr:uid="{00000000-0005-0000-0000-0000701B0000}"/>
    <cellStyle name="Normal 13 10 2 6 3" xfId="32678" xr:uid="{00000000-0005-0000-0000-0000711B0000}"/>
    <cellStyle name="Normal 13 10 2 6 4" xfId="23109" xr:uid="{00000000-0005-0000-0000-0000721B0000}"/>
    <cellStyle name="Normal 13 10 2 7" xfId="3527" xr:uid="{00000000-0005-0000-0000-0000731B0000}"/>
    <cellStyle name="Normal 13 10 2 7 2" xfId="51368" xr:uid="{00000000-0005-0000-0000-0000741B0000}"/>
    <cellStyle name="Normal 13 10 2 7 3" xfId="35268" xr:uid="{00000000-0005-0000-0000-0000751B0000}"/>
    <cellStyle name="Normal 13 10 2 7 4" xfId="16132" xr:uid="{00000000-0005-0000-0000-0000761B0000}"/>
    <cellStyle name="Normal 13 10 2 8" xfId="41801" xr:uid="{00000000-0005-0000-0000-0000771B0000}"/>
    <cellStyle name="Normal 13 10 2 9" xfId="25701" xr:uid="{00000000-0005-0000-0000-0000781B0000}"/>
    <cellStyle name="Normal 13 10 3" xfId="712" xr:uid="{00000000-0005-0000-0000-0000791B0000}"/>
    <cellStyle name="Normal 13 10 3 2" xfId="2740" xr:uid="{00000000-0005-0000-0000-00007A1B0000}"/>
    <cellStyle name="Normal 13 10 3 2 2" xfId="9272" xr:uid="{00000000-0005-0000-0000-00007B1B0000}"/>
    <cellStyle name="Normal 13 10 3 2 2 2" xfId="41013" xr:uid="{00000000-0005-0000-0000-00007C1B0000}"/>
    <cellStyle name="Normal 13 10 3 2 2 2 2" xfId="57113" xr:uid="{00000000-0005-0000-0000-00007D1B0000}"/>
    <cellStyle name="Normal 13 10 3 2 2 3" xfId="47546" xr:uid="{00000000-0005-0000-0000-00007E1B0000}"/>
    <cellStyle name="Normal 13 10 3 2 2 4" xfId="31446" xr:uid="{00000000-0005-0000-0000-00007F1B0000}"/>
    <cellStyle name="Normal 13 10 3 2 2 5" xfId="21877" xr:uid="{00000000-0005-0000-0000-0000801B0000}"/>
    <cellStyle name="Normal 13 10 3 2 3" xfId="12308" xr:uid="{00000000-0005-0000-0000-0000811B0000}"/>
    <cellStyle name="Normal 13 10 3 2 3 2" xfId="50582" xr:uid="{00000000-0005-0000-0000-0000821B0000}"/>
    <cellStyle name="Normal 13 10 3 2 3 3" xfId="34482" xr:uid="{00000000-0005-0000-0000-0000831B0000}"/>
    <cellStyle name="Normal 13 10 3 2 3 4" xfId="24913" xr:uid="{00000000-0005-0000-0000-0000841B0000}"/>
    <cellStyle name="Normal 13 10 3 2 4" xfId="6236" xr:uid="{00000000-0005-0000-0000-0000851B0000}"/>
    <cellStyle name="Normal 13 10 3 2 4 2" xfId="54077" xr:uid="{00000000-0005-0000-0000-0000861B0000}"/>
    <cellStyle name="Normal 13 10 3 2 4 3" xfId="37977" xr:uid="{00000000-0005-0000-0000-0000871B0000}"/>
    <cellStyle name="Normal 13 10 3 2 4 4" xfId="18841" xr:uid="{00000000-0005-0000-0000-0000881B0000}"/>
    <cellStyle name="Normal 13 10 3 2 5" xfId="44510" xr:uid="{00000000-0005-0000-0000-0000891B0000}"/>
    <cellStyle name="Normal 13 10 3 2 6" xfId="28410" xr:uid="{00000000-0005-0000-0000-00008A1B0000}"/>
    <cellStyle name="Normal 13 10 3 2 7" xfId="15346" xr:uid="{00000000-0005-0000-0000-00008B1B0000}"/>
    <cellStyle name="Normal 13 10 3 3" xfId="1722" xr:uid="{00000000-0005-0000-0000-00008C1B0000}"/>
    <cellStyle name="Normal 13 10 3 3 2" xfId="8256" xr:uid="{00000000-0005-0000-0000-00008D1B0000}"/>
    <cellStyle name="Normal 13 10 3 3 2 2" xfId="39997" xr:uid="{00000000-0005-0000-0000-00008E1B0000}"/>
    <cellStyle name="Normal 13 10 3 3 2 2 2" xfId="56097" xr:uid="{00000000-0005-0000-0000-00008F1B0000}"/>
    <cellStyle name="Normal 13 10 3 3 2 3" xfId="46530" xr:uid="{00000000-0005-0000-0000-0000901B0000}"/>
    <cellStyle name="Normal 13 10 3 3 2 4" xfId="30430" xr:uid="{00000000-0005-0000-0000-0000911B0000}"/>
    <cellStyle name="Normal 13 10 3 3 2 5" xfId="20861" xr:uid="{00000000-0005-0000-0000-0000921B0000}"/>
    <cellStyle name="Normal 13 10 3 3 3" xfId="11292" xr:uid="{00000000-0005-0000-0000-0000931B0000}"/>
    <cellStyle name="Normal 13 10 3 3 3 2" xfId="49566" xr:uid="{00000000-0005-0000-0000-0000941B0000}"/>
    <cellStyle name="Normal 13 10 3 3 3 3" xfId="33466" xr:uid="{00000000-0005-0000-0000-0000951B0000}"/>
    <cellStyle name="Normal 13 10 3 3 3 4" xfId="23897" xr:uid="{00000000-0005-0000-0000-0000961B0000}"/>
    <cellStyle name="Normal 13 10 3 3 4" xfId="5220" xr:uid="{00000000-0005-0000-0000-0000971B0000}"/>
    <cellStyle name="Normal 13 10 3 3 4 2" xfId="53061" xr:uid="{00000000-0005-0000-0000-0000981B0000}"/>
    <cellStyle name="Normal 13 10 3 3 4 3" xfId="36961" xr:uid="{00000000-0005-0000-0000-0000991B0000}"/>
    <cellStyle name="Normal 13 10 3 3 4 4" xfId="17825" xr:uid="{00000000-0005-0000-0000-00009A1B0000}"/>
    <cellStyle name="Normal 13 10 3 3 5" xfId="43494" xr:uid="{00000000-0005-0000-0000-00009B1B0000}"/>
    <cellStyle name="Normal 13 10 3 3 6" xfId="27394" xr:uid="{00000000-0005-0000-0000-00009C1B0000}"/>
    <cellStyle name="Normal 13 10 3 3 7" xfId="14330" xr:uid="{00000000-0005-0000-0000-00009D1B0000}"/>
    <cellStyle name="Normal 13 10 3 4" xfId="7246" xr:uid="{00000000-0005-0000-0000-00009E1B0000}"/>
    <cellStyle name="Normal 13 10 3 4 2" xfId="38987" xr:uid="{00000000-0005-0000-0000-00009F1B0000}"/>
    <cellStyle name="Normal 13 10 3 4 2 2" xfId="55087" xr:uid="{00000000-0005-0000-0000-0000A01B0000}"/>
    <cellStyle name="Normal 13 10 3 4 3" xfId="45520" xr:uid="{00000000-0005-0000-0000-0000A11B0000}"/>
    <cellStyle name="Normal 13 10 3 4 4" xfId="29420" xr:uid="{00000000-0005-0000-0000-0000A21B0000}"/>
    <cellStyle name="Normal 13 10 3 4 5" xfId="19851" xr:uid="{00000000-0005-0000-0000-0000A31B0000}"/>
    <cellStyle name="Normal 13 10 3 5" xfId="10282" xr:uid="{00000000-0005-0000-0000-0000A41B0000}"/>
    <cellStyle name="Normal 13 10 3 5 2" xfId="48556" xr:uid="{00000000-0005-0000-0000-0000A51B0000}"/>
    <cellStyle name="Normal 13 10 3 5 3" xfId="32456" xr:uid="{00000000-0005-0000-0000-0000A61B0000}"/>
    <cellStyle name="Normal 13 10 3 5 4" xfId="22887" xr:uid="{00000000-0005-0000-0000-0000A71B0000}"/>
    <cellStyle name="Normal 13 10 3 6" xfId="4210" xr:uid="{00000000-0005-0000-0000-0000A81B0000}"/>
    <cellStyle name="Normal 13 10 3 6 2" xfId="52051" xr:uid="{00000000-0005-0000-0000-0000A91B0000}"/>
    <cellStyle name="Normal 13 10 3 6 3" xfId="35951" xr:uid="{00000000-0005-0000-0000-0000AA1B0000}"/>
    <cellStyle name="Normal 13 10 3 6 4" xfId="16815" xr:uid="{00000000-0005-0000-0000-0000AB1B0000}"/>
    <cellStyle name="Normal 13 10 3 7" xfId="42484" xr:uid="{00000000-0005-0000-0000-0000AC1B0000}"/>
    <cellStyle name="Normal 13 10 3 8" xfId="26384" xr:uid="{00000000-0005-0000-0000-0000AD1B0000}"/>
    <cellStyle name="Normal 13 10 3 9" xfId="13320" xr:uid="{00000000-0005-0000-0000-0000AE1B0000}"/>
    <cellStyle name="Normal 13 10 4" xfId="2512" xr:uid="{00000000-0005-0000-0000-0000AF1B0000}"/>
    <cellStyle name="Normal 13 10 4 2" xfId="9044" xr:uid="{00000000-0005-0000-0000-0000B01B0000}"/>
    <cellStyle name="Normal 13 10 4 2 2" xfId="40785" xr:uid="{00000000-0005-0000-0000-0000B11B0000}"/>
    <cellStyle name="Normal 13 10 4 2 2 2" xfId="56885" xr:uid="{00000000-0005-0000-0000-0000B21B0000}"/>
    <cellStyle name="Normal 13 10 4 2 3" xfId="47318" xr:uid="{00000000-0005-0000-0000-0000B31B0000}"/>
    <cellStyle name="Normal 13 10 4 2 4" xfId="31218" xr:uid="{00000000-0005-0000-0000-0000B41B0000}"/>
    <cellStyle name="Normal 13 10 4 2 5" xfId="21649" xr:uid="{00000000-0005-0000-0000-0000B51B0000}"/>
    <cellStyle name="Normal 13 10 4 3" xfId="12080" xr:uid="{00000000-0005-0000-0000-0000B61B0000}"/>
    <cellStyle name="Normal 13 10 4 3 2" xfId="50354" xr:uid="{00000000-0005-0000-0000-0000B71B0000}"/>
    <cellStyle name="Normal 13 10 4 3 3" xfId="34254" xr:uid="{00000000-0005-0000-0000-0000B81B0000}"/>
    <cellStyle name="Normal 13 10 4 3 4" xfId="24685" xr:uid="{00000000-0005-0000-0000-0000B91B0000}"/>
    <cellStyle name="Normal 13 10 4 4" xfId="6008" xr:uid="{00000000-0005-0000-0000-0000BA1B0000}"/>
    <cellStyle name="Normal 13 10 4 4 2" xfId="53849" xr:uid="{00000000-0005-0000-0000-0000BB1B0000}"/>
    <cellStyle name="Normal 13 10 4 4 3" xfId="37749" xr:uid="{00000000-0005-0000-0000-0000BC1B0000}"/>
    <cellStyle name="Normal 13 10 4 4 4" xfId="18613" xr:uid="{00000000-0005-0000-0000-0000BD1B0000}"/>
    <cellStyle name="Normal 13 10 4 5" xfId="44282" xr:uid="{00000000-0005-0000-0000-0000BE1B0000}"/>
    <cellStyle name="Normal 13 10 4 6" xfId="28182" xr:uid="{00000000-0005-0000-0000-0000BF1B0000}"/>
    <cellStyle name="Normal 13 10 4 7" xfId="15118" xr:uid="{00000000-0005-0000-0000-0000C01B0000}"/>
    <cellStyle name="Normal 13 10 5" xfId="1261" xr:uid="{00000000-0005-0000-0000-0000C11B0000}"/>
    <cellStyle name="Normal 13 10 5 2" xfId="7795" xr:uid="{00000000-0005-0000-0000-0000C21B0000}"/>
    <cellStyle name="Normal 13 10 5 2 2" xfId="39536" xr:uid="{00000000-0005-0000-0000-0000C31B0000}"/>
    <cellStyle name="Normal 13 10 5 2 2 2" xfId="55636" xr:uid="{00000000-0005-0000-0000-0000C41B0000}"/>
    <cellStyle name="Normal 13 10 5 2 3" xfId="46069" xr:uid="{00000000-0005-0000-0000-0000C51B0000}"/>
    <cellStyle name="Normal 13 10 5 2 4" xfId="29969" xr:uid="{00000000-0005-0000-0000-0000C61B0000}"/>
    <cellStyle name="Normal 13 10 5 2 5" xfId="20400" xr:uid="{00000000-0005-0000-0000-0000C71B0000}"/>
    <cellStyle name="Normal 13 10 5 3" xfId="10831" xr:uid="{00000000-0005-0000-0000-0000C81B0000}"/>
    <cellStyle name="Normal 13 10 5 3 2" xfId="49105" xr:uid="{00000000-0005-0000-0000-0000C91B0000}"/>
    <cellStyle name="Normal 13 10 5 3 3" xfId="33005" xr:uid="{00000000-0005-0000-0000-0000CA1B0000}"/>
    <cellStyle name="Normal 13 10 5 3 4" xfId="23436" xr:uid="{00000000-0005-0000-0000-0000CB1B0000}"/>
    <cellStyle name="Normal 13 10 5 4" xfId="4759" xr:uid="{00000000-0005-0000-0000-0000CC1B0000}"/>
    <cellStyle name="Normal 13 10 5 4 2" xfId="52600" xr:uid="{00000000-0005-0000-0000-0000CD1B0000}"/>
    <cellStyle name="Normal 13 10 5 4 3" xfId="36500" xr:uid="{00000000-0005-0000-0000-0000CE1B0000}"/>
    <cellStyle name="Normal 13 10 5 4 4" xfId="17364" xr:uid="{00000000-0005-0000-0000-0000CF1B0000}"/>
    <cellStyle name="Normal 13 10 5 5" xfId="43033" xr:uid="{00000000-0005-0000-0000-0000D01B0000}"/>
    <cellStyle name="Normal 13 10 5 6" xfId="26933" xr:uid="{00000000-0005-0000-0000-0000D11B0000}"/>
    <cellStyle name="Normal 13 10 5 7" xfId="13869" xr:uid="{00000000-0005-0000-0000-0000D21B0000}"/>
    <cellStyle name="Normal 13 10 6" xfId="3749" xr:uid="{00000000-0005-0000-0000-0000D31B0000}"/>
    <cellStyle name="Normal 13 10 6 2" xfId="35490" xr:uid="{00000000-0005-0000-0000-0000D41B0000}"/>
    <cellStyle name="Normal 13 10 6 2 2" xfId="51590" xr:uid="{00000000-0005-0000-0000-0000D51B0000}"/>
    <cellStyle name="Normal 13 10 6 3" xfId="42023" xr:uid="{00000000-0005-0000-0000-0000D61B0000}"/>
    <cellStyle name="Normal 13 10 6 4" xfId="25923" xr:uid="{00000000-0005-0000-0000-0000D71B0000}"/>
    <cellStyle name="Normal 13 10 6 5" xfId="16354" xr:uid="{00000000-0005-0000-0000-0000D81B0000}"/>
    <cellStyle name="Normal 13 10 7" xfId="6785" xr:uid="{00000000-0005-0000-0000-0000D91B0000}"/>
    <cellStyle name="Normal 13 10 7 2" xfId="38526" xr:uid="{00000000-0005-0000-0000-0000DA1B0000}"/>
    <cellStyle name="Normal 13 10 7 2 2" xfId="54626" xr:uid="{00000000-0005-0000-0000-0000DB1B0000}"/>
    <cellStyle name="Normal 13 10 7 3" xfId="45059" xr:uid="{00000000-0005-0000-0000-0000DC1B0000}"/>
    <cellStyle name="Normal 13 10 7 4" xfId="28959" xr:uid="{00000000-0005-0000-0000-0000DD1B0000}"/>
    <cellStyle name="Normal 13 10 7 5" xfId="19390" xr:uid="{00000000-0005-0000-0000-0000DE1B0000}"/>
    <cellStyle name="Normal 13 10 8" xfId="9821" xr:uid="{00000000-0005-0000-0000-0000DF1B0000}"/>
    <cellStyle name="Normal 13 10 8 2" xfId="48095" xr:uid="{00000000-0005-0000-0000-0000E01B0000}"/>
    <cellStyle name="Normal 13 10 8 3" xfId="31995" xr:uid="{00000000-0005-0000-0000-0000E11B0000}"/>
    <cellStyle name="Normal 13 10 8 4" xfId="22426" xr:uid="{00000000-0005-0000-0000-0000E21B0000}"/>
    <cellStyle name="Normal 13 10 9" xfId="3289" xr:uid="{00000000-0005-0000-0000-0000E31B0000}"/>
    <cellStyle name="Normal 13 10 9 2" xfId="51131" xr:uid="{00000000-0005-0000-0000-0000E41B0000}"/>
    <cellStyle name="Normal 13 10 9 3" xfId="35031" xr:uid="{00000000-0005-0000-0000-0000E51B0000}"/>
    <cellStyle name="Normal 13 10 9 4" xfId="15895" xr:uid="{00000000-0005-0000-0000-0000E61B0000}"/>
    <cellStyle name="Normal 13 11" xfId="424" xr:uid="{00000000-0005-0000-0000-0000E71B0000}"/>
    <cellStyle name="Normal 13 11 10" xfId="41411" xr:uid="{00000000-0005-0000-0000-0000E81B0000}"/>
    <cellStyle name="Normal 13 11 11" xfId="25311" xr:uid="{00000000-0005-0000-0000-0000E91B0000}"/>
    <cellStyle name="Normal 13 11 12" xfId="12706" xr:uid="{00000000-0005-0000-0000-0000EA1B0000}"/>
    <cellStyle name="Normal 13 11 2" xfId="781" xr:uid="{00000000-0005-0000-0000-0000EB1B0000}"/>
    <cellStyle name="Normal 13 11 2 10" xfId="13389" xr:uid="{00000000-0005-0000-0000-0000EC1B0000}"/>
    <cellStyle name="Normal 13 11 2 2" xfId="2809" xr:uid="{00000000-0005-0000-0000-0000ED1B0000}"/>
    <cellStyle name="Normal 13 11 2 2 2" xfId="9341" xr:uid="{00000000-0005-0000-0000-0000EE1B0000}"/>
    <cellStyle name="Normal 13 11 2 2 2 2" xfId="41082" xr:uid="{00000000-0005-0000-0000-0000EF1B0000}"/>
    <cellStyle name="Normal 13 11 2 2 2 2 2" xfId="57182" xr:uid="{00000000-0005-0000-0000-0000F01B0000}"/>
    <cellStyle name="Normal 13 11 2 2 2 3" xfId="47615" xr:uid="{00000000-0005-0000-0000-0000F11B0000}"/>
    <cellStyle name="Normal 13 11 2 2 2 4" xfId="31515" xr:uid="{00000000-0005-0000-0000-0000F21B0000}"/>
    <cellStyle name="Normal 13 11 2 2 2 5" xfId="21946" xr:uid="{00000000-0005-0000-0000-0000F31B0000}"/>
    <cellStyle name="Normal 13 11 2 2 3" xfId="12377" xr:uid="{00000000-0005-0000-0000-0000F41B0000}"/>
    <cellStyle name="Normal 13 11 2 2 3 2" xfId="50651" xr:uid="{00000000-0005-0000-0000-0000F51B0000}"/>
    <cellStyle name="Normal 13 11 2 2 3 3" xfId="34551" xr:uid="{00000000-0005-0000-0000-0000F61B0000}"/>
    <cellStyle name="Normal 13 11 2 2 3 4" xfId="24982" xr:uid="{00000000-0005-0000-0000-0000F71B0000}"/>
    <cellStyle name="Normal 13 11 2 2 4" xfId="6305" xr:uid="{00000000-0005-0000-0000-0000F81B0000}"/>
    <cellStyle name="Normal 13 11 2 2 4 2" xfId="54146" xr:uid="{00000000-0005-0000-0000-0000F91B0000}"/>
    <cellStyle name="Normal 13 11 2 2 4 3" xfId="38046" xr:uid="{00000000-0005-0000-0000-0000FA1B0000}"/>
    <cellStyle name="Normal 13 11 2 2 4 4" xfId="18910" xr:uid="{00000000-0005-0000-0000-0000FB1B0000}"/>
    <cellStyle name="Normal 13 11 2 2 5" xfId="44579" xr:uid="{00000000-0005-0000-0000-0000FC1B0000}"/>
    <cellStyle name="Normal 13 11 2 2 6" xfId="28479" xr:uid="{00000000-0005-0000-0000-0000FD1B0000}"/>
    <cellStyle name="Normal 13 11 2 2 7" xfId="15415" xr:uid="{00000000-0005-0000-0000-0000FE1B0000}"/>
    <cellStyle name="Normal 13 11 2 3" xfId="1791" xr:uid="{00000000-0005-0000-0000-0000FF1B0000}"/>
    <cellStyle name="Normal 13 11 2 3 2" xfId="8325" xr:uid="{00000000-0005-0000-0000-0000001C0000}"/>
    <cellStyle name="Normal 13 11 2 3 2 2" xfId="40066" xr:uid="{00000000-0005-0000-0000-0000011C0000}"/>
    <cellStyle name="Normal 13 11 2 3 2 2 2" xfId="56166" xr:uid="{00000000-0005-0000-0000-0000021C0000}"/>
    <cellStyle name="Normal 13 11 2 3 2 3" xfId="46599" xr:uid="{00000000-0005-0000-0000-0000031C0000}"/>
    <cellStyle name="Normal 13 11 2 3 2 4" xfId="30499" xr:uid="{00000000-0005-0000-0000-0000041C0000}"/>
    <cellStyle name="Normal 13 11 2 3 2 5" xfId="20930" xr:uid="{00000000-0005-0000-0000-0000051C0000}"/>
    <cellStyle name="Normal 13 11 2 3 3" xfId="11361" xr:uid="{00000000-0005-0000-0000-0000061C0000}"/>
    <cellStyle name="Normal 13 11 2 3 3 2" xfId="49635" xr:uid="{00000000-0005-0000-0000-0000071C0000}"/>
    <cellStyle name="Normal 13 11 2 3 3 3" xfId="33535" xr:uid="{00000000-0005-0000-0000-0000081C0000}"/>
    <cellStyle name="Normal 13 11 2 3 3 4" xfId="23966" xr:uid="{00000000-0005-0000-0000-0000091C0000}"/>
    <cellStyle name="Normal 13 11 2 3 4" xfId="5289" xr:uid="{00000000-0005-0000-0000-00000A1C0000}"/>
    <cellStyle name="Normal 13 11 2 3 4 2" xfId="53130" xr:uid="{00000000-0005-0000-0000-00000B1C0000}"/>
    <cellStyle name="Normal 13 11 2 3 4 3" xfId="37030" xr:uid="{00000000-0005-0000-0000-00000C1C0000}"/>
    <cellStyle name="Normal 13 11 2 3 4 4" xfId="17894" xr:uid="{00000000-0005-0000-0000-00000D1C0000}"/>
    <cellStyle name="Normal 13 11 2 3 5" xfId="43563" xr:uid="{00000000-0005-0000-0000-00000E1C0000}"/>
    <cellStyle name="Normal 13 11 2 3 6" xfId="27463" xr:uid="{00000000-0005-0000-0000-00000F1C0000}"/>
    <cellStyle name="Normal 13 11 2 3 7" xfId="14399" xr:uid="{00000000-0005-0000-0000-0000101C0000}"/>
    <cellStyle name="Normal 13 11 2 4" xfId="4279" xr:uid="{00000000-0005-0000-0000-0000111C0000}"/>
    <cellStyle name="Normal 13 11 2 4 2" xfId="36020" xr:uid="{00000000-0005-0000-0000-0000121C0000}"/>
    <cellStyle name="Normal 13 11 2 4 2 2" xfId="52120" xr:uid="{00000000-0005-0000-0000-0000131C0000}"/>
    <cellStyle name="Normal 13 11 2 4 3" xfId="42553" xr:uid="{00000000-0005-0000-0000-0000141C0000}"/>
    <cellStyle name="Normal 13 11 2 4 4" xfId="26453" xr:uid="{00000000-0005-0000-0000-0000151C0000}"/>
    <cellStyle name="Normal 13 11 2 4 5" xfId="16884" xr:uid="{00000000-0005-0000-0000-0000161C0000}"/>
    <cellStyle name="Normal 13 11 2 5" xfId="7315" xr:uid="{00000000-0005-0000-0000-0000171C0000}"/>
    <cellStyle name="Normal 13 11 2 5 2" xfId="39056" xr:uid="{00000000-0005-0000-0000-0000181C0000}"/>
    <cellStyle name="Normal 13 11 2 5 2 2" xfId="55156" xr:uid="{00000000-0005-0000-0000-0000191C0000}"/>
    <cellStyle name="Normal 13 11 2 5 3" xfId="45589" xr:uid="{00000000-0005-0000-0000-00001A1C0000}"/>
    <cellStyle name="Normal 13 11 2 5 4" xfId="29489" xr:uid="{00000000-0005-0000-0000-00001B1C0000}"/>
    <cellStyle name="Normal 13 11 2 5 5" xfId="19920" xr:uid="{00000000-0005-0000-0000-00001C1C0000}"/>
    <cellStyle name="Normal 13 11 2 6" xfId="10351" xr:uid="{00000000-0005-0000-0000-00001D1C0000}"/>
    <cellStyle name="Normal 13 11 2 6 2" xfId="48625" xr:uid="{00000000-0005-0000-0000-00001E1C0000}"/>
    <cellStyle name="Normal 13 11 2 6 3" xfId="32525" xr:uid="{00000000-0005-0000-0000-00001F1C0000}"/>
    <cellStyle name="Normal 13 11 2 6 4" xfId="22956" xr:uid="{00000000-0005-0000-0000-0000201C0000}"/>
    <cellStyle name="Normal 13 11 2 7" xfId="3374" xr:uid="{00000000-0005-0000-0000-0000211C0000}"/>
    <cellStyle name="Normal 13 11 2 7 2" xfId="51215" xr:uid="{00000000-0005-0000-0000-0000221C0000}"/>
    <cellStyle name="Normal 13 11 2 7 3" xfId="35115" xr:uid="{00000000-0005-0000-0000-0000231C0000}"/>
    <cellStyle name="Normal 13 11 2 7 4" xfId="15979" xr:uid="{00000000-0005-0000-0000-0000241C0000}"/>
    <cellStyle name="Normal 13 11 2 8" xfId="41648" xr:uid="{00000000-0005-0000-0000-0000251C0000}"/>
    <cellStyle name="Normal 13 11 2 9" xfId="25548" xr:uid="{00000000-0005-0000-0000-0000261C0000}"/>
    <cellStyle name="Normal 13 11 3" xfId="639" xr:uid="{00000000-0005-0000-0000-0000271C0000}"/>
    <cellStyle name="Normal 13 11 3 2" xfId="2667" xr:uid="{00000000-0005-0000-0000-0000281C0000}"/>
    <cellStyle name="Normal 13 11 3 2 2" xfId="9199" xr:uid="{00000000-0005-0000-0000-0000291C0000}"/>
    <cellStyle name="Normal 13 11 3 2 2 2" xfId="40940" xr:uid="{00000000-0005-0000-0000-00002A1C0000}"/>
    <cellStyle name="Normal 13 11 3 2 2 2 2" xfId="57040" xr:uid="{00000000-0005-0000-0000-00002B1C0000}"/>
    <cellStyle name="Normal 13 11 3 2 2 3" xfId="47473" xr:uid="{00000000-0005-0000-0000-00002C1C0000}"/>
    <cellStyle name="Normal 13 11 3 2 2 4" xfId="31373" xr:uid="{00000000-0005-0000-0000-00002D1C0000}"/>
    <cellStyle name="Normal 13 11 3 2 2 5" xfId="21804" xr:uid="{00000000-0005-0000-0000-00002E1C0000}"/>
    <cellStyle name="Normal 13 11 3 2 3" xfId="12235" xr:uid="{00000000-0005-0000-0000-00002F1C0000}"/>
    <cellStyle name="Normal 13 11 3 2 3 2" xfId="50509" xr:uid="{00000000-0005-0000-0000-0000301C0000}"/>
    <cellStyle name="Normal 13 11 3 2 3 3" xfId="34409" xr:uid="{00000000-0005-0000-0000-0000311C0000}"/>
    <cellStyle name="Normal 13 11 3 2 3 4" xfId="24840" xr:uid="{00000000-0005-0000-0000-0000321C0000}"/>
    <cellStyle name="Normal 13 11 3 2 4" xfId="6163" xr:uid="{00000000-0005-0000-0000-0000331C0000}"/>
    <cellStyle name="Normal 13 11 3 2 4 2" xfId="54004" xr:uid="{00000000-0005-0000-0000-0000341C0000}"/>
    <cellStyle name="Normal 13 11 3 2 4 3" xfId="37904" xr:uid="{00000000-0005-0000-0000-0000351C0000}"/>
    <cellStyle name="Normal 13 11 3 2 4 4" xfId="18768" xr:uid="{00000000-0005-0000-0000-0000361C0000}"/>
    <cellStyle name="Normal 13 11 3 2 5" xfId="44437" xr:uid="{00000000-0005-0000-0000-0000371C0000}"/>
    <cellStyle name="Normal 13 11 3 2 6" xfId="28337" xr:uid="{00000000-0005-0000-0000-0000381C0000}"/>
    <cellStyle name="Normal 13 11 3 2 7" xfId="15273" xr:uid="{00000000-0005-0000-0000-0000391C0000}"/>
    <cellStyle name="Normal 13 11 3 3" xfId="1649" xr:uid="{00000000-0005-0000-0000-00003A1C0000}"/>
    <cellStyle name="Normal 13 11 3 3 2" xfId="8183" xr:uid="{00000000-0005-0000-0000-00003B1C0000}"/>
    <cellStyle name="Normal 13 11 3 3 2 2" xfId="39924" xr:uid="{00000000-0005-0000-0000-00003C1C0000}"/>
    <cellStyle name="Normal 13 11 3 3 2 2 2" xfId="56024" xr:uid="{00000000-0005-0000-0000-00003D1C0000}"/>
    <cellStyle name="Normal 13 11 3 3 2 3" xfId="46457" xr:uid="{00000000-0005-0000-0000-00003E1C0000}"/>
    <cellStyle name="Normal 13 11 3 3 2 4" xfId="30357" xr:uid="{00000000-0005-0000-0000-00003F1C0000}"/>
    <cellStyle name="Normal 13 11 3 3 2 5" xfId="20788" xr:uid="{00000000-0005-0000-0000-0000401C0000}"/>
    <cellStyle name="Normal 13 11 3 3 3" xfId="11219" xr:uid="{00000000-0005-0000-0000-0000411C0000}"/>
    <cellStyle name="Normal 13 11 3 3 3 2" xfId="49493" xr:uid="{00000000-0005-0000-0000-0000421C0000}"/>
    <cellStyle name="Normal 13 11 3 3 3 3" xfId="33393" xr:uid="{00000000-0005-0000-0000-0000431C0000}"/>
    <cellStyle name="Normal 13 11 3 3 3 4" xfId="23824" xr:uid="{00000000-0005-0000-0000-0000441C0000}"/>
    <cellStyle name="Normal 13 11 3 3 4" xfId="5147" xr:uid="{00000000-0005-0000-0000-0000451C0000}"/>
    <cellStyle name="Normal 13 11 3 3 4 2" xfId="52988" xr:uid="{00000000-0005-0000-0000-0000461C0000}"/>
    <cellStyle name="Normal 13 11 3 3 4 3" xfId="36888" xr:uid="{00000000-0005-0000-0000-0000471C0000}"/>
    <cellStyle name="Normal 13 11 3 3 4 4" xfId="17752" xr:uid="{00000000-0005-0000-0000-0000481C0000}"/>
    <cellStyle name="Normal 13 11 3 3 5" xfId="43421" xr:uid="{00000000-0005-0000-0000-0000491C0000}"/>
    <cellStyle name="Normal 13 11 3 3 6" xfId="27321" xr:uid="{00000000-0005-0000-0000-00004A1C0000}"/>
    <cellStyle name="Normal 13 11 3 3 7" xfId="14257" xr:uid="{00000000-0005-0000-0000-00004B1C0000}"/>
    <cellStyle name="Normal 13 11 3 4" xfId="7173" xr:uid="{00000000-0005-0000-0000-00004C1C0000}"/>
    <cellStyle name="Normal 13 11 3 4 2" xfId="38914" xr:uid="{00000000-0005-0000-0000-00004D1C0000}"/>
    <cellStyle name="Normal 13 11 3 4 2 2" xfId="55014" xr:uid="{00000000-0005-0000-0000-00004E1C0000}"/>
    <cellStyle name="Normal 13 11 3 4 3" xfId="45447" xr:uid="{00000000-0005-0000-0000-00004F1C0000}"/>
    <cellStyle name="Normal 13 11 3 4 4" xfId="29347" xr:uid="{00000000-0005-0000-0000-0000501C0000}"/>
    <cellStyle name="Normal 13 11 3 4 5" xfId="19778" xr:uid="{00000000-0005-0000-0000-0000511C0000}"/>
    <cellStyle name="Normal 13 11 3 5" xfId="10209" xr:uid="{00000000-0005-0000-0000-0000521C0000}"/>
    <cellStyle name="Normal 13 11 3 5 2" xfId="48483" xr:uid="{00000000-0005-0000-0000-0000531C0000}"/>
    <cellStyle name="Normal 13 11 3 5 3" xfId="32383" xr:uid="{00000000-0005-0000-0000-0000541C0000}"/>
    <cellStyle name="Normal 13 11 3 5 4" xfId="22814" xr:uid="{00000000-0005-0000-0000-0000551C0000}"/>
    <cellStyle name="Normal 13 11 3 6" xfId="4137" xr:uid="{00000000-0005-0000-0000-0000561C0000}"/>
    <cellStyle name="Normal 13 11 3 6 2" xfId="51978" xr:uid="{00000000-0005-0000-0000-0000571C0000}"/>
    <cellStyle name="Normal 13 11 3 6 3" xfId="35878" xr:uid="{00000000-0005-0000-0000-0000581C0000}"/>
    <cellStyle name="Normal 13 11 3 6 4" xfId="16742" xr:uid="{00000000-0005-0000-0000-0000591C0000}"/>
    <cellStyle name="Normal 13 11 3 7" xfId="42411" xr:uid="{00000000-0005-0000-0000-00005A1C0000}"/>
    <cellStyle name="Normal 13 11 3 8" xfId="26311" xr:uid="{00000000-0005-0000-0000-00005B1C0000}"/>
    <cellStyle name="Normal 13 11 3 9" xfId="13247" xr:uid="{00000000-0005-0000-0000-00005C1C0000}"/>
    <cellStyle name="Normal 13 11 4" xfId="2439" xr:uid="{00000000-0005-0000-0000-00005D1C0000}"/>
    <cellStyle name="Normal 13 11 4 2" xfId="8971" xr:uid="{00000000-0005-0000-0000-00005E1C0000}"/>
    <cellStyle name="Normal 13 11 4 2 2" xfId="40712" xr:uid="{00000000-0005-0000-0000-00005F1C0000}"/>
    <cellStyle name="Normal 13 11 4 2 2 2" xfId="56812" xr:uid="{00000000-0005-0000-0000-0000601C0000}"/>
    <cellStyle name="Normal 13 11 4 2 3" xfId="47245" xr:uid="{00000000-0005-0000-0000-0000611C0000}"/>
    <cellStyle name="Normal 13 11 4 2 4" xfId="31145" xr:uid="{00000000-0005-0000-0000-0000621C0000}"/>
    <cellStyle name="Normal 13 11 4 2 5" xfId="21576" xr:uid="{00000000-0005-0000-0000-0000631C0000}"/>
    <cellStyle name="Normal 13 11 4 3" xfId="12007" xr:uid="{00000000-0005-0000-0000-0000641C0000}"/>
    <cellStyle name="Normal 13 11 4 3 2" xfId="50281" xr:uid="{00000000-0005-0000-0000-0000651C0000}"/>
    <cellStyle name="Normal 13 11 4 3 3" xfId="34181" xr:uid="{00000000-0005-0000-0000-0000661C0000}"/>
    <cellStyle name="Normal 13 11 4 3 4" xfId="24612" xr:uid="{00000000-0005-0000-0000-0000671C0000}"/>
    <cellStyle name="Normal 13 11 4 4" xfId="5935" xr:uid="{00000000-0005-0000-0000-0000681C0000}"/>
    <cellStyle name="Normal 13 11 4 4 2" xfId="53776" xr:uid="{00000000-0005-0000-0000-0000691C0000}"/>
    <cellStyle name="Normal 13 11 4 4 3" xfId="37676" xr:uid="{00000000-0005-0000-0000-00006A1C0000}"/>
    <cellStyle name="Normal 13 11 4 4 4" xfId="18540" xr:uid="{00000000-0005-0000-0000-00006B1C0000}"/>
    <cellStyle name="Normal 13 11 4 5" xfId="44209" xr:uid="{00000000-0005-0000-0000-00006C1C0000}"/>
    <cellStyle name="Normal 13 11 4 6" xfId="28109" xr:uid="{00000000-0005-0000-0000-00006D1C0000}"/>
    <cellStyle name="Normal 13 11 4 7" xfId="15045" xr:uid="{00000000-0005-0000-0000-00006E1C0000}"/>
    <cellStyle name="Normal 13 11 5" xfId="1108" xr:uid="{00000000-0005-0000-0000-00006F1C0000}"/>
    <cellStyle name="Normal 13 11 5 2" xfId="7642" xr:uid="{00000000-0005-0000-0000-0000701C0000}"/>
    <cellStyle name="Normal 13 11 5 2 2" xfId="39383" xr:uid="{00000000-0005-0000-0000-0000711C0000}"/>
    <cellStyle name="Normal 13 11 5 2 2 2" xfId="55483" xr:uid="{00000000-0005-0000-0000-0000721C0000}"/>
    <cellStyle name="Normal 13 11 5 2 3" xfId="45916" xr:uid="{00000000-0005-0000-0000-0000731C0000}"/>
    <cellStyle name="Normal 13 11 5 2 4" xfId="29816" xr:uid="{00000000-0005-0000-0000-0000741C0000}"/>
    <cellStyle name="Normal 13 11 5 2 5" xfId="20247" xr:uid="{00000000-0005-0000-0000-0000751C0000}"/>
    <cellStyle name="Normal 13 11 5 3" xfId="10678" xr:uid="{00000000-0005-0000-0000-0000761C0000}"/>
    <cellStyle name="Normal 13 11 5 3 2" xfId="48952" xr:uid="{00000000-0005-0000-0000-0000771C0000}"/>
    <cellStyle name="Normal 13 11 5 3 3" xfId="32852" xr:uid="{00000000-0005-0000-0000-0000781C0000}"/>
    <cellStyle name="Normal 13 11 5 3 4" xfId="23283" xr:uid="{00000000-0005-0000-0000-0000791C0000}"/>
    <cellStyle name="Normal 13 11 5 4" xfId="4606" xr:uid="{00000000-0005-0000-0000-00007A1C0000}"/>
    <cellStyle name="Normal 13 11 5 4 2" xfId="52447" xr:uid="{00000000-0005-0000-0000-00007B1C0000}"/>
    <cellStyle name="Normal 13 11 5 4 3" xfId="36347" xr:uid="{00000000-0005-0000-0000-00007C1C0000}"/>
    <cellStyle name="Normal 13 11 5 4 4" xfId="17211" xr:uid="{00000000-0005-0000-0000-00007D1C0000}"/>
    <cellStyle name="Normal 13 11 5 5" xfId="42880" xr:uid="{00000000-0005-0000-0000-00007E1C0000}"/>
    <cellStyle name="Normal 13 11 5 6" xfId="26780" xr:uid="{00000000-0005-0000-0000-00007F1C0000}"/>
    <cellStyle name="Normal 13 11 5 7" xfId="13716" xr:uid="{00000000-0005-0000-0000-0000801C0000}"/>
    <cellStyle name="Normal 13 11 6" xfId="3596" xr:uid="{00000000-0005-0000-0000-0000811C0000}"/>
    <cellStyle name="Normal 13 11 6 2" xfId="35337" xr:uid="{00000000-0005-0000-0000-0000821C0000}"/>
    <cellStyle name="Normal 13 11 6 2 2" xfId="51437" xr:uid="{00000000-0005-0000-0000-0000831C0000}"/>
    <cellStyle name="Normal 13 11 6 3" xfId="41870" xr:uid="{00000000-0005-0000-0000-0000841C0000}"/>
    <cellStyle name="Normal 13 11 6 4" xfId="25770" xr:uid="{00000000-0005-0000-0000-0000851C0000}"/>
    <cellStyle name="Normal 13 11 6 5" xfId="16201" xr:uid="{00000000-0005-0000-0000-0000861C0000}"/>
    <cellStyle name="Normal 13 11 7" xfId="6632" xr:uid="{00000000-0005-0000-0000-0000871C0000}"/>
    <cellStyle name="Normal 13 11 7 2" xfId="38373" xr:uid="{00000000-0005-0000-0000-0000881C0000}"/>
    <cellStyle name="Normal 13 11 7 2 2" xfId="54473" xr:uid="{00000000-0005-0000-0000-0000891C0000}"/>
    <cellStyle name="Normal 13 11 7 3" xfId="44906" xr:uid="{00000000-0005-0000-0000-00008A1C0000}"/>
    <cellStyle name="Normal 13 11 7 4" xfId="28806" xr:uid="{00000000-0005-0000-0000-00008B1C0000}"/>
    <cellStyle name="Normal 13 11 7 5" xfId="19237" xr:uid="{00000000-0005-0000-0000-00008C1C0000}"/>
    <cellStyle name="Normal 13 11 8" xfId="9668" xr:uid="{00000000-0005-0000-0000-00008D1C0000}"/>
    <cellStyle name="Normal 13 11 8 2" xfId="47942" xr:uid="{00000000-0005-0000-0000-00008E1C0000}"/>
    <cellStyle name="Normal 13 11 8 3" xfId="31842" xr:uid="{00000000-0005-0000-0000-00008F1C0000}"/>
    <cellStyle name="Normal 13 11 8 4" xfId="22273" xr:uid="{00000000-0005-0000-0000-0000901C0000}"/>
    <cellStyle name="Normal 13 11 9" xfId="3136" xr:uid="{00000000-0005-0000-0000-0000911C0000}"/>
    <cellStyle name="Normal 13 11 9 2" xfId="50978" xr:uid="{00000000-0005-0000-0000-0000921C0000}"/>
    <cellStyle name="Normal 13 11 9 3" xfId="34878" xr:uid="{00000000-0005-0000-0000-0000931C0000}"/>
    <cellStyle name="Normal 13 11 9 4" xfId="15742" xr:uid="{00000000-0005-0000-0000-0000941C0000}"/>
    <cellStyle name="Normal 13 12" xfId="404" xr:uid="{00000000-0005-0000-0000-0000951C0000}"/>
    <cellStyle name="Normal 13 12 10" xfId="41394" xr:uid="{00000000-0005-0000-0000-0000961C0000}"/>
    <cellStyle name="Normal 13 12 11" xfId="25294" xr:uid="{00000000-0005-0000-0000-0000971C0000}"/>
    <cellStyle name="Normal 13 12 12" xfId="12689" xr:uid="{00000000-0005-0000-0000-0000981C0000}"/>
    <cellStyle name="Normal 13 12 2" xfId="764" xr:uid="{00000000-0005-0000-0000-0000991C0000}"/>
    <cellStyle name="Normal 13 12 2 10" xfId="13372" xr:uid="{00000000-0005-0000-0000-00009A1C0000}"/>
    <cellStyle name="Normal 13 12 2 2" xfId="2792" xr:uid="{00000000-0005-0000-0000-00009B1C0000}"/>
    <cellStyle name="Normal 13 12 2 2 2" xfId="9324" xr:uid="{00000000-0005-0000-0000-00009C1C0000}"/>
    <cellStyle name="Normal 13 12 2 2 2 2" xfId="41065" xr:uid="{00000000-0005-0000-0000-00009D1C0000}"/>
    <cellStyle name="Normal 13 12 2 2 2 2 2" xfId="57165" xr:uid="{00000000-0005-0000-0000-00009E1C0000}"/>
    <cellStyle name="Normal 13 12 2 2 2 3" xfId="47598" xr:uid="{00000000-0005-0000-0000-00009F1C0000}"/>
    <cellStyle name="Normal 13 12 2 2 2 4" xfId="31498" xr:uid="{00000000-0005-0000-0000-0000A01C0000}"/>
    <cellStyle name="Normal 13 12 2 2 2 5" xfId="21929" xr:uid="{00000000-0005-0000-0000-0000A11C0000}"/>
    <cellStyle name="Normal 13 12 2 2 3" xfId="12360" xr:uid="{00000000-0005-0000-0000-0000A21C0000}"/>
    <cellStyle name="Normal 13 12 2 2 3 2" xfId="50634" xr:uid="{00000000-0005-0000-0000-0000A31C0000}"/>
    <cellStyle name="Normal 13 12 2 2 3 3" xfId="34534" xr:uid="{00000000-0005-0000-0000-0000A41C0000}"/>
    <cellStyle name="Normal 13 12 2 2 3 4" xfId="24965" xr:uid="{00000000-0005-0000-0000-0000A51C0000}"/>
    <cellStyle name="Normal 13 12 2 2 4" xfId="6288" xr:uid="{00000000-0005-0000-0000-0000A61C0000}"/>
    <cellStyle name="Normal 13 12 2 2 4 2" xfId="54129" xr:uid="{00000000-0005-0000-0000-0000A71C0000}"/>
    <cellStyle name="Normal 13 12 2 2 4 3" xfId="38029" xr:uid="{00000000-0005-0000-0000-0000A81C0000}"/>
    <cellStyle name="Normal 13 12 2 2 4 4" xfId="18893" xr:uid="{00000000-0005-0000-0000-0000A91C0000}"/>
    <cellStyle name="Normal 13 12 2 2 5" xfId="44562" xr:uid="{00000000-0005-0000-0000-0000AA1C0000}"/>
    <cellStyle name="Normal 13 12 2 2 6" xfId="28462" xr:uid="{00000000-0005-0000-0000-0000AB1C0000}"/>
    <cellStyle name="Normal 13 12 2 2 7" xfId="15398" xr:uid="{00000000-0005-0000-0000-0000AC1C0000}"/>
    <cellStyle name="Normal 13 12 2 3" xfId="1774" xr:uid="{00000000-0005-0000-0000-0000AD1C0000}"/>
    <cellStyle name="Normal 13 12 2 3 2" xfId="8308" xr:uid="{00000000-0005-0000-0000-0000AE1C0000}"/>
    <cellStyle name="Normal 13 12 2 3 2 2" xfId="40049" xr:uid="{00000000-0005-0000-0000-0000AF1C0000}"/>
    <cellStyle name="Normal 13 12 2 3 2 2 2" xfId="56149" xr:uid="{00000000-0005-0000-0000-0000B01C0000}"/>
    <cellStyle name="Normal 13 12 2 3 2 3" xfId="46582" xr:uid="{00000000-0005-0000-0000-0000B11C0000}"/>
    <cellStyle name="Normal 13 12 2 3 2 4" xfId="30482" xr:uid="{00000000-0005-0000-0000-0000B21C0000}"/>
    <cellStyle name="Normal 13 12 2 3 2 5" xfId="20913" xr:uid="{00000000-0005-0000-0000-0000B31C0000}"/>
    <cellStyle name="Normal 13 12 2 3 3" xfId="11344" xr:uid="{00000000-0005-0000-0000-0000B41C0000}"/>
    <cellStyle name="Normal 13 12 2 3 3 2" xfId="49618" xr:uid="{00000000-0005-0000-0000-0000B51C0000}"/>
    <cellStyle name="Normal 13 12 2 3 3 3" xfId="33518" xr:uid="{00000000-0005-0000-0000-0000B61C0000}"/>
    <cellStyle name="Normal 13 12 2 3 3 4" xfId="23949" xr:uid="{00000000-0005-0000-0000-0000B71C0000}"/>
    <cellStyle name="Normal 13 12 2 3 4" xfId="5272" xr:uid="{00000000-0005-0000-0000-0000B81C0000}"/>
    <cellStyle name="Normal 13 12 2 3 4 2" xfId="53113" xr:uid="{00000000-0005-0000-0000-0000B91C0000}"/>
    <cellStyle name="Normal 13 12 2 3 4 3" xfId="37013" xr:uid="{00000000-0005-0000-0000-0000BA1C0000}"/>
    <cellStyle name="Normal 13 12 2 3 4 4" xfId="17877" xr:uid="{00000000-0005-0000-0000-0000BB1C0000}"/>
    <cellStyle name="Normal 13 12 2 3 5" xfId="43546" xr:uid="{00000000-0005-0000-0000-0000BC1C0000}"/>
    <cellStyle name="Normal 13 12 2 3 6" xfId="27446" xr:uid="{00000000-0005-0000-0000-0000BD1C0000}"/>
    <cellStyle name="Normal 13 12 2 3 7" xfId="14382" xr:uid="{00000000-0005-0000-0000-0000BE1C0000}"/>
    <cellStyle name="Normal 13 12 2 4" xfId="4262" xr:uid="{00000000-0005-0000-0000-0000BF1C0000}"/>
    <cellStyle name="Normal 13 12 2 4 2" xfId="36003" xr:uid="{00000000-0005-0000-0000-0000C01C0000}"/>
    <cellStyle name="Normal 13 12 2 4 2 2" xfId="52103" xr:uid="{00000000-0005-0000-0000-0000C11C0000}"/>
    <cellStyle name="Normal 13 12 2 4 3" xfId="42536" xr:uid="{00000000-0005-0000-0000-0000C21C0000}"/>
    <cellStyle name="Normal 13 12 2 4 4" xfId="26436" xr:uid="{00000000-0005-0000-0000-0000C31C0000}"/>
    <cellStyle name="Normal 13 12 2 4 5" xfId="16867" xr:uid="{00000000-0005-0000-0000-0000C41C0000}"/>
    <cellStyle name="Normal 13 12 2 5" xfId="7298" xr:uid="{00000000-0005-0000-0000-0000C51C0000}"/>
    <cellStyle name="Normal 13 12 2 5 2" xfId="39039" xr:uid="{00000000-0005-0000-0000-0000C61C0000}"/>
    <cellStyle name="Normal 13 12 2 5 2 2" xfId="55139" xr:uid="{00000000-0005-0000-0000-0000C71C0000}"/>
    <cellStyle name="Normal 13 12 2 5 3" xfId="45572" xr:uid="{00000000-0005-0000-0000-0000C81C0000}"/>
    <cellStyle name="Normal 13 12 2 5 4" xfId="29472" xr:uid="{00000000-0005-0000-0000-0000C91C0000}"/>
    <cellStyle name="Normal 13 12 2 5 5" xfId="19903" xr:uid="{00000000-0005-0000-0000-0000CA1C0000}"/>
    <cellStyle name="Normal 13 12 2 6" xfId="10334" xr:uid="{00000000-0005-0000-0000-0000CB1C0000}"/>
    <cellStyle name="Normal 13 12 2 6 2" xfId="48608" xr:uid="{00000000-0005-0000-0000-0000CC1C0000}"/>
    <cellStyle name="Normal 13 12 2 6 3" xfId="32508" xr:uid="{00000000-0005-0000-0000-0000CD1C0000}"/>
    <cellStyle name="Normal 13 12 2 6 4" xfId="22939" xr:uid="{00000000-0005-0000-0000-0000CE1C0000}"/>
    <cellStyle name="Normal 13 12 2 7" xfId="3357" xr:uid="{00000000-0005-0000-0000-0000CF1C0000}"/>
    <cellStyle name="Normal 13 12 2 7 2" xfId="51198" xr:uid="{00000000-0005-0000-0000-0000D01C0000}"/>
    <cellStyle name="Normal 13 12 2 7 3" xfId="35098" xr:uid="{00000000-0005-0000-0000-0000D11C0000}"/>
    <cellStyle name="Normal 13 12 2 7 4" xfId="15962" xr:uid="{00000000-0005-0000-0000-0000D21C0000}"/>
    <cellStyle name="Normal 13 12 2 8" xfId="41631" xr:uid="{00000000-0005-0000-0000-0000D31C0000}"/>
    <cellStyle name="Normal 13 12 2 9" xfId="25531" xr:uid="{00000000-0005-0000-0000-0000D41C0000}"/>
    <cellStyle name="Normal 13 12 3" xfId="622" xr:uid="{00000000-0005-0000-0000-0000D51C0000}"/>
    <cellStyle name="Normal 13 12 3 2" xfId="2650" xr:uid="{00000000-0005-0000-0000-0000D61C0000}"/>
    <cellStyle name="Normal 13 12 3 2 2" xfId="9182" xr:uid="{00000000-0005-0000-0000-0000D71C0000}"/>
    <cellStyle name="Normal 13 12 3 2 2 2" xfId="40923" xr:uid="{00000000-0005-0000-0000-0000D81C0000}"/>
    <cellStyle name="Normal 13 12 3 2 2 2 2" xfId="57023" xr:uid="{00000000-0005-0000-0000-0000D91C0000}"/>
    <cellStyle name="Normal 13 12 3 2 2 3" xfId="47456" xr:uid="{00000000-0005-0000-0000-0000DA1C0000}"/>
    <cellStyle name="Normal 13 12 3 2 2 4" xfId="31356" xr:uid="{00000000-0005-0000-0000-0000DB1C0000}"/>
    <cellStyle name="Normal 13 12 3 2 2 5" xfId="21787" xr:uid="{00000000-0005-0000-0000-0000DC1C0000}"/>
    <cellStyle name="Normal 13 12 3 2 3" xfId="12218" xr:uid="{00000000-0005-0000-0000-0000DD1C0000}"/>
    <cellStyle name="Normal 13 12 3 2 3 2" xfId="50492" xr:uid="{00000000-0005-0000-0000-0000DE1C0000}"/>
    <cellStyle name="Normal 13 12 3 2 3 3" xfId="34392" xr:uid="{00000000-0005-0000-0000-0000DF1C0000}"/>
    <cellStyle name="Normal 13 12 3 2 3 4" xfId="24823" xr:uid="{00000000-0005-0000-0000-0000E01C0000}"/>
    <cellStyle name="Normal 13 12 3 2 4" xfId="6146" xr:uid="{00000000-0005-0000-0000-0000E11C0000}"/>
    <cellStyle name="Normal 13 12 3 2 4 2" xfId="53987" xr:uid="{00000000-0005-0000-0000-0000E21C0000}"/>
    <cellStyle name="Normal 13 12 3 2 4 3" xfId="37887" xr:uid="{00000000-0005-0000-0000-0000E31C0000}"/>
    <cellStyle name="Normal 13 12 3 2 4 4" xfId="18751" xr:uid="{00000000-0005-0000-0000-0000E41C0000}"/>
    <cellStyle name="Normal 13 12 3 2 5" xfId="44420" xr:uid="{00000000-0005-0000-0000-0000E51C0000}"/>
    <cellStyle name="Normal 13 12 3 2 6" xfId="28320" xr:uid="{00000000-0005-0000-0000-0000E61C0000}"/>
    <cellStyle name="Normal 13 12 3 2 7" xfId="15256" xr:uid="{00000000-0005-0000-0000-0000E71C0000}"/>
    <cellStyle name="Normal 13 12 3 3" xfId="1632" xr:uid="{00000000-0005-0000-0000-0000E81C0000}"/>
    <cellStyle name="Normal 13 12 3 3 2" xfId="8166" xr:uid="{00000000-0005-0000-0000-0000E91C0000}"/>
    <cellStyle name="Normal 13 12 3 3 2 2" xfId="39907" xr:uid="{00000000-0005-0000-0000-0000EA1C0000}"/>
    <cellStyle name="Normal 13 12 3 3 2 2 2" xfId="56007" xr:uid="{00000000-0005-0000-0000-0000EB1C0000}"/>
    <cellStyle name="Normal 13 12 3 3 2 3" xfId="46440" xr:uid="{00000000-0005-0000-0000-0000EC1C0000}"/>
    <cellStyle name="Normal 13 12 3 3 2 4" xfId="30340" xr:uid="{00000000-0005-0000-0000-0000ED1C0000}"/>
    <cellStyle name="Normal 13 12 3 3 2 5" xfId="20771" xr:uid="{00000000-0005-0000-0000-0000EE1C0000}"/>
    <cellStyle name="Normal 13 12 3 3 3" xfId="11202" xr:uid="{00000000-0005-0000-0000-0000EF1C0000}"/>
    <cellStyle name="Normal 13 12 3 3 3 2" xfId="49476" xr:uid="{00000000-0005-0000-0000-0000F01C0000}"/>
    <cellStyle name="Normal 13 12 3 3 3 3" xfId="33376" xr:uid="{00000000-0005-0000-0000-0000F11C0000}"/>
    <cellStyle name="Normal 13 12 3 3 3 4" xfId="23807" xr:uid="{00000000-0005-0000-0000-0000F21C0000}"/>
    <cellStyle name="Normal 13 12 3 3 4" xfId="5130" xr:uid="{00000000-0005-0000-0000-0000F31C0000}"/>
    <cellStyle name="Normal 13 12 3 3 4 2" xfId="52971" xr:uid="{00000000-0005-0000-0000-0000F41C0000}"/>
    <cellStyle name="Normal 13 12 3 3 4 3" xfId="36871" xr:uid="{00000000-0005-0000-0000-0000F51C0000}"/>
    <cellStyle name="Normal 13 12 3 3 4 4" xfId="17735" xr:uid="{00000000-0005-0000-0000-0000F61C0000}"/>
    <cellStyle name="Normal 13 12 3 3 5" xfId="43404" xr:uid="{00000000-0005-0000-0000-0000F71C0000}"/>
    <cellStyle name="Normal 13 12 3 3 6" xfId="27304" xr:uid="{00000000-0005-0000-0000-0000F81C0000}"/>
    <cellStyle name="Normal 13 12 3 3 7" xfId="14240" xr:uid="{00000000-0005-0000-0000-0000F91C0000}"/>
    <cellStyle name="Normal 13 12 3 4" xfId="7156" xr:uid="{00000000-0005-0000-0000-0000FA1C0000}"/>
    <cellStyle name="Normal 13 12 3 4 2" xfId="38897" xr:uid="{00000000-0005-0000-0000-0000FB1C0000}"/>
    <cellStyle name="Normal 13 12 3 4 2 2" xfId="54997" xr:uid="{00000000-0005-0000-0000-0000FC1C0000}"/>
    <cellStyle name="Normal 13 12 3 4 3" xfId="45430" xr:uid="{00000000-0005-0000-0000-0000FD1C0000}"/>
    <cellStyle name="Normal 13 12 3 4 4" xfId="29330" xr:uid="{00000000-0005-0000-0000-0000FE1C0000}"/>
    <cellStyle name="Normal 13 12 3 4 5" xfId="19761" xr:uid="{00000000-0005-0000-0000-0000FF1C0000}"/>
    <cellStyle name="Normal 13 12 3 5" xfId="10192" xr:uid="{00000000-0005-0000-0000-0000001D0000}"/>
    <cellStyle name="Normal 13 12 3 5 2" xfId="48466" xr:uid="{00000000-0005-0000-0000-0000011D0000}"/>
    <cellStyle name="Normal 13 12 3 5 3" xfId="32366" xr:uid="{00000000-0005-0000-0000-0000021D0000}"/>
    <cellStyle name="Normal 13 12 3 5 4" xfId="22797" xr:uid="{00000000-0005-0000-0000-0000031D0000}"/>
    <cellStyle name="Normal 13 12 3 6" xfId="4120" xr:uid="{00000000-0005-0000-0000-0000041D0000}"/>
    <cellStyle name="Normal 13 12 3 6 2" xfId="51961" xr:uid="{00000000-0005-0000-0000-0000051D0000}"/>
    <cellStyle name="Normal 13 12 3 6 3" xfId="35861" xr:uid="{00000000-0005-0000-0000-0000061D0000}"/>
    <cellStyle name="Normal 13 12 3 6 4" xfId="16725" xr:uid="{00000000-0005-0000-0000-0000071D0000}"/>
    <cellStyle name="Normal 13 12 3 7" xfId="42394" xr:uid="{00000000-0005-0000-0000-0000081D0000}"/>
    <cellStyle name="Normal 13 12 3 8" xfId="26294" xr:uid="{00000000-0005-0000-0000-0000091D0000}"/>
    <cellStyle name="Normal 13 12 3 9" xfId="13230" xr:uid="{00000000-0005-0000-0000-00000A1D0000}"/>
    <cellStyle name="Normal 13 12 4" xfId="2422" xr:uid="{00000000-0005-0000-0000-00000B1D0000}"/>
    <cellStyle name="Normal 13 12 4 2" xfId="8954" xr:uid="{00000000-0005-0000-0000-00000C1D0000}"/>
    <cellStyle name="Normal 13 12 4 2 2" xfId="40695" xr:uid="{00000000-0005-0000-0000-00000D1D0000}"/>
    <cellStyle name="Normal 13 12 4 2 2 2" xfId="56795" xr:uid="{00000000-0005-0000-0000-00000E1D0000}"/>
    <cellStyle name="Normal 13 12 4 2 3" xfId="47228" xr:uid="{00000000-0005-0000-0000-00000F1D0000}"/>
    <cellStyle name="Normal 13 12 4 2 4" xfId="31128" xr:uid="{00000000-0005-0000-0000-0000101D0000}"/>
    <cellStyle name="Normal 13 12 4 2 5" xfId="21559" xr:uid="{00000000-0005-0000-0000-0000111D0000}"/>
    <cellStyle name="Normal 13 12 4 3" xfId="11990" xr:uid="{00000000-0005-0000-0000-0000121D0000}"/>
    <cellStyle name="Normal 13 12 4 3 2" xfId="50264" xr:uid="{00000000-0005-0000-0000-0000131D0000}"/>
    <cellStyle name="Normal 13 12 4 3 3" xfId="34164" xr:uid="{00000000-0005-0000-0000-0000141D0000}"/>
    <cellStyle name="Normal 13 12 4 3 4" xfId="24595" xr:uid="{00000000-0005-0000-0000-0000151D0000}"/>
    <cellStyle name="Normal 13 12 4 4" xfId="5918" xr:uid="{00000000-0005-0000-0000-0000161D0000}"/>
    <cellStyle name="Normal 13 12 4 4 2" xfId="53759" xr:uid="{00000000-0005-0000-0000-0000171D0000}"/>
    <cellStyle name="Normal 13 12 4 4 3" xfId="37659" xr:uid="{00000000-0005-0000-0000-0000181D0000}"/>
    <cellStyle name="Normal 13 12 4 4 4" xfId="18523" xr:uid="{00000000-0005-0000-0000-0000191D0000}"/>
    <cellStyle name="Normal 13 12 4 5" xfId="44192" xr:uid="{00000000-0005-0000-0000-00001A1D0000}"/>
    <cellStyle name="Normal 13 12 4 6" xfId="28092" xr:uid="{00000000-0005-0000-0000-00001B1D0000}"/>
    <cellStyle name="Normal 13 12 4 7" xfId="15028" xr:uid="{00000000-0005-0000-0000-00001C1D0000}"/>
    <cellStyle name="Normal 13 12 5" xfId="1091" xr:uid="{00000000-0005-0000-0000-00001D1D0000}"/>
    <cellStyle name="Normal 13 12 5 2" xfId="7625" xr:uid="{00000000-0005-0000-0000-00001E1D0000}"/>
    <cellStyle name="Normal 13 12 5 2 2" xfId="39366" xr:uid="{00000000-0005-0000-0000-00001F1D0000}"/>
    <cellStyle name="Normal 13 12 5 2 2 2" xfId="55466" xr:uid="{00000000-0005-0000-0000-0000201D0000}"/>
    <cellStyle name="Normal 13 12 5 2 3" xfId="45899" xr:uid="{00000000-0005-0000-0000-0000211D0000}"/>
    <cellStyle name="Normal 13 12 5 2 4" xfId="29799" xr:uid="{00000000-0005-0000-0000-0000221D0000}"/>
    <cellStyle name="Normal 13 12 5 2 5" xfId="20230" xr:uid="{00000000-0005-0000-0000-0000231D0000}"/>
    <cellStyle name="Normal 13 12 5 3" xfId="10661" xr:uid="{00000000-0005-0000-0000-0000241D0000}"/>
    <cellStyle name="Normal 13 12 5 3 2" xfId="48935" xr:uid="{00000000-0005-0000-0000-0000251D0000}"/>
    <cellStyle name="Normal 13 12 5 3 3" xfId="32835" xr:uid="{00000000-0005-0000-0000-0000261D0000}"/>
    <cellStyle name="Normal 13 12 5 3 4" xfId="23266" xr:uid="{00000000-0005-0000-0000-0000271D0000}"/>
    <cellStyle name="Normal 13 12 5 4" xfId="4589" xr:uid="{00000000-0005-0000-0000-0000281D0000}"/>
    <cellStyle name="Normal 13 12 5 4 2" xfId="52430" xr:uid="{00000000-0005-0000-0000-0000291D0000}"/>
    <cellStyle name="Normal 13 12 5 4 3" xfId="36330" xr:uid="{00000000-0005-0000-0000-00002A1D0000}"/>
    <cellStyle name="Normal 13 12 5 4 4" xfId="17194" xr:uid="{00000000-0005-0000-0000-00002B1D0000}"/>
    <cellStyle name="Normal 13 12 5 5" xfId="42863" xr:uid="{00000000-0005-0000-0000-00002C1D0000}"/>
    <cellStyle name="Normal 13 12 5 6" xfId="26763" xr:uid="{00000000-0005-0000-0000-00002D1D0000}"/>
    <cellStyle name="Normal 13 12 5 7" xfId="13699" xr:uid="{00000000-0005-0000-0000-00002E1D0000}"/>
    <cellStyle name="Normal 13 12 6" xfId="3579" xr:uid="{00000000-0005-0000-0000-00002F1D0000}"/>
    <cellStyle name="Normal 13 12 6 2" xfId="35320" xr:uid="{00000000-0005-0000-0000-0000301D0000}"/>
    <cellStyle name="Normal 13 12 6 2 2" xfId="51420" xr:uid="{00000000-0005-0000-0000-0000311D0000}"/>
    <cellStyle name="Normal 13 12 6 3" xfId="41853" xr:uid="{00000000-0005-0000-0000-0000321D0000}"/>
    <cellStyle name="Normal 13 12 6 4" xfId="25753" xr:uid="{00000000-0005-0000-0000-0000331D0000}"/>
    <cellStyle name="Normal 13 12 6 5" xfId="16184" xr:uid="{00000000-0005-0000-0000-0000341D0000}"/>
    <cellStyle name="Normal 13 12 7" xfId="6615" xr:uid="{00000000-0005-0000-0000-0000351D0000}"/>
    <cellStyle name="Normal 13 12 7 2" xfId="38356" xr:uid="{00000000-0005-0000-0000-0000361D0000}"/>
    <cellStyle name="Normal 13 12 7 2 2" xfId="54456" xr:uid="{00000000-0005-0000-0000-0000371D0000}"/>
    <cellStyle name="Normal 13 12 7 3" xfId="44889" xr:uid="{00000000-0005-0000-0000-0000381D0000}"/>
    <cellStyle name="Normal 13 12 7 4" xfId="28789" xr:uid="{00000000-0005-0000-0000-0000391D0000}"/>
    <cellStyle name="Normal 13 12 7 5" xfId="19220" xr:uid="{00000000-0005-0000-0000-00003A1D0000}"/>
    <cellStyle name="Normal 13 12 8" xfId="9651" xr:uid="{00000000-0005-0000-0000-00003B1D0000}"/>
    <cellStyle name="Normal 13 12 8 2" xfId="47925" xr:uid="{00000000-0005-0000-0000-00003C1D0000}"/>
    <cellStyle name="Normal 13 12 8 3" xfId="31825" xr:uid="{00000000-0005-0000-0000-00003D1D0000}"/>
    <cellStyle name="Normal 13 12 8 4" xfId="22256" xr:uid="{00000000-0005-0000-0000-00003E1D0000}"/>
    <cellStyle name="Normal 13 12 9" xfId="3119" xr:uid="{00000000-0005-0000-0000-00003F1D0000}"/>
    <cellStyle name="Normal 13 12 9 2" xfId="50961" xr:uid="{00000000-0005-0000-0000-0000401D0000}"/>
    <cellStyle name="Normal 13 12 9 3" xfId="34861" xr:uid="{00000000-0005-0000-0000-0000411D0000}"/>
    <cellStyle name="Normal 13 12 9 4" xfId="15725" xr:uid="{00000000-0005-0000-0000-0000421D0000}"/>
    <cellStyle name="Normal 13 13" xfId="503" xr:uid="{00000000-0005-0000-0000-0000431D0000}"/>
    <cellStyle name="Normal 13 13 10" xfId="25486" xr:uid="{00000000-0005-0000-0000-0000441D0000}"/>
    <cellStyle name="Normal 13 13 11" xfId="12880" xr:uid="{00000000-0005-0000-0000-0000451D0000}"/>
    <cellStyle name="Normal 13 13 2" xfId="955" xr:uid="{00000000-0005-0000-0000-0000461D0000}"/>
    <cellStyle name="Normal 13 13 2 2" xfId="2983" xr:uid="{00000000-0005-0000-0000-0000471D0000}"/>
    <cellStyle name="Normal 13 13 2 2 2" xfId="9515" xr:uid="{00000000-0005-0000-0000-0000481D0000}"/>
    <cellStyle name="Normal 13 13 2 2 2 2" xfId="41256" xr:uid="{00000000-0005-0000-0000-0000491D0000}"/>
    <cellStyle name="Normal 13 13 2 2 2 2 2" xfId="57356" xr:uid="{00000000-0005-0000-0000-00004A1D0000}"/>
    <cellStyle name="Normal 13 13 2 2 2 3" xfId="47789" xr:uid="{00000000-0005-0000-0000-00004B1D0000}"/>
    <cellStyle name="Normal 13 13 2 2 2 4" xfId="31689" xr:uid="{00000000-0005-0000-0000-00004C1D0000}"/>
    <cellStyle name="Normal 13 13 2 2 2 5" xfId="22120" xr:uid="{00000000-0005-0000-0000-00004D1D0000}"/>
    <cellStyle name="Normal 13 13 2 2 3" xfId="12551" xr:uid="{00000000-0005-0000-0000-00004E1D0000}"/>
    <cellStyle name="Normal 13 13 2 2 3 2" xfId="50825" xr:uid="{00000000-0005-0000-0000-00004F1D0000}"/>
    <cellStyle name="Normal 13 13 2 2 3 3" xfId="34725" xr:uid="{00000000-0005-0000-0000-0000501D0000}"/>
    <cellStyle name="Normal 13 13 2 2 3 4" xfId="25156" xr:uid="{00000000-0005-0000-0000-0000511D0000}"/>
    <cellStyle name="Normal 13 13 2 2 4" xfId="6479" xr:uid="{00000000-0005-0000-0000-0000521D0000}"/>
    <cellStyle name="Normal 13 13 2 2 4 2" xfId="54320" xr:uid="{00000000-0005-0000-0000-0000531D0000}"/>
    <cellStyle name="Normal 13 13 2 2 4 3" xfId="38220" xr:uid="{00000000-0005-0000-0000-0000541D0000}"/>
    <cellStyle name="Normal 13 13 2 2 4 4" xfId="19084" xr:uid="{00000000-0005-0000-0000-0000551D0000}"/>
    <cellStyle name="Normal 13 13 2 2 5" xfId="44753" xr:uid="{00000000-0005-0000-0000-0000561D0000}"/>
    <cellStyle name="Normal 13 13 2 2 6" xfId="28653" xr:uid="{00000000-0005-0000-0000-0000571D0000}"/>
    <cellStyle name="Normal 13 13 2 2 7" xfId="15589" xr:uid="{00000000-0005-0000-0000-0000581D0000}"/>
    <cellStyle name="Normal 13 13 2 3" xfId="1965" xr:uid="{00000000-0005-0000-0000-0000591D0000}"/>
    <cellStyle name="Normal 13 13 2 3 2" xfId="8499" xr:uid="{00000000-0005-0000-0000-00005A1D0000}"/>
    <cellStyle name="Normal 13 13 2 3 2 2" xfId="40240" xr:uid="{00000000-0005-0000-0000-00005B1D0000}"/>
    <cellStyle name="Normal 13 13 2 3 2 2 2" xfId="56340" xr:uid="{00000000-0005-0000-0000-00005C1D0000}"/>
    <cellStyle name="Normal 13 13 2 3 2 3" xfId="46773" xr:uid="{00000000-0005-0000-0000-00005D1D0000}"/>
    <cellStyle name="Normal 13 13 2 3 2 4" xfId="30673" xr:uid="{00000000-0005-0000-0000-00005E1D0000}"/>
    <cellStyle name="Normal 13 13 2 3 2 5" xfId="21104" xr:uid="{00000000-0005-0000-0000-00005F1D0000}"/>
    <cellStyle name="Normal 13 13 2 3 3" xfId="11535" xr:uid="{00000000-0005-0000-0000-0000601D0000}"/>
    <cellStyle name="Normal 13 13 2 3 3 2" xfId="49809" xr:uid="{00000000-0005-0000-0000-0000611D0000}"/>
    <cellStyle name="Normal 13 13 2 3 3 3" xfId="33709" xr:uid="{00000000-0005-0000-0000-0000621D0000}"/>
    <cellStyle name="Normal 13 13 2 3 3 4" xfId="24140" xr:uid="{00000000-0005-0000-0000-0000631D0000}"/>
    <cellStyle name="Normal 13 13 2 3 4" xfId="5463" xr:uid="{00000000-0005-0000-0000-0000641D0000}"/>
    <cellStyle name="Normal 13 13 2 3 4 2" xfId="53304" xr:uid="{00000000-0005-0000-0000-0000651D0000}"/>
    <cellStyle name="Normal 13 13 2 3 4 3" xfId="37204" xr:uid="{00000000-0005-0000-0000-0000661D0000}"/>
    <cellStyle name="Normal 13 13 2 3 4 4" xfId="18068" xr:uid="{00000000-0005-0000-0000-0000671D0000}"/>
    <cellStyle name="Normal 13 13 2 3 5" xfId="43737" xr:uid="{00000000-0005-0000-0000-0000681D0000}"/>
    <cellStyle name="Normal 13 13 2 3 6" xfId="27637" xr:uid="{00000000-0005-0000-0000-0000691D0000}"/>
    <cellStyle name="Normal 13 13 2 3 7" xfId="14573" xr:uid="{00000000-0005-0000-0000-00006A1D0000}"/>
    <cellStyle name="Normal 13 13 2 4" xfId="7489" xr:uid="{00000000-0005-0000-0000-00006B1D0000}"/>
    <cellStyle name="Normal 13 13 2 4 2" xfId="39230" xr:uid="{00000000-0005-0000-0000-00006C1D0000}"/>
    <cellStyle name="Normal 13 13 2 4 2 2" xfId="55330" xr:uid="{00000000-0005-0000-0000-00006D1D0000}"/>
    <cellStyle name="Normal 13 13 2 4 3" xfId="45763" xr:uid="{00000000-0005-0000-0000-00006E1D0000}"/>
    <cellStyle name="Normal 13 13 2 4 4" xfId="29663" xr:uid="{00000000-0005-0000-0000-00006F1D0000}"/>
    <cellStyle name="Normal 13 13 2 4 5" xfId="20094" xr:uid="{00000000-0005-0000-0000-0000701D0000}"/>
    <cellStyle name="Normal 13 13 2 5" xfId="10525" xr:uid="{00000000-0005-0000-0000-0000711D0000}"/>
    <cellStyle name="Normal 13 13 2 5 2" xfId="48799" xr:uid="{00000000-0005-0000-0000-0000721D0000}"/>
    <cellStyle name="Normal 13 13 2 5 3" xfId="32699" xr:uid="{00000000-0005-0000-0000-0000731D0000}"/>
    <cellStyle name="Normal 13 13 2 5 4" xfId="23130" xr:uid="{00000000-0005-0000-0000-0000741D0000}"/>
    <cellStyle name="Normal 13 13 2 6" xfId="4453" xr:uid="{00000000-0005-0000-0000-0000751D0000}"/>
    <cellStyle name="Normal 13 13 2 6 2" xfId="52294" xr:uid="{00000000-0005-0000-0000-0000761D0000}"/>
    <cellStyle name="Normal 13 13 2 6 3" xfId="36194" xr:uid="{00000000-0005-0000-0000-0000771D0000}"/>
    <cellStyle name="Normal 13 13 2 6 4" xfId="17058" xr:uid="{00000000-0005-0000-0000-0000781D0000}"/>
    <cellStyle name="Normal 13 13 2 7" xfId="42727" xr:uid="{00000000-0005-0000-0000-0000791D0000}"/>
    <cellStyle name="Normal 13 13 2 8" xfId="26627" xr:uid="{00000000-0005-0000-0000-00007A1D0000}"/>
    <cellStyle name="Normal 13 13 2 9" xfId="13563" xr:uid="{00000000-0005-0000-0000-00007B1D0000}"/>
    <cellStyle name="Normal 13 13 3" xfId="2533" xr:uid="{00000000-0005-0000-0000-00007C1D0000}"/>
    <cellStyle name="Normal 13 13 3 2" xfId="9065" xr:uid="{00000000-0005-0000-0000-00007D1D0000}"/>
    <cellStyle name="Normal 13 13 3 2 2" xfId="40806" xr:uid="{00000000-0005-0000-0000-00007E1D0000}"/>
    <cellStyle name="Normal 13 13 3 2 2 2" xfId="56906" xr:uid="{00000000-0005-0000-0000-00007F1D0000}"/>
    <cellStyle name="Normal 13 13 3 2 3" xfId="47339" xr:uid="{00000000-0005-0000-0000-0000801D0000}"/>
    <cellStyle name="Normal 13 13 3 2 4" xfId="31239" xr:uid="{00000000-0005-0000-0000-0000811D0000}"/>
    <cellStyle name="Normal 13 13 3 2 5" xfId="21670" xr:uid="{00000000-0005-0000-0000-0000821D0000}"/>
    <cellStyle name="Normal 13 13 3 3" xfId="12101" xr:uid="{00000000-0005-0000-0000-0000831D0000}"/>
    <cellStyle name="Normal 13 13 3 3 2" xfId="50375" xr:uid="{00000000-0005-0000-0000-0000841D0000}"/>
    <cellStyle name="Normal 13 13 3 3 3" xfId="34275" xr:uid="{00000000-0005-0000-0000-0000851D0000}"/>
    <cellStyle name="Normal 13 13 3 3 4" xfId="24706" xr:uid="{00000000-0005-0000-0000-0000861D0000}"/>
    <cellStyle name="Normal 13 13 3 4" xfId="6029" xr:uid="{00000000-0005-0000-0000-0000871D0000}"/>
    <cellStyle name="Normal 13 13 3 4 2" xfId="53870" xr:uid="{00000000-0005-0000-0000-0000881D0000}"/>
    <cellStyle name="Normal 13 13 3 4 3" xfId="37770" xr:uid="{00000000-0005-0000-0000-0000891D0000}"/>
    <cellStyle name="Normal 13 13 3 4 4" xfId="18634" xr:uid="{00000000-0005-0000-0000-00008A1D0000}"/>
    <cellStyle name="Normal 13 13 3 5" xfId="44303" xr:uid="{00000000-0005-0000-0000-00008B1D0000}"/>
    <cellStyle name="Normal 13 13 3 6" xfId="28203" xr:uid="{00000000-0005-0000-0000-00008C1D0000}"/>
    <cellStyle name="Normal 13 13 3 7" xfId="15139" xr:uid="{00000000-0005-0000-0000-00008D1D0000}"/>
    <cellStyle name="Normal 13 13 4" xfId="1282" xr:uid="{00000000-0005-0000-0000-00008E1D0000}"/>
    <cellStyle name="Normal 13 13 4 2" xfId="7816" xr:uid="{00000000-0005-0000-0000-00008F1D0000}"/>
    <cellStyle name="Normal 13 13 4 2 2" xfId="39557" xr:uid="{00000000-0005-0000-0000-0000901D0000}"/>
    <cellStyle name="Normal 13 13 4 2 2 2" xfId="55657" xr:uid="{00000000-0005-0000-0000-0000911D0000}"/>
    <cellStyle name="Normal 13 13 4 2 3" xfId="46090" xr:uid="{00000000-0005-0000-0000-0000921D0000}"/>
    <cellStyle name="Normal 13 13 4 2 4" xfId="29990" xr:uid="{00000000-0005-0000-0000-0000931D0000}"/>
    <cellStyle name="Normal 13 13 4 2 5" xfId="20421" xr:uid="{00000000-0005-0000-0000-0000941D0000}"/>
    <cellStyle name="Normal 13 13 4 3" xfId="10852" xr:uid="{00000000-0005-0000-0000-0000951D0000}"/>
    <cellStyle name="Normal 13 13 4 3 2" xfId="49126" xr:uid="{00000000-0005-0000-0000-0000961D0000}"/>
    <cellStyle name="Normal 13 13 4 3 3" xfId="33026" xr:uid="{00000000-0005-0000-0000-0000971D0000}"/>
    <cellStyle name="Normal 13 13 4 3 4" xfId="23457" xr:uid="{00000000-0005-0000-0000-0000981D0000}"/>
    <cellStyle name="Normal 13 13 4 4" xfId="4780" xr:uid="{00000000-0005-0000-0000-0000991D0000}"/>
    <cellStyle name="Normal 13 13 4 4 2" xfId="52621" xr:uid="{00000000-0005-0000-0000-00009A1D0000}"/>
    <cellStyle name="Normal 13 13 4 4 3" xfId="36521" xr:uid="{00000000-0005-0000-0000-00009B1D0000}"/>
    <cellStyle name="Normal 13 13 4 4 4" xfId="17385" xr:uid="{00000000-0005-0000-0000-00009C1D0000}"/>
    <cellStyle name="Normal 13 13 4 5" xfId="43054" xr:uid="{00000000-0005-0000-0000-00009D1D0000}"/>
    <cellStyle name="Normal 13 13 4 6" xfId="26954" xr:uid="{00000000-0005-0000-0000-00009E1D0000}"/>
    <cellStyle name="Normal 13 13 4 7" xfId="13890" xr:uid="{00000000-0005-0000-0000-00009F1D0000}"/>
    <cellStyle name="Normal 13 13 5" xfId="3770" xr:uid="{00000000-0005-0000-0000-0000A01D0000}"/>
    <cellStyle name="Normal 13 13 5 2" xfId="35511" xr:uid="{00000000-0005-0000-0000-0000A11D0000}"/>
    <cellStyle name="Normal 13 13 5 2 2" xfId="51611" xr:uid="{00000000-0005-0000-0000-0000A21D0000}"/>
    <cellStyle name="Normal 13 13 5 3" xfId="42044" xr:uid="{00000000-0005-0000-0000-0000A31D0000}"/>
    <cellStyle name="Normal 13 13 5 4" xfId="25944" xr:uid="{00000000-0005-0000-0000-0000A41D0000}"/>
    <cellStyle name="Normal 13 13 5 5" xfId="16375" xr:uid="{00000000-0005-0000-0000-0000A51D0000}"/>
    <cellStyle name="Normal 13 13 6" xfId="6806" xr:uid="{00000000-0005-0000-0000-0000A61D0000}"/>
    <cellStyle name="Normal 13 13 6 2" xfId="38547" xr:uid="{00000000-0005-0000-0000-0000A71D0000}"/>
    <cellStyle name="Normal 13 13 6 2 2" xfId="54647" xr:uid="{00000000-0005-0000-0000-0000A81D0000}"/>
    <cellStyle name="Normal 13 13 6 3" xfId="45080" xr:uid="{00000000-0005-0000-0000-0000A91D0000}"/>
    <cellStyle name="Normal 13 13 6 4" xfId="28980" xr:uid="{00000000-0005-0000-0000-0000AA1D0000}"/>
    <cellStyle name="Normal 13 13 6 5" xfId="19411" xr:uid="{00000000-0005-0000-0000-0000AB1D0000}"/>
    <cellStyle name="Normal 13 13 7" xfId="9842" xr:uid="{00000000-0005-0000-0000-0000AC1D0000}"/>
    <cellStyle name="Normal 13 13 7 2" xfId="48116" xr:uid="{00000000-0005-0000-0000-0000AD1D0000}"/>
    <cellStyle name="Normal 13 13 7 3" xfId="32016" xr:uid="{00000000-0005-0000-0000-0000AE1D0000}"/>
    <cellStyle name="Normal 13 13 7 4" xfId="22447" xr:uid="{00000000-0005-0000-0000-0000AF1D0000}"/>
    <cellStyle name="Normal 13 13 8" xfId="3312" xr:uid="{00000000-0005-0000-0000-0000B01D0000}"/>
    <cellStyle name="Normal 13 13 8 2" xfId="51153" xr:uid="{00000000-0005-0000-0000-0000B11D0000}"/>
    <cellStyle name="Normal 13 13 8 3" xfId="35053" xr:uid="{00000000-0005-0000-0000-0000B21D0000}"/>
    <cellStyle name="Normal 13 13 8 4" xfId="15917" xr:uid="{00000000-0005-0000-0000-0000B31D0000}"/>
    <cellStyle name="Normal 13 13 9" xfId="41586" xr:uid="{00000000-0005-0000-0000-0000B41D0000}"/>
    <cellStyle name="Normal 13 14" xfId="733" xr:uid="{00000000-0005-0000-0000-0000B51D0000}"/>
    <cellStyle name="Normal 13 14 10" xfId="13341" xr:uid="{00000000-0005-0000-0000-0000B61D0000}"/>
    <cellStyle name="Normal 13 14 2" xfId="2761" xr:uid="{00000000-0005-0000-0000-0000B71D0000}"/>
    <cellStyle name="Normal 13 14 2 2" xfId="9293" xr:uid="{00000000-0005-0000-0000-0000B81D0000}"/>
    <cellStyle name="Normal 13 14 2 2 2" xfId="41034" xr:uid="{00000000-0005-0000-0000-0000B91D0000}"/>
    <cellStyle name="Normal 13 14 2 2 2 2" xfId="57134" xr:uid="{00000000-0005-0000-0000-0000BA1D0000}"/>
    <cellStyle name="Normal 13 14 2 2 3" xfId="47567" xr:uid="{00000000-0005-0000-0000-0000BB1D0000}"/>
    <cellStyle name="Normal 13 14 2 2 4" xfId="31467" xr:uid="{00000000-0005-0000-0000-0000BC1D0000}"/>
    <cellStyle name="Normal 13 14 2 2 5" xfId="21898" xr:uid="{00000000-0005-0000-0000-0000BD1D0000}"/>
    <cellStyle name="Normal 13 14 2 3" xfId="12329" xr:uid="{00000000-0005-0000-0000-0000BE1D0000}"/>
    <cellStyle name="Normal 13 14 2 3 2" xfId="50603" xr:uid="{00000000-0005-0000-0000-0000BF1D0000}"/>
    <cellStyle name="Normal 13 14 2 3 3" xfId="34503" xr:uid="{00000000-0005-0000-0000-0000C01D0000}"/>
    <cellStyle name="Normal 13 14 2 3 4" xfId="24934" xr:uid="{00000000-0005-0000-0000-0000C11D0000}"/>
    <cellStyle name="Normal 13 14 2 4" xfId="6257" xr:uid="{00000000-0005-0000-0000-0000C21D0000}"/>
    <cellStyle name="Normal 13 14 2 4 2" xfId="54098" xr:uid="{00000000-0005-0000-0000-0000C31D0000}"/>
    <cellStyle name="Normal 13 14 2 4 3" xfId="37998" xr:uid="{00000000-0005-0000-0000-0000C41D0000}"/>
    <cellStyle name="Normal 13 14 2 4 4" xfId="18862" xr:uid="{00000000-0005-0000-0000-0000C51D0000}"/>
    <cellStyle name="Normal 13 14 2 5" xfId="44531" xr:uid="{00000000-0005-0000-0000-0000C61D0000}"/>
    <cellStyle name="Normal 13 14 2 6" xfId="28431" xr:uid="{00000000-0005-0000-0000-0000C71D0000}"/>
    <cellStyle name="Normal 13 14 2 7" xfId="15367" xr:uid="{00000000-0005-0000-0000-0000C81D0000}"/>
    <cellStyle name="Normal 13 14 3" xfId="1743" xr:uid="{00000000-0005-0000-0000-0000C91D0000}"/>
    <cellStyle name="Normal 13 14 3 2" xfId="8277" xr:uid="{00000000-0005-0000-0000-0000CA1D0000}"/>
    <cellStyle name="Normal 13 14 3 2 2" xfId="40018" xr:uid="{00000000-0005-0000-0000-0000CB1D0000}"/>
    <cellStyle name="Normal 13 14 3 2 2 2" xfId="56118" xr:uid="{00000000-0005-0000-0000-0000CC1D0000}"/>
    <cellStyle name="Normal 13 14 3 2 3" xfId="46551" xr:uid="{00000000-0005-0000-0000-0000CD1D0000}"/>
    <cellStyle name="Normal 13 14 3 2 4" xfId="30451" xr:uid="{00000000-0005-0000-0000-0000CE1D0000}"/>
    <cellStyle name="Normal 13 14 3 2 5" xfId="20882" xr:uid="{00000000-0005-0000-0000-0000CF1D0000}"/>
    <cellStyle name="Normal 13 14 3 3" xfId="11313" xr:uid="{00000000-0005-0000-0000-0000D01D0000}"/>
    <cellStyle name="Normal 13 14 3 3 2" xfId="49587" xr:uid="{00000000-0005-0000-0000-0000D11D0000}"/>
    <cellStyle name="Normal 13 14 3 3 3" xfId="33487" xr:uid="{00000000-0005-0000-0000-0000D21D0000}"/>
    <cellStyle name="Normal 13 14 3 3 4" xfId="23918" xr:uid="{00000000-0005-0000-0000-0000D31D0000}"/>
    <cellStyle name="Normal 13 14 3 4" xfId="5241" xr:uid="{00000000-0005-0000-0000-0000D41D0000}"/>
    <cellStyle name="Normal 13 14 3 4 2" xfId="53082" xr:uid="{00000000-0005-0000-0000-0000D51D0000}"/>
    <cellStyle name="Normal 13 14 3 4 3" xfId="36982" xr:uid="{00000000-0005-0000-0000-0000D61D0000}"/>
    <cellStyle name="Normal 13 14 3 4 4" xfId="17846" xr:uid="{00000000-0005-0000-0000-0000D71D0000}"/>
    <cellStyle name="Normal 13 14 3 5" xfId="43515" xr:uid="{00000000-0005-0000-0000-0000D81D0000}"/>
    <cellStyle name="Normal 13 14 3 6" xfId="27415" xr:uid="{00000000-0005-0000-0000-0000D91D0000}"/>
    <cellStyle name="Normal 13 14 3 7" xfId="14351" xr:uid="{00000000-0005-0000-0000-0000DA1D0000}"/>
    <cellStyle name="Normal 13 14 4" xfId="4231" xr:uid="{00000000-0005-0000-0000-0000DB1D0000}"/>
    <cellStyle name="Normal 13 14 4 2" xfId="35972" xr:uid="{00000000-0005-0000-0000-0000DC1D0000}"/>
    <cellStyle name="Normal 13 14 4 2 2" xfId="52072" xr:uid="{00000000-0005-0000-0000-0000DD1D0000}"/>
    <cellStyle name="Normal 13 14 4 3" xfId="42505" xr:uid="{00000000-0005-0000-0000-0000DE1D0000}"/>
    <cellStyle name="Normal 13 14 4 4" xfId="26405" xr:uid="{00000000-0005-0000-0000-0000DF1D0000}"/>
    <cellStyle name="Normal 13 14 4 5" xfId="16836" xr:uid="{00000000-0005-0000-0000-0000E01D0000}"/>
    <cellStyle name="Normal 13 14 5" xfId="7267" xr:uid="{00000000-0005-0000-0000-0000E11D0000}"/>
    <cellStyle name="Normal 13 14 5 2" xfId="39008" xr:uid="{00000000-0005-0000-0000-0000E21D0000}"/>
    <cellStyle name="Normal 13 14 5 2 2" xfId="55108" xr:uid="{00000000-0005-0000-0000-0000E31D0000}"/>
    <cellStyle name="Normal 13 14 5 3" xfId="45541" xr:uid="{00000000-0005-0000-0000-0000E41D0000}"/>
    <cellStyle name="Normal 13 14 5 4" xfId="29441" xr:uid="{00000000-0005-0000-0000-0000E51D0000}"/>
    <cellStyle name="Normal 13 14 5 5" xfId="19872" xr:uid="{00000000-0005-0000-0000-0000E61D0000}"/>
    <cellStyle name="Normal 13 14 6" xfId="10303" xr:uid="{00000000-0005-0000-0000-0000E71D0000}"/>
    <cellStyle name="Normal 13 14 6 2" xfId="48577" xr:uid="{00000000-0005-0000-0000-0000E81D0000}"/>
    <cellStyle name="Normal 13 14 6 3" xfId="32477" xr:uid="{00000000-0005-0000-0000-0000E91D0000}"/>
    <cellStyle name="Normal 13 14 6 4" xfId="22908" xr:uid="{00000000-0005-0000-0000-0000EA1D0000}"/>
    <cellStyle name="Normal 13 14 7" xfId="3326" xr:uid="{00000000-0005-0000-0000-0000EB1D0000}"/>
    <cellStyle name="Normal 13 14 7 2" xfId="51167" xr:uid="{00000000-0005-0000-0000-0000EC1D0000}"/>
    <cellStyle name="Normal 13 14 7 3" xfId="35067" xr:uid="{00000000-0005-0000-0000-0000ED1D0000}"/>
    <cellStyle name="Normal 13 14 7 4" xfId="15931" xr:uid="{00000000-0005-0000-0000-0000EE1D0000}"/>
    <cellStyle name="Normal 13 14 8" xfId="41600" xr:uid="{00000000-0005-0000-0000-0000EF1D0000}"/>
    <cellStyle name="Normal 13 14 9" xfId="25500" xr:uid="{00000000-0005-0000-0000-0000F01D0000}"/>
    <cellStyle name="Normal 13 15" xfId="2070" xr:uid="{00000000-0005-0000-0000-0000F11D0000}"/>
    <cellStyle name="Normal 13 15 2" xfId="8604" xr:uid="{00000000-0005-0000-0000-0000F21D0000}"/>
    <cellStyle name="Normal 13 15 2 2" xfId="40345" xr:uid="{00000000-0005-0000-0000-0000F31D0000}"/>
    <cellStyle name="Normal 13 15 2 2 2" xfId="56445" xr:uid="{00000000-0005-0000-0000-0000F41D0000}"/>
    <cellStyle name="Normal 13 15 2 3" xfId="46878" xr:uid="{00000000-0005-0000-0000-0000F51D0000}"/>
    <cellStyle name="Normal 13 15 2 4" xfId="30778" xr:uid="{00000000-0005-0000-0000-0000F61D0000}"/>
    <cellStyle name="Normal 13 15 2 5" xfId="21209" xr:uid="{00000000-0005-0000-0000-0000F71D0000}"/>
    <cellStyle name="Normal 13 15 3" xfId="11640" xr:uid="{00000000-0005-0000-0000-0000F81D0000}"/>
    <cellStyle name="Normal 13 15 3 2" xfId="49914" xr:uid="{00000000-0005-0000-0000-0000F91D0000}"/>
    <cellStyle name="Normal 13 15 3 3" xfId="33814" xr:uid="{00000000-0005-0000-0000-0000FA1D0000}"/>
    <cellStyle name="Normal 13 15 3 4" xfId="24245" xr:uid="{00000000-0005-0000-0000-0000FB1D0000}"/>
    <cellStyle name="Normal 13 15 4" xfId="5568" xr:uid="{00000000-0005-0000-0000-0000FC1D0000}"/>
    <cellStyle name="Normal 13 15 4 2" xfId="53409" xr:uid="{00000000-0005-0000-0000-0000FD1D0000}"/>
    <cellStyle name="Normal 13 15 4 3" xfId="37309" xr:uid="{00000000-0005-0000-0000-0000FE1D0000}"/>
    <cellStyle name="Normal 13 15 4 4" xfId="18173" xr:uid="{00000000-0005-0000-0000-0000FF1D0000}"/>
    <cellStyle name="Normal 13 15 5" xfId="43842" xr:uid="{00000000-0005-0000-0000-0000001E0000}"/>
    <cellStyle name="Normal 13 15 6" xfId="27742" xr:uid="{00000000-0005-0000-0000-0000011E0000}"/>
    <cellStyle name="Normal 13 15 7" xfId="14678" xr:uid="{00000000-0005-0000-0000-0000021E0000}"/>
    <cellStyle name="Normal 13 16" xfId="1060" xr:uid="{00000000-0005-0000-0000-0000031E0000}"/>
    <cellStyle name="Normal 13 16 2" xfId="7594" xr:uid="{00000000-0005-0000-0000-0000041E0000}"/>
    <cellStyle name="Normal 13 16 2 2" xfId="39335" xr:uid="{00000000-0005-0000-0000-0000051E0000}"/>
    <cellStyle name="Normal 13 16 2 2 2" xfId="55435" xr:uid="{00000000-0005-0000-0000-0000061E0000}"/>
    <cellStyle name="Normal 13 16 2 3" xfId="45868" xr:uid="{00000000-0005-0000-0000-0000071E0000}"/>
    <cellStyle name="Normal 13 16 2 4" xfId="29768" xr:uid="{00000000-0005-0000-0000-0000081E0000}"/>
    <cellStyle name="Normal 13 16 2 5" xfId="20199" xr:uid="{00000000-0005-0000-0000-0000091E0000}"/>
    <cellStyle name="Normal 13 16 3" xfId="10630" xr:uid="{00000000-0005-0000-0000-00000A1E0000}"/>
    <cellStyle name="Normal 13 16 3 2" xfId="48904" xr:uid="{00000000-0005-0000-0000-00000B1E0000}"/>
    <cellStyle name="Normal 13 16 3 3" xfId="32804" xr:uid="{00000000-0005-0000-0000-00000C1E0000}"/>
    <cellStyle name="Normal 13 16 3 4" xfId="23235" xr:uid="{00000000-0005-0000-0000-00000D1E0000}"/>
    <cellStyle name="Normal 13 16 4" xfId="4558" xr:uid="{00000000-0005-0000-0000-00000E1E0000}"/>
    <cellStyle name="Normal 13 16 4 2" xfId="52399" xr:uid="{00000000-0005-0000-0000-00000F1E0000}"/>
    <cellStyle name="Normal 13 16 4 3" xfId="36299" xr:uid="{00000000-0005-0000-0000-0000101E0000}"/>
    <cellStyle name="Normal 13 16 4 4" xfId="17163" xr:uid="{00000000-0005-0000-0000-0000111E0000}"/>
    <cellStyle name="Normal 13 16 5" xfId="42832" xr:uid="{00000000-0005-0000-0000-0000121E0000}"/>
    <cellStyle name="Normal 13 16 6" xfId="26732" xr:uid="{00000000-0005-0000-0000-0000131E0000}"/>
    <cellStyle name="Normal 13 16 7" xfId="13668" xr:uid="{00000000-0005-0000-0000-0000141E0000}"/>
    <cellStyle name="Normal 13 17" xfId="3548" xr:uid="{00000000-0005-0000-0000-0000151E0000}"/>
    <cellStyle name="Normal 13 17 2" xfId="35289" xr:uid="{00000000-0005-0000-0000-0000161E0000}"/>
    <cellStyle name="Normal 13 17 2 2" xfId="51389" xr:uid="{00000000-0005-0000-0000-0000171E0000}"/>
    <cellStyle name="Normal 13 17 3" xfId="41822" xr:uid="{00000000-0005-0000-0000-0000181E0000}"/>
    <cellStyle name="Normal 13 17 4" xfId="25722" xr:uid="{00000000-0005-0000-0000-0000191E0000}"/>
    <cellStyle name="Normal 13 17 5" xfId="16153" xr:uid="{00000000-0005-0000-0000-00001A1E0000}"/>
    <cellStyle name="Normal 13 18" xfId="6584" xr:uid="{00000000-0005-0000-0000-00001B1E0000}"/>
    <cellStyle name="Normal 13 18 2" xfId="38325" xr:uid="{00000000-0005-0000-0000-00001C1E0000}"/>
    <cellStyle name="Normal 13 18 2 2" xfId="54425" xr:uid="{00000000-0005-0000-0000-00001D1E0000}"/>
    <cellStyle name="Normal 13 18 3" xfId="44858" xr:uid="{00000000-0005-0000-0000-00001E1E0000}"/>
    <cellStyle name="Normal 13 18 4" xfId="28758" xr:uid="{00000000-0005-0000-0000-00001F1E0000}"/>
    <cellStyle name="Normal 13 18 5" xfId="19189" xr:uid="{00000000-0005-0000-0000-0000201E0000}"/>
    <cellStyle name="Normal 13 19" xfId="9620" xr:uid="{00000000-0005-0000-0000-0000211E0000}"/>
    <cellStyle name="Normal 13 19 2" xfId="47894" xr:uid="{00000000-0005-0000-0000-0000221E0000}"/>
    <cellStyle name="Normal 13 19 3" xfId="31794" xr:uid="{00000000-0005-0000-0000-0000231E0000}"/>
    <cellStyle name="Normal 13 19 4" xfId="22225" xr:uid="{00000000-0005-0000-0000-0000241E0000}"/>
    <cellStyle name="Normal 13 2" xfId="65" xr:uid="{00000000-0005-0000-0000-0000251E0000}"/>
    <cellStyle name="Normal 13 2 10" xfId="3566" xr:uid="{00000000-0005-0000-0000-0000261E0000}"/>
    <cellStyle name="Normal 13 2 10 2" xfId="35307" xr:uid="{00000000-0005-0000-0000-0000271E0000}"/>
    <cellStyle name="Normal 13 2 10 2 2" xfId="51407" xr:uid="{00000000-0005-0000-0000-0000281E0000}"/>
    <cellStyle name="Normal 13 2 10 3" xfId="41840" xr:uid="{00000000-0005-0000-0000-0000291E0000}"/>
    <cellStyle name="Normal 13 2 10 4" xfId="25740" xr:uid="{00000000-0005-0000-0000-00002A1E0000}"/>
    <cellStyle name="Normal 13 2 10 5" xfId="16171" xr:uid="{00000000-0005-0000-0000-00002B1E0000}"/>
    <cellStyle name="Normal 13 2 11" xfId="6602" xr:uid="{00000000-0005-0000-0000-00002C1E0000}"/>
    <cellStyle name="Normal 13 2 11 2" xfId="38343" xr:uid="{00000000-0005-0000-0000-00002D1E0000}"/>
    <cellStyle name="Normal 13 2 11 2 2" xfId="54443" xr:uid="{00000000-0005-0000-0000-00002E1E0000}"/>
    <cellStyle name="Normal 13 2 11 3" xfId="44876" xr:uid="{00000000-0005-0000-0000-00002F1E0000}"/>
    <cellStyle name="Normal 13 2 11 4" xfId="28776" xr:uid="{00000000-0005-0000-0000-0000301E0000}"/>
    <cellStyle name="Normal 13 2 11 5" xfId="19207" xr:uid="{00000000-0005-0000-0000-0000311E0000}"/>
    <cellStyle name="Normal 13 2 12" xfId="9638" xr:uid="{00000000-0005-0000-0000-0000321E0000}"/>
    <cellStyle name="Normal 13 2 12 2" xfId="47912" xr:uid="{00000000-0005-0000-0000-0000331E0000}"/>
    <cellStyle name="Normal 13 2 12 3" xfId="31812" xr:uid="{00000000-0005-0000-0000-0000341E0000}"/>
    <cellStyle name="Normal 13 2 12 4" xfId="22243" xr:uid="{00000000-0005-0000-0000-0000351E0000}"/>
    <cellStyle name="Normal 13 2 13" xfId="3106" xr:uid="{00000000-0005-0000-0000-0000361E0000}"/>
    <cellStyle name="Normal 13 2 13 2" xfId="50948" xr:uid="{00000000-0005-0000-0000-0000371E0000}"/>
    <cellStyle name="Normal 13 2 13 3" xfId="34848" xr:uid="{00000000-0005-0000-0000-0000381E0000}"/>
    <cellStyle name="Normal 13 2 13 4" xfId="15712" xr:uid="{00000000-0005-0000-0000-0000391E0000}"/>
    <cellStyle name="Normal 13 2 14" xfId="41381" xr:uid="{00000000-0005-0000-0000-00003A1E0000}"/>
    <cellStyle name="Normal 13 2 15" xfId="25281" xr:uid="{00000000-0005-0000-0000-00003B1E0000}"/>
    <cellStyle name="Normal 13 2 16" xfId="12676" xr:uid="{00000000-0005-0000-0000-00003C1E0000}"/>
    <cellStyle name="Normal 13 2 2" xfId="136" xr:uid="{00000000-0005-0000-0000-00003D1E0000}"/>
    <cellStyle name="Normal 13 2 2 10" xfId="9685" xr:uid="{00000000-0005-0000-0000-00003E1E0000}"/>
    <cellStyle name="Normal 13 2 2 10 2" xfId="47959" xr:uid="{00000000-0005-0000-0000-00003F1E0000}"/>
    <cellStyle name="Normal 13 2 2 10 3" xfId="31859" xr:uid="{00000000-0005-0000-0000-0000401E0000}"/>
    <cellStyle name="Normal 13 2 2 10 4" xfId="22290" xr:uid="{00000000-0005-0000-0000-0000411E0000}"/>
    <cellStyle name="Normal 13 2 2 11" xfId="3153" xr:uid="{00000000-0005-0000-0000-0000421E0000}"/>
    <cellStyle name="Normal 13 2 2 11 2" xfId="50995" xr:uid="{00000000-0005-0000-0000-0000431E0000}"/>
    <cellStyle name="Normal 13 2 2 11 3" xfId="34895" xr:uid="{00000000-0005-0000-0000-0000441E0000}"/>
    <cellStyle name="Normal 13 2 2 11 4" xfId="15759" xr:uid="{00000000-0005-0000-0000-0000451E0000}"/>
    <cellStyle name="Normal 13 2 2 12" xfId="41428" xr:uid="{00000000-0005-0000-0000-0000461E0000}"/>
    <cellStyle name="Normal 13 2 2 13" xfId="25328" xr:uid="{00000000-0005-0000-0000-0000471E0000}"/>
    <cellStyle name="Normal 13 2 2 14" xfId="12723" xr:uid="{00000000-0005-0000-0000-0000481E0000}"/>
    <cellStyle name="Normal 13 2 2 2" xfId="211" xr:uid="{00000000-0005-0000-0000-0000491E0000}"/>
    <cellStyle name="Normal 13 2 2 2 10" xfId="41665" xr:uid="{00000000-0005-0000-0000-00004A1E0000}"/>
    <cellStyle name="Normal 13 2 2 2 11" xfId="25565" xr:uid="{00000000-0005-0000-0000-00004B1E0000}"/>
    <cellStyle name="Normal 13 2 2 2 12" xfId="13040" xr:uid="{00000000-0005-0000-0000-00004C1E0000}"/>
    <cellStyle name="Normal 13 2 2 2 2" xfId="388" xr:uid="{00000000-0005-0000-0000-00004D1E0000}"/>
    <cellStyle name="Normal 13 2 2 2 2 2" xfId="2407" xr:uid="{00000000-0005-0000-0000-00004E1E0000}"/>
    <cellStyle name="Normal 13 2 2 2 2 2 2" xfId="8941" xr:uid="{00000000-0005-0000-0000-00004F1E0000}"/>
    <cellStyle name="Normal 13 2 2 2 2 2 2 2" xfId="40682" xr:uid="{00000000-0005-0000-0000-0000501E0000}"/>
    <cellStyle name="Normal 13 2 2 2 2 2 2 2 2" xfId="56782" xr:uid="{00000000-0005-0000-0000-0000511E0000}"/>
    <cellStyle name="Normal 13 2 2 2 2 2 2 3" xfId="47215" xr:uid="{00000000-0005-0000-0000-0000521E0000}"/>
    <cellStyle name="Normal 13 2 2 2 2 2 2 4" xfId="31115" xr:uid="{00000000-0005-0000-0000-0000531E0000}"/>
    <cellStyle name="Normal 13 2 2 2 2 2 2 5" xfId="21546" xr:uid="{00000000-0005-0000-0000-0000541E0000}"/>
    <cellStyle name="Normal 13 2 2 2 2 2 3" xfId="11977" xr:uid="{00000000-0005-0000-0000-0000551E0000}"/>
    <cellStyle name="Normal 13 2 2 2 2 2 3 2" xfId="50251" xr:uid="{00000000-0005-0000-0000-0000561E0000}"/>
    <cellStyle name="Normal 13 2 2 2 2 2 3 3" xfId="34151" xr:uid="{00000000-0005-0000-0000-0000571E0000}"/>
    <cellStyle name="Normal 13 2 2 2 2 2 3 4" xfId="24582" xr:uid="{00000000-0005-0000-0000-0000581E0000}"/>
    <cellStyle name="Normal 13 2 2 2 2 2 4" xfId="5905" xr:uid="{00000000-0005-0000-0000-0000591E0000}"/>
    <cellStyle name="Normal 13 2 2 2 2 2 4 2" xfId="53746" xr:uid="{00000000-0005-0000-0000-00005A1E0000}"/>
    <cellStyle name="Normal 13 2 2 2 2 2 4 3" xfId="37646" xr:uid="{00000000-0005-0000-0000-00005B1E0000}"/>
    <cellStyle name="Normal 13 2 2 2 2 2 4 4" xfId="18510" xr:uid="{00000000-0005-0000-0000-00005C1E0000}"/>
    <cellStyle name="Normal 13 2 2 2 2 2 5" xfId="44179" xr:uid="{00000000-0005-0000-0000-00005D1E0000}"/>
    <cellStyle name="Normal 13 2 2 2 2 2 6" xfId="28079" xr:uid="{00000000-0005-0000-0000-00005E1E0000}"/>
    <cellStyle name="Normal 13 2 2 2 2 2 7" xfId="15015" xr:uid="{00000000-0005-0000-0000-00005F1E0000}"/>
    <cellStyle name="Normal 13 2 2 2 2 3" xfId="1619" xr:uid="{00000000-0005-0000-0000-0000601E0000}"/>
    <cellStyle name="Normal 13 2 2 2 2 3 2" xfId="8153" xr:uid="{00000000-0005-0000-0000-0000611E0000}"/>
    <cellStyle name="Normal 13 2 2 2 2 3 2 2" xfId="39894" xr:uid="{00000000-0005-0000-0000-0000621E0000}"/>
    <cellStyle name="Normal 13 2 2 2 2 3 2 2 2" xfId="55994" xr:uid="{00000000-0005-0000-0000-0000631E0000}"/>
    <cellStyle name="Normal 13 2 2 2 2 3 2 3" xfId="46427" xr:uid="{00000000-0005-0000-0000-0000641E0000}"/>
    <cellStyle name="Normal 13 2 2 2 2 3 2 4" xfId="30327" xr:uid="{00000000-0005-0000-0000-0000651E0000}"/>
    <cellStyle name="Normal 13 2 2 2 2 3 2 5" xfId="20758" xr:uid="{00000000-0005-0000-0000-0000661E0000}"/>
    <cellStyle name="Normal 13 2 2 2 2 3 3" xfId="11189" xr:uid="{00000000-0005-0000-0000-0000671E0000}"/>
    <cellStyle name="Normal 13 2 2 2 2 3 3 2" xfId="49463" xr:uid="{00000000-0005-0000-0000-0000681E0000}"/>
    <cellStyle name="Normal 13 2 2 2 2 3 3 3" xfId="33363" xr:uid="{00000000-0005-0000-0000-0000691E0000}"/>
    <cellStyle name="Normal 13 2 2 2 2 3 3 4" xfId="23794" xr:uid="{00000000-0005-0000-0000-00006A1E0000}"/>
    <cellStyle name="Normal 13 2 2 2 2 3 4" xfId="5117" xr:uid="{00000000-0005-0000-0000-00006B1E0000}"/>
    <cellStyle name="Normal 13 2 2 2 2 3 4 2" xfId="52958" xr:uid="{00000000-0005-0000-0000-00006C1E0000}"/>
    <cellStyle name="Normal 13 2 2 2 2 3 4 3" xfId="36858" xr:uid="{00000000-0005-0000-0000-00006D1E0000}"/>
    <cellStyle name="Normal 13 2 2 2 2 3 4 4" xfId="17722" xr:uid="{00000000-0005-0000-0000-00006E1E0000}"/>
    <cellStyle name="Normal 13 2 2 2 2 3 5" xfId="43391" xr:uid="{00000000-0005-0000-0000-00006F1E0000}"/>
    <cellStyle name="Normal 13 2 2 2 2 3 6" xfId="27291" xr:uid="{00000000-0005-0000-0000-0000701E0000}"/>
    <cellStyle name="Normal 13 2 2 2 2 3 7" xfId="14227" xr:uid="{00000000-0005-0000-0000-0000711E0000}"/>
    <cellStyle name="Normal 13 2 2 2 2 4" xfId="7143" xr:uid="{00000000-0005-0000-0000-0000721E0000}"/>
    <cellStyle name="Normal 13 2 2 2 2 4 2" xfId="38884" xr:uid="{00000000-0005-0000-0000-0000731E0000}"/>
    <cellStyle name="Normal 13 2 2 2 2 4 2 2" xfId="54984" xr:uid="{00000000-0005-0000-0000-0000741E0000}"/>
    <cellStyle name="Normal 13 2 2 2 2 4 3" xfId="45417" xr:uid="{00000000-0005-0000-0000-0000751E0000}"/>
    <cellStyle name="Normal 13 2 2 2 2 4 4" xfId="29317" xr:uid="{00000000-0005-0000-0000-0000761E0000}"/>
    <cellStyle name="Normal 13 2 2 2 2 4 5" xfId="19748" xr:uid="{00000000-0005-0000-0000-0000771E0000}"/>
    <cellStyle name="Normal 13 2 2 2 2 5" xfId="10179" xr:uid="{00000000-0005-0000-0000-0000781E0000}"/>
    <cellStyle name="Normal 13 2 2 2 2 5 2" xfId="48453" xr:uid="{00000000-0005-0000-0000-0000791E0000}"/>
    <cellStyle name="Normal 13 2 2 2 2 5 3" xfId="32353" xr:uid="{00000000-0005-0000-0000-00007A1E0000}"/>
    <cellStyle name="Normal 13 2 2 2 2 5 4" xfId="22784" xr:uid="{00000000-0005-0000-0000-00007B1E0000}"/>
    <cellStyle name="Normal 13 2 2 2 2 6" xfId="4107" xr:uid="{00000000-0005-0000-0000-00007C1E0000}"/>
    <cellStyle name="Normal 13 2 2 2 2 6 2" xfId="51948" xr:uid="{00000000-0005-0000-0000-00007D1E0000}"/>
    <cellStyle name="Normal 13 2 2 2 2 6 3" xfId="35848" xr:uid="{00000000-0005-0000-0000-00007E1E0000}"/>
    <cellStyle name="Normal 13 2 2 2 2 6 4" xfId="16712" xr:uid="{00000000-0005-0000-0000-00007F1E0000}"/>
    <cellStyle name="Normal 13 2 2 2 2 7" xfId="42381" xr:uid="{00000000-0005-0000-0000-0000801E0000}"/>
    <cellStyle name="Normal 13 2 2 2 2 8" xfId="26281" xr:uid="{00000000-0005-0000-0000-0000811E0000}"/>
    <cellStyle name="Normal 13 2 2 2 2 9" xfId="13217" xr:uid="{00000000-0005-0000-0000-0000821E0000}"/>
    <cellStyle name="Normal 13 2 2 2 3" xfId="1026" xr:uid="{00000000-0005-0000-0000-0000831E0000}"/>
    <cellStyle name="Normal 13 2 2 2 3 2" xfId="3054" xr:uid="{00000000-0005-0000-0000-0000841E0000}"/>
    <cellStyle name="Normal 13 2 2 2 3 2 2" xfId="9586" xr:uid="{00000000-0005-0000-0000-0000851E0000}"/>
    <cellStyle name="Normal 13 2 2 2 3 2 2 2" xfId="41327" xr:uid="{00000000-0005-0000-0000-0000861E0000}"/>
    <cellStyle name="Normal 13 2 2 2 3 2 2 2 2" xfId="57427" xr:uid="{00000000-0005-0000-0000-0000871E0000}"/>
    <cellStyle name="Normal 13 2 2 2 3 2 2 3" xfId="47860" xr:uid="{00000000-0005-0000-0000-0000881E0000}"/>
    <cellStyle name="Normal 13 2 2 2 3 2 2 4" xfId="31760" xr:uid="{00000000-0005-0000-0000-0000891E0000}"/>
    <cellStyle name="Normal 13 2 2 2 3 2 2 5" xfId="22191" xr:uid="{00000000-0005-0000-0000-00008A1E0000}"/>
    <cellStyle name="Normal 13 2 2 2 3 2 3" xfId="12622" xr:uid="{00000000-0005-0000-0000-00008B1E0000}"/>
    <cellStyle name="Normal 13 2 2 2 3 2 3 2" xfId="50896" xr:uid="{00000000-0005-0000-0000-00008C1E0000}"/>
    <cellStyle name="Normal 13 2 2 2 3 2 3 3" xfId="34796" xr:uid="{00000000-0005-0000-0000-00008D1E0000}"/>
    <cellStyle name="Normal 13 2 2 2 3 2 3 4" xfId="25227" xr:uid="{00000000-0005-0000-0000-00008E1E0000}"/>
    <cellStyle name="Normal 13 2 2 2 3 2 4" xfId="6550" xr:uid="{00000000-0005-0000-0000-00008F1E0000}"/>
    <cellStyle name="Normal 13 2 2 2 3 2 4 2" xfId="54391" xr:uid="{00000000-0005-0000-0000-0000901E0000}"/>
    <cellStyle name="Normal 13 2 2 2 3 2 4 3" xfId="38291" xr:uid="{00000000-0005-0000-0000-0000911E0000}"/>
    <cellStyle name="Normal 13 2 2 2 3 2 4 4" xfId="19155" xr:uid="{00000000-0005-0000-0000-0000921E0000}"/>
    <cellStyle name="Normal 13 2 2 2 3 2 5" xfId="44824" xr:uid="{00000000-0005-0000-0000-0000931E0000}"/>
    <cellStyle name="Normal 13 2 2 2 3 2 6" xfId="28724" xr:uid="{00000000-0005-0000-0000-0000941E0000}"/>
    <cellStyle name="Normal 13 2 2 2 3 2 7" xfId="15660" xr:uid="{00000000-0005-0000-0000-0000951E0000}"/>
    <cellStyle name="Normal 13 2 2 2 3 3" xfId="2036" xr:uid="{00000000-0005-0000-0000-0000961E0000}"/>
    <cellStyle name="Normal 13 2 2 2 3 3 2" xfId="8570" xr:uid="{00000000-0005-0000-0000-0000971E0000}"/>
    <cellStyle name="Normal 13 2 2 2 3 3 2 2" xfId="40311" xr:uid="{00000000-0005-0000-0000-0000981E0000}"/>
    <cellStyle name="Normal 13 2 2 2 3 3 2 2 2" xfId="56411" xr:uid="{00000000-0005-0000-0000-0000991E0000}"/>
    <cellStyle name="Normal 13 2 2 2 3 3 2 3" xfId="46844" xr:uid="{00000000-0005-0000-0000-00009A1E0000}"/>
    <cellStyle name="Normal 13 2 2 2 3 3 2 4" xfId="30744" xr:uid="{00000000-0005-0000-0000-00009B1E0000}"/>
    <cellStyle name="Normal 13 2 2 2 3 3 2 5" xfId="21175" xr:uid="{00000000-0005-0000-0000-00009C1E0000}"/>
    <cellStyle name="Normal 13 2 2 2 3 3 3" xfId="11606" xr:uid="{00000000-0005-0000-0000-00009D1E0000}"/>
    <cellStyle name="Normal 13 2 2 2 3 3 3 2" xfId="49880" xr:uid="{00000000-0005-0000-0000-00009E1E0000}"/>
    <cellStyle name="Normal 13 2 2 2 3 3 3 3" xfId="33780" xr:uid="{00000000-0005-0000-0000-00009F1E0000}"/>
    <cellStyle name="Normal 13 2 2 2 3 3 3 4" xfId="24211" xr:uid="{00000000-0005-0000-0000-0000A01E0000}"/>
    <cellStyle name="Normal 13 2 2 2 3 3 4" xfId="5534" xr:uid="{00000000-0005-0000-0000-0000A11E0000}"/>
    <cellStyle name="Normal 13 2 2 2 3 3 4 2" xfId="53375" xr:uid="{00000000-0005-0000-0000-0000A21E0000}"/>
    <cellStyle name="Normal 13 2 2 2 3 3 4 3" xfId="37275" xr:uid="{00000000-0005-0000-0000-0000A31E0000}"/>
    <cellStyle name="Normal 13 2 2 2 3 3 4 4" xfId="18139" xr:uid="{00000000-0005-0000-0000-0000A41E0000}"/>
    <cellStyle name="Normal 13 2 2 2 3 3 5" xfId="43808" xr:uid="{00000000-0005-0000-0000-0000A51E0000}"/>
    <cellStyle name="Normal 13 2 2 2 3 3 6" xfId="27708" xr:uid="{00000000-0005-0000-0000-0000A61E0000}"/>
    <cellStyle name="Normal 13 2 2 2 3 3 7" xfId="14644" xr:uid="{00000000-0005-0000-0000-0000A71E0000}"/>
    <cellStyle name="Normal 13 2 2 2 3 4" xfId="7560" xr:uid="{00000000-0005-0000-0000-0000A81E0000}"/>
    <cellStyle name="Normal 13 2 2 2 3 4 2" xfId="39301" xr:uid="{00000000-0005-0000-0000-0000A91E0000}"/>
    <cellStyle name="Normal 13 2 2 2 3 4 2 2" xfId="55401" xr:uid="{00000000-0005-0000-0000-0000AA1E0000}"/>
    <cellStyle name="Normal 13 2 2 2 3 4 3" xfId="45834" xr:uid="{00000000-0005-0000-0000-0000AB1E0000}"/>
    <cellStyle name="Normal 13 2 2 2 3 4 4" xfId="29734" xr:uid="{00000000-0005-0000-0000-0000AC1E0000}"/>
    <cellStyle name="Normal 13 2 2 2 3 4 5" xfId="20165" xr:uid="{00000000-0005-0000-0000-0000AD1E0000}"/>
    <cellStyle name="Normal 13 2 2 2 3 5" xfId="10596" xr:uid="{00000000-0005-0000-0000-0000AE1E0000}"/>
    <cellStyle name="Normal 13 2 2 2 3 5 2" xfId="48870" xr:uid="{00000000-0005-0000-0000-0000AF1E0000}"/>
    <cellStyle name="Normal 13 2 2 2 3 5 3" xfId="32770" xr:uid="{00000000-0005-0000-0000-0000B01E0000}"/>
    <cellStyle name="Normal 13 2 2 2 3 5 4" xfId="23201" xr:uid="{00000000-0005-0000-0000-0000B11E0000}"/>
    <cellStyle name="Normal 13 2 2 2 3 6" xfId="4524" xr:uid="{00000000-0005-0000-0000-0000B21E0000}"/>
    <cellStyle name="Normal 13 2 2 2 3 6 2" xfId="52365" xr:uid="{00000000-0005-0000-0000-0000B31E0000}"/>
    <cellStyle name="Normal 13 2 2 2 3 6 3" xfId="36265" xr:uid="{00000000-0005-0000-0000-0000B41E0000}"/>
    <cellStyle name="Normal 13 2 2 2 3 6 4" xfId="17129" xr:uid="{00000000-0005-0000-0000-0000B51E0000}"/>
    <cellStyle name="Normal 13 2 2 2 3 7" xfId="42798" xr:uid="{00000000-0005-0000-0000-0000B61E0000}"/>
    <cellStyle name="Normal 13 2 2 2 3 8" xfId="26698" xr:uid="{00000000-0005-0000-0000-0000B71E0000}"/>
    <cellStyle name="Normal 13 2 2 2 3 9" xfId="13634" xr:uid="{00000000-0005-0000-0000-0000B81E0000}"/>
    <cellStyle name="Normal 13 2 2 2 4" xfId="2230" xr:uid="{00000000-0005-0000-0000-0000B91E0000}"/>
    <cellStyle name="Normal 13 2 2 2 4 2" xfId="8764" xr:uid="{00000000-0005-0000-0000-0000BA1E0000}"/>
    <cellStyle name="Normal 13 2 2 2 4 2 2" xfId="40505" xr:uid="{00000000-0005-0000-0000-0000BB1E0000}"/>
    <cellStyle name="Normal 13 2 2 2 4 2 2 2" xfId="56605" xr:uid="{00000000-0005-0000-0000-0000BC1E0000}"/>
    <cellStyle name="Normal 13 2 2 2 4 2 3" xfId="47038" xr:uid="{00000000-0005-0000-0000-0000BD1E0000}"/>
    <cellStyle name="Normal 13 2 2 2 4 2 4" xfId="30938" xr:uid="{00000000-0005-0000-0000-0000BE1E0000}"/>
    <cellStyle name="Normal 13 2 2 2 4 2 5" xfId="21369" xr:uid="{00000000-0005-0000-0000-0000BF1E0000}"/>
    <cellStyle name="Normal 13 2 2 2 4 3" xfId="11800" xr:uid="{00000000-0005-0000-0000-0000C01E0000}"/>
    <cellStyle name="Normal 13 2 2 2 4 3 2" xfId="50074" xr:uid="{00000000-0005-0000-0000-0000C11E0000}"/>
    <cellStyle name="Normal 13 2 2 2 4 3 3" xfId="33974" xr:uid="{00000000-0005-0000-0000-0000C21E0000}"/>
    <cellStyle name="Normal 13 2 2 2 4 3 4" xfId="24405" xr:uid="{00000000-0005-0000-0000-0000C31E0000}"/>
    <cellStyle name="Normal 13 2 2 2 4 4" xfId="5728" xr:uid="{00000000-0005-0000-0000-0000C41E0000}"/>
    <cellStyle name="Normal 13 2 2 2 4 4 2" xfId="53569" xr:uid="{00000000-0005-0000-0000-0000C51E0000}"/>
    <cellStyle name="Normal 13 2 2 2 4 4 3" xfId="37469" xr:uid="{00000000-0005-0000-0000-0000C61E0000}"/>
    <cellStyle name="Normal 13 2 2 2 4 4 4" xfId="18333" xr:uid="{00000000-0005-0000-0000-0000C71E0000}"/>
    <cellStyle name="Normal 13 2 2 2 4 5" xfId="44002" xr:uid="{00000000-0005-0000-0000-0000C81E0000}"/>
    <cellStyle name="Normal 13 2 2 2 4 6" xfId="27902" xr:uid="{00000000-0005-0000-0000-0000C91E0000}"/>
    <cellStyle name="Normal 13 2 2 2 4 7" xfId="14838" xr:uid="{00000000-0005-0000-0000-0000CA1E0000}"/>
    <cellStyle name="Normal 13 2 2 2 5" xfId="1442" xr:uid="{00000000-0005-0000-0000-0000CB1E0000}"/>
    <cellStyle name="Normal 13 2 2 2 5 2" xfId="7976" xr:uid="{00000000-0005-0000-0000-0000CC1E0000}"/>
    <cellStyle name="Normal 13 2 2 2 5 2 2" xfId="39717" xr:uid="{00000000-0005-0000-0000-0000CD1E0000}"/>
    <cellStyle name="Normal 13 2 2 2 5 2 2 2" xfId="55817" xr:uid="{00000000-0005-0000-0000-0000CE1E0000}"/>
    <cellStyle name="Normal 13 2 2 2 5 2 3" xfId="46250" xr:uid="{00000000-0005-0000-0000-0000CF1E0000}"/>
    <cellStyle name="Normal 13 2 2 2 5 2 4" xfId="30150" xr:uid="{00000000-0005-0000-0000-0000D01E0000}"/>
    <cellStyle name="Normal 13 2 2 2 5 2 5" xfId="20581" xr:uid="{00000000-0005-0000-0000-0000D11E0000}"/>
    <cellStyle name="Normal 13 2 2 2 5 3" xfId="11012" xr:uid="{00000000-0005-0000-0000-0000D21E0000}"/>
    <cellStyle name="Normal 13 2 2 2 5 3 2" xfId="49286" xr:uid="{00000000-0005-0000-0000-0000D31E0000}"/>
    <cellStyle name="Normal 13 2 2 2 5 3 3" xfId="33186" xr:uid="{00000000-0005-0000-0000-0000D41E0000}"/>
    <cellStyle name="Normal 13 2 2 2 5 3 4" xfId="23617" xr:uid="{00000000-0005-0000-0000-0000D51E0000}"/>
    <cellStyle name="Normal 13 2 2 2 5 4" xfId="4940" xr:uid="{00000000-0005-0000-0000-0000D61E0000}"/>
    <cellStyle name="Normal 13 2 2 2 5 4 2" xfId="52781" xr:uid="{00000000-0005-0000-0000-0000D71E0000}"/>
    <cellStyle name="Normal 13 2 2 2 5 4 3" xfId="36681" xr:uid="{00000000-0005-0000-0000-0000D81E0000}"/>
    <cellStyle name="Normal 13 2 2 2 5 4 4" xfId="17545" xr:uid="{00000000-0005-0000-0000-0000D91E0000}"/>
    <cellStyle name="Normal 13 2 2 2 5 5" xfId="43214" xr:uid="{00000000-0005-0000-0000-0000DA1E0000}"/>
    <cellStyle name="Normal 13 2 2 2 5 6" xfId="27114" xr:uid="{00000000-0005-0000-0000-0000DB1E0000}"/>
    <cellStyle name="Normal 13 2 2 2 5 7" xfId="14050" xr:uid="{00000000-0005-0000-0000-0000DC1E0000}"/>
    <cellStyle name="Normal 13 2 2 2 6" xfId="3930" xr:uid="{00000000-0005-0000-0000-0000DD1E0000}"/>
    <cellStyle name="Normal 13 2 2 2 6 2" xfId="35671" xr:uid="{00000000-0005-0000-0000-0000DE1E0000}"/>
    <cellStyle name="Normal 13 2 2 2 6 2 2" xfId="51771" xr:uid="{00000000-0005-0000-0000-0000DF1E0000}"/>
    <cellStyle name="Normal 13 2 2 2 6 3" xfId="42204" xr:uid="{00000000-0005-0000-0000-0000E01E0000}"/>
    <cellStyle name="Normal 13 2 2 2 6 4" xfId="26104" xr:uid="{00000000-0005-0000-0000-0000E11E0000}"/>
    <cellStyle name="Normal 13 2 2 2 6 5" xfId="16535" xr:uid="{00000000-0005-0000-0000-0000E21E0000}"/>
    <cellStyle name="Normal 13 2 2 2 7" xfId="6966" xr:uid="{00000000-0005-0000-0000-0000E31E0000}"/>
    <cellStyle name="Normal 13 2 2 2 7 2" xfId="38707" xr:uid="{00000000-0005-0000-0000-0000E41E0000}"/>
    <cellStyle name="Normal 13 2 2 2 7 2 2" xfId="54807" xr:uid="{00000000-0005-0000-0000-0000E51E0000}"/>
    <cellStyle name="Normal 13 2 2 2 7 3" xfId="45240" xr:uid="{00000000-0005-0000-0000-0000E61E0000}"/>
    <cellStyle name="Normal 13 2 2 2 7 4" xfId="29140" xr:uid="{00000000-0005-0000-0000-0000E71E0000}"/>
    <cellStyle name="Normal 13 2 2 2 7 5" xfId="19571" xr:uid="{00000000-0005-0000-0000-0000E81E0000}"/>
    <cellStyle name="Normal 13 2 2 2 8" xfId="10002" xr:uid="{00000000-0005-0000-0000-0000E91E0000}"/>
    <cellStyle name="Normal 13 2 2 2 8 2" xfId="48276" xr:uid="{00000000-0005-0000-0000-0000EA1E0000}"/>
    <cellStyle name="Normal 13 2 2 2 8 3" xfId="32176" xr:uid="{00000000-0005-0000-0000-0000EB1E0000}"/>
    <cellStyle name="Normal 13 2 2 2 8 4" xfId="22607" xr:uid="{00000000-0005-0000-0000-0000EC1E0000}"/>
    <cellStyle name="Normal 13 2 2 2 9" xfId="3391" xr:uid="{00000000-0005-0000-0000-0000ED1E0000}"/>
    <cellStyle name="Normal 13 2 2 2 9 2" xfId="51232" xr:uid="{00000000-0005-0000-0000-0000EE1E0000}"/>
    <cellStyle name="Normal 13 2 2 2 9 3" xfId="35132" xr:uid="{00000000-0005-0000-0000-0000EF1E0000}"/>
    <cellStyle name="Normal 13 2 2 2 9 4" xfId="15996" xr:uid="{00000000-0005-0000-0000-0000F01E0000}"/>
    <cellStyle name="Normal 13 2 2 3" xfId="317" xr:uid="{00000000-0005-0000-0000-0000F11E0000}"/>
    <cellStyle name="Normal 13 2 2 3 2" xfId="2336" xr:uid="{00000000-0005-0000-0000-0000F21E0000}"/>
    <cellStyle name="Normal 13 2 2 3 2 2" xfId="8870" xr:uid="{00000000-0005-0000-0000-0000F31E0000}"/>
    <cellStyle name="Normal 13 2 2 3 2 2 2" xfId="40611" xr:uid="{00000000-0005-0000-0000-0000F41E0000}"/>
    <cellStyle name="Normal 13 2 2 3 2 2 2 2" xfId="56711" xr:uid="{00000000-0005-0000-0000-0000F51E0000}"/>
    <cellStyle name="Normal 13 2 2 3 2 2 3" xfId="47144" xr:uid="{00000000-0005-0000-0000-0000F61E0000}"/>
    <cellStyle name="Normal 13 2 2 3 2 2 4" xfId="31044" xr:uid="{00000000-0005-0000-0000-0000F71E0000}"/>
    <cellStyle name="Normal 13 2 2 3 2 2 5" xfId="21475" xr:uid="{00000000-0005-0000-0000-0000F81E0000}"/>
    <cellStyle name="Normal 13 2 2 3 2 3" xfId="11906" xr:uid="{00000000-0005-0000-0000-0000F91E0000}"/>
    <cellStyle name="Normal 13 2 2 3 2 3 2" xfId="50180" xr:uid="{00000000-0005-0000-0000-0000FA1E0000}"/>
    <cellStyle name="Normal 13 2 2 3 2 3 3" xfId="34080" xr:uid="{00000000-0005-0000-0000-0000FB1E0000}"/>
    <cellStyle name="Normal 13 2 2 3 2 3 4" xfId="24511" xr:uid="{00000000-0005-0000-0000-0000FC1E0000}"/>
    <cellStyle name="Normal 13 2 2 3 2 4" xfId="5834" xr:uid="{00000000-0005-0000-0000-0000FD1E0000}"/>
    <cellStyle name="Normal 13 2 2 3 2 4 2" xfId="53675" xr:uid="{00000000-0005-0000-0000-0000FE1E0000}"/>
    <cellStyle name="Normal 13 2 2 3 2 4 3" xfId="37575" xr:uid="{00000000-0005-0000-0000-0000FF1E0000}"/>
    <cellStyle name="Normal 13 2 2 3 2 4 4" xfId="18439" xr:uid="{00000000-0005-0000-0000-0000001F0000}"/>
    <cellStyle name="Normal 13 2 2 3 2 5" xfId="44108" xr:uid="{00000000-0005-0000-0000-0000011F0000}"/>
    <cellStyle name="Normal 13 2 2 3 2 6" xfId="28008" xr:uid="{00000000-0005-0000-0000-0000021F0000}"/>
    <cellStyle name="Normal 13 2 2 3 2 7" xfId="14944" xr:uid="{00000000-0005-0000-0000-0000031F0000}"/>
    <cellStyle name="Normal 13 2 2 3 3" xfId="1548" xr:uid="{00000000-0005-0000-0000-0000041F0000}"/>
    <cellStyle name="Normal 13 2 2 3 3 2" xfId="8082" xr:uid="{00000000-0005-0000-0000-0000051F0000}"/>
    <cellStyle name="Normal 13 2 2 3 3 2 2" xfId="39823" xr:uid="{00000000-0005-0000-0000-0000061F0000}"/>
    <cellStyle name="Normal 13 2 2 3 3 2 2 2" xfId="55923" xr:uid="{00000000-0005-0000-0000-0000071F0000}"/>
    <cellStyle name="Normal 13 2 2 3 3 2 3" xfId="46356" xr:uid="{00000000-0005-0000-0000-0000081F0000}"/>
    <cellStyle name="Normal 13 2 2 3 3 2 4" xfId="30256" xr:uid="{00000000-0005-0000-0000-0000091F0000}"/>
    <cellStyle name="Normal 13 2 2 3 3 2 5" xfId="20687" xr:uid="{00000000-0005-0000-0000-00000A1F0000}"/>
    <cellStyle name="Normal 13 2 2 3 3 3" xfId="11118" xr:uid="{00000000-0005-0000-0000-00000B1F0000}"/>
    <cellStyle name="Normal 13 2 2 3 3 3 2" xfId="49392" xr:uid="{00000000-0005-0000-0000-00000C1F0000}"/>
    <cellStyle name="Normal 13 2 2 3 3 3 3" xfId="33292" xr:uid="{00000000-0005-0000-0000-00000D1F0000}"/>
    <cellStyle name="Normal 13 2 2 3 3 3 4" xfId="23723" xr:uid="{00000000-0005-0000-0000-00000E1F0000}"/>
    <cellStyle name="Normal 13 2 2 3 3 4" xfId="5046" xr:uid="{00000000-0005-0000-0000-00000F1F0000}"/>
    <cellStyle name="Normal 13 2 2 3 3 4 2" xfId="52887" xr:uid="{00000000-0005-0000-0000-0000101F0000}"/>
    <cellStyle name="Normal 13 2 2 3 3 4 3" xfId="36787" xr:uid="{00000000-0005-0000-0000-0000111F0000}"/>
    <cellStyle name="Normal 13 2 2 3 3 4 4" xfId="17651" xr:uid="{00000000-0005-0000-0000-0000121F0000}"/>
    <cellStyle name="Normal 13 2 2 3 3 5" xfId="43320" xr:uid="{00000000-0005-0000-0000-0000131F0000}"/>
    <cellStyle name="Normal 13 2 2 3 3 6" xfId="27220" xr:uid="{00000000-0005-0000-0000-0000141F0000}"/>
    <cellStyle name="Normal 13 2 2 3 3 7" xfId="14156" xr:uid="{00000000-0005-0000-0000-0000151F0000}"/>
    <cellStyle name="Normal 13 2 2 3 4" xfId="7072" xr:uid="{00000000-0005-0000-0000-0000161F0000}"/>
    <cellStyle name="Normal 13 2 2 3 4 2" xfId="38813" xr:uid="{00000000-0005-0000-0000-0000171F0000}"/>
    <cellStyle name="Normal 13 2 2 3 4 2 2" xfId="54913" xr:uid="{00000000-0005-0000-0000-0000181F0000}"/>
    <cellStyle name="Normal 13 2 2 3 4 3" xfId="45346" xr:uid="{00000000-0005-0000-0000-0000191F0000}"/>
    <cellStyle name="Normal 13 2 2 3 4 4" xfId="29246" xr:uid="{00000000-0005-0000-0000-00001A1F0000}"/>
    <cellStyle name="Normal 13 2 2 3 4 5" xfId="19677" xr:uid="{00000000-0005-0000-0000-00001B1F0000}"/>
    <cellStyle name="Normal 13 2 2 3 5" xfId="10108" xr:uid="{00000000-0005-0000-0000-00001C1F0000}"/>
    <cellStyle name="Normal 13 2 2 3 5 2" xfId="48382" xr:uid="{00000000-0005-0000-0000-00001D1F0000}"/>
    <cellStyle name="Normal 13 2 2 3 5 3" xfId="32282" xr:uid="{00000000-0005-0000-0000-00001E1F0000}"/>
    <cellStyle name="Normal 13 2 2 3 5 4" xfId="22713" xr:uid="{00000000-0005-0000-0000-00001F1F0000}"/>
    <cellStyle name="Normal 13 2 2 3 6" xfId="4036" xr:uid="{00000000-0005-0000-0000-0000201F0000}"/>
    <cellStyle name="Normal 13 2 2 3 6 2" xfId="51877" xr:uid="{00000000-0005-0000-0000-0000211F0000}"/>
    <cellStyle name="Normal 13 2 2 3 6 3" xfId="35777" xr:uid="{00000000-0005-0000-0000-0000221F0000}"/>
    <cellStyle name="Normal 13 2 2 3 6 4" xfId="16641" xr:uid="{00000000-0005-0000-0000-0000231F0000}"/>
    <cellStyle name="Normal 13 2 2 3 7" xfId="42310" xr:uid="{00000000-0005-0000-0000-0000241F0000}"/>
    <cellStyle name="Normal 13 2 2 3 8" xfId="26210" xr:uid="{00000000-0005-0000-0000-0000251F0000}"/>
    <cellStyle name="Normal 13 2 2 3 9" xfId="13146" xr:uid="{00000000-0005-0000-0000-0000261F0000}"/>
    <cellStyle name="Normal 13 2 2 4" xfId="574" xr:uid="{00000000-0005-0000-0000-0000271F0000}"/>
    <cellStyle name="Normal 13 2 2 4 2" xfId="2603" xr:uid="{00000000-0005-0000-0000-0000281F0000}"/>
    <cellStyle name="Normal 13 2 2 4 2 2" xfId="9135" xr:uid="{00000000-0005-0000-0000-0000291F0000}"/>
    <cellStyle name="Normal 13 2 2 4 2 2 2" xfId="40876" xr:uid="{00000000-0005-0000-0000-00002A1F0000}"/>
    <cellStyle name="Normal 13 2 2 4 2 2 2 2" xfId="56976" xr:uid="{00000000-0005-0000-0000-00002B1F0000}"/>
    <cellStyle name="Normal 13 2 2 4 2 2 3" xfId="47409" xr:uid="{00000000-0005-0000-0000-00002C1F0000}"/>
    <cellStyle name="Normal 13 2 2 4 2 2 4" xfId="31309" xr:uid="{00000000-0005-0000-0000-00002D1F0000}"/>
    <cellStyle name="Normal 13 2 2 4 2 2 5" xfId="21740" xr:uid="{00000000-0005-0000-0000-00002E1F0000}"/>
    <cellStyle name="Normal 13 2 2 4 2 3" xfId="12171" xr:uid="{00000000-0005-0000-0000-00002F1F0000}"/>
    <cellStyle name="Normal 13 2 2 4 2 3 2" xfId="50445" xr:uid="{00000000-0005-0000-0000-0000301F0000}"/>
    <cellStyle name="Normal 13 2 2 4 2 3 3" xfId="34345" xr:uid="{00000000-0005-0000-0000-0000311F0000}"/>
    <cellStyle name="Normal 13 2 2 4 2 3 4" xfId="24776" xr:uid="{00000000-0005-0000-0000-0000321F0000}"/>
    <cellStyle name="Normal 13 2 2 4 2 4" xfId="6099" xr:uid="{00000000-0005-0000-0000-0000331F0000}"/>
    <cellStyle name="Normal 13 2 2 4 2 4 2" xfId="53940" xr:uid="{00000000-0005-0000-0000-0000341F0000}"/>
    <cellStyle name="Normal 13 2 2 4 2 4 3" xfId="37840" xr:uid="{00000000-0005-0000-0000-0000351F0000}"/>
    <cellStyle name="Normal 13 2 2 4 2 4 4" xfId="18704" xr:uid="{00000000-0005-0000-0000-0000361F0000}"/>
    <cellStyle name="Normal 13 2 2 4 2 5" xfId="44373" xr:uid="{00000000-0005-0000-0000-0000371F0000}"/>
    <cellStyle name="Normal 13 2 2 4 2 6" xfId="28273" xr:uid="{00000000-0005-0000-0000-0000381F0000}"/>
    <cellStyle name="Normal 13 2 2 4 2 7" xfId="15209" xr:uid="{00000000-0005-0000-0000-0000391F0000}"/>
    <cellStyle name="Normal 13 2 2 4 3" xfId="1371" xr:uid="{00000000-0005-0000-0000-00003A1F0000}"/>
    <cellStyle name="Normal 13 2 2 4 3 2" xfId="7905" xr:uid="{00000000-0005-0000-0000-00003B1F0000}"/>
    <cellStyle name="Normal 13 2 2 4 3 2 2" xfId="39646" xr:uid="{00000000-0005-0000-0000-00003C1F0000}"/>
    <cellStyle name="Normal 13 2 2 4 3 2 2 2" xfId="55746" xr:uid="{00000000-0005-0000-0000-00003D1F0000}"/>
    <cellStyle name="Normal 13 2 2 4 3 2 3" xfId="46179" xr:uid="{00000000-0005-0000-0000-00003E1F0000}"/>
    <cellStyle name="Normal 13 2 2 4 3 2 4" xfId="30079" xr:uid="{00000000-0005-0000-0000-00003F1F0000}"/>
    <cellStyle name="Normal 13 2 2 4 3 2 5" xfId="20510" xr:uid="{00000000-0005-0000-0000-0000401F0000}"/>
    <cellStyle name="Normal 13 2 2 4 3 3" xfId="10941" xr:uid="{00000000-0005-0000-0000-0000411F0000}"/>
    <cellStyle name="Normal 13 2 2 4 3 3 2" xfId="49215" xr:uid="{00000000-0005-0000-0000-0000421F0000}"/>
    <cellStyle name="Normal 13 2 2 4 3 3 3" xfId="33115" xr:uid="{00000000-0005-0000-0000-0000431F0000}"/>
    <cellStyle name="Normal 13 2 2 4 3 3 4" xfId="23546" xr:uid="{00000000-0005-0000-0000-0000441F0000}"/>
    <cellStyle name="Normal 13 2 2 4 3 4" xfId="4869" xr:uid="{00000000-0005-0000-0000-0000451F0000}"/>
    <cellStyle name="Normal 13 2 2 4 3 4 2" xfId="52710" xr:uid="{00000000-0005-0000-0000-0000461F0000}"/>
    <cellStyle name="Normal 13 2 2 4 3 4 3" xfId="36610" xr:uid="{00000000-0005-0000-0000-0000471F0000}"/>
    <cellStyle name="Normal 13 2 2 4 3 4 4" xfId="17474" xr:uid="{00000000-0005-0000-0000-0000481F0000}"/>
    <cellStyle name="Normal 13 2 2 4 3 5" xfId="43143" xr:uid="{00000000-0005-0000-0000-0000491F0000}"/>
    <cellStyle name="Normal 13 2 2 4 3 6" xfId="27043" xr:uid="{00000000-0005-0000-0000-00004A1F0000}"/>
    <cellStyle name="Normal 13 2 2 4 3 7" xfId="13979" xr:uid="{00000000-0005-0000-0000-00004B1F0000}"/>
    <cellStyle name="Normal 13 2 2 4 4" xfId="6895" xr:uid="{00000000-0005-0000-0000-00004C1F0000}"/>
    <cellStyle name="Normal 13 2 2 4 4 2" xfId="38636" xr:uid="{00000000-0005-0000-0000-00004D1F0000}"/>
    <cellStyle name="Normal 13 2 2 4 4 2 2" xfId="54736" xr:uid="{00000000-0005-0000-0000-00004E1F0000}"/>
    <cellStyle name="Normal 13 2 2 4 4 3" xfId="45169" xr:uid="{00000000-0005-0000-0000-00004F1F0000}"/>
    <cellStyle name="Normal 13 2 2 4 4 4" xfId="29069" xr:uid="{00000000-0005-0000-0000-0000501F0000}"/>
    <cellStyle name="Normal 13 2 2 4 4 5" xfId="19500" xr:uid="{00000000-0005-0000-0000-0000511F0000}"/>
    <cellStyle name="Normal 13 2 2 4 5" xfId="9931" xr:uid="{00000000-0005-0000-0000-0000521F0000}"/>
    <cellStyle name="Normal 13 2 2 4 5 2" xfId="48205" xr:uid="{00000000-0005-0000-0000-0000531F0000}"/>
    <cellStyle name="Normal 13 2 2 4 5 3" xfId="32105" xr:uid="{00000000-0005-0000-0000-0000541F0000}"/>
    <cellStyle name="Normal 13 2 2 4 5 4" xfId="22536" xr:uid="{00000000-0005-0000-0000-0000551F0000}"/>
    <cellStyle name="Normal 13 2 2 4 6" xfId="3859" xr:uid="{00000000-0005-0000-0000-0000561F0000}"/>
    <cellStyle name="Normal 13 2 2 4 6 2" xfId="51700" xr:uid="{00000000-0005-0000-0000-0000571F0000}"/>
    <cellStyle name="Normal 13 2 2 4 6 3" xfId="35600" xr:uid="{00000000-0005-0000-0000-0000581F0000}"/>
    <cellStyle name="Normal 13 2 2 4 6 4" xfId="16464" xr:uid="{00000000-0005-0000-0000-0000591F0000}"/>
    <cellStyle name="Normal 13 2 2 4 7" xfId="42133" xr:uid="{00000000-0005-0000-0000-00005A1F0000}"/>
    <cellStyle name="Normal 13 2 2 4 8" xfId="26033" xr:uid="{00000000-0005-0000-0000-00005B1F0000}"/>
    <cellStyle name="Normal 13 2 2 4 9" xfId="12969" xr:uid="{00000000-0005-0000-0000-00005C1F0000}"/>
    <cellStyle name="Normal 13 2 2 5" xfId="798" xr:uid="{00000000-0005-0000-0000-00005D1F0000}"/>
    <cellStyle name="Normal 13 2 2 5 2" xfId="2826" xr:uid="{00000000-0005-0000-0000-00005E1F0000}"/>
    <cellStyle name="Normal 13 2 2 5 2 2" xfId="9358" xr:uid="{00000000-0005-0000-0000-00005F1F0000}"/>
    <cellStyle name="Normal 13 2 2 5 2 2 2" xfId="41099" xr:uid="{00000000-0005-0000-0000-0000601F0000}"/>
    <cellStyle name="Normal 13 2 2 5 2 2 2 2" xfId="57199" xr:uid="{00000000-0005-0000-0000-0000611F0000}"/>
    <cellStyle name="Normal 13 2 2 5 2 2 3" xfId="47632" xr:uid="{00000000-0005-0000-0000-0000621F0000}"/>
    <cellStyle name="Normal 13 2 2 5 2 2 4" xfId="31532" xr:uid="{00000000-0005-0000-0000-0000631F0000}"/>
    <cellStyle name="Normal 13 2 2 5 2 2 5" xfId="21963" xr:uid="{00000000-0005-0000-0000-0000641F0000}"/>
    <cellStyle name="Normal 13 2 2 5 2 3" xfId="12394" xr:uid="{00000000-0005-0000-0000-0000651F0000}"/>
    <cellStyle name="Normal 13 2 2 5 2 3 2" xfId="50668" xr:uid="{00000000-0005-0000-0000-0000661F0000}"/>
    <cellStyle name="Normal 13 2 2 5 2 3 3" xfId="34568" xr:uid="{00000000-0005-0000-0000-0000671F0000}"/>
    <cellStyle name="Normal 13 2 2 5 2 3 4" xfId="24999" xr:uid="{00000000-0005-0000-0000-0000681F0000}"/>
    <cellStyle name="Normal 13 2 2 5 2 4" xfId="6322" xr:uid="{00000000-0005-0000-0000-0000691F0000}"/>
    <cellStyle name="Normal 13 2 2 5 2 4 2" xfId="54163" xr:uid="{00000000-0005-0000-0000-00006A1F0000}"/>
    <cellStyle name="Normal 13 2 2 5 2 4 3" xfId="38063" xr:uid="{00000000-0005-0000-0000-00006B1F0000}"/>
    <cellStyle name="Normal 13 2 2 5 2 4 4" xfId="18927" xr:uid="{00000000-0005-0000-0000-00006C1F0000}"/>
    <cellStyle name="Normal 13 2 2 5 2 5" xfId="44596" xr:uid="{00000000-0005-0000-0000-00006D1F0000}"/>
    <cellStyle name="Normal 13 2 2 5 2 6" xfId="28496" xr:uid="{00000000-0005-0000-0000-00006E1F0000}"/>
    <cellStyle name="Normal 13 2 2 5 2 7" xfId="15432" xr:uid="{00000000-0005-0000-0000-00006F1F0000}"/>
    <cellStyle name="Normal 13 2 2 5 3" xfId="1808" xr:uid="{00000000-0005-0000-0000-0000701F0000}"/>
    <cellStyle name="Normal 13 2 2 5 3 2" xfId="8342" xr:uid="{00000000-0005-0000-0000-0000711F0000}"/>
    <cellStyle name="Normal 13 2 2 5 3 2 2" xfId="40083" xr:uid="{00000000-0005-0000-0000-0000721F0000}"/>
    <cellStyle name="Normal 13 2 2 5 3 2 2 2" xfId="56183" xr:uid="{00000000-0005-0000-0000-0000731F0000}"/>
    <cellStyle name="Normal 13 2 2 5 3 2 3" xfId="46616" xr:uid="{00000000-0005-0000-0000-0000741F0000}"/>
    <cellStyle name="Normal 13 2 2 5 3 2 4" xfId="30516" xr:uid="{00000000-0005-0000-0000-0000751F0000}"/>
    <cellStyle name="Normal 13 2 2 5 3 2 5" xfId="20947" xr:uid="{00000000-0005-0000-0000-0000761F0000}"/>
    <cellStyle name="Normal 13 2 2 5 3 3" xfId="11378" xr:uid="{00000000-0005-0000-0000-0000771F0000}"/>
    <cellStyle name="Normal 13 2 2 5 3 3 2" xfId="49652" xr:uid="{00000000-0005-0000-0000-0000781F0000}"/>
    <cellStyle name="Normal 13 2 2 5 3 3 3" xfId="33552" xr:uid="{00000000-0005-0000-0000-0000791F0000}"/>
    <cellStyle name="Normal 13 2 2 5 3 3 4" xfId="23983" xr:uid="{00000000-0005-0000-0000-00007A1F0000}"/>
    <cellStyle name="Normal 13 2 2 5 3 4" xfId="5306" xr:uid="{00000000-0005-0000-0000-00007B1F0000}"/>
    <cellStyle name="Normal 13 2 2 5 3 4 2" xfId="53147" xr:uid="{00000000-0005-0000-0000-00007C1F0000}"/>
    <cellStyle name="Normal 13 2 2 5 3 4 3" xfId="37047" xr:uid="{00000000-0005-0000-0000-00007D1F0000}"/>
    <cellStyle name="Normal 13 2 2 5 3 4 4" xfId="17911" xr:uid="{00000000-0005-0000-0000-00007E1F0000}"/>
    <cellStyle name="Normal 13 2 2 5 3 5" xfId="43580" xr:uid="{00000000-0005-0000-0000-00007F1F0000}"/>
    <cellStyle name="Normal 13 2 2 5 3 6" xfId="27480" xr:uid="{00000000-0005-0000-0000-0000801F0000}"/>
    <cellStyle name="Normal 13 2 2 5 3 7" xfId="14416" xr:uid="{00000000-0005-0000-0000-0000811F0000}"/>
    <cellStyle name="Normal 13 2 2 5 4" xfId="7332" xr:uid="{00000000-0005-0000-0000-0000821F0000}"/>
    <cellStyle name="Normal 13 2 2 5 4 2" xfId="39073" xr:uid="{00000000-0005-0000-0000-0000831F0000}"/>
    <cellStyle name="Normal 13 2 2 5 4 2 2" xfId="55173" xr:uid="{00000000-0005-0000-0000-0000841F0000}"/>
    <cellStyle name="Normal 13 2 2 5 4 3" xfId="45606" xr:uid="{00000000-0005-0000-0000-0000851F0000}"/>
    <cellStyle name="Normal 13 2 2 5 4 4" xfId="29506" xr:uid="{00000000-0005-0000-0000-0000861F0000}"/>
    <cellStyle name="Normal 13 2 2 5 4 5" xfId="19937" xr:uid="{00000000-0005-0000-0000-0000871F0000}"/>
    <cellStyle name="Normal 13 2 2 5 5" xfId="10368" xr:uid="{00000000-0005-0000-0000-0000881F0000}"/>
    <cellStyle name="Normal 13 2 2 5 5 2" xfId="48642" xr:uid="{00000000-0005-0000-0000-0000891F0000}"/>
    <cellStyle name="Normal 13 2 2 5 5 3" xfId="32542" xr:uid="{00000000-0005-0000-0000-00008A1F0000}"/>
    <cellStyle name="Normal 13 2 2 5 5 4" xfId="22973" xr:uid="{00000000-0005-0000-0000-00008B1F0000}"/>
    <cellStyle name="Normal 13 2 2 5 6" xfId="4296" xr:uid="{00000000-0005-0000-0000-00008C1F0000}"/>
    <cellStyle name="Normal 13 2 2 5 6 2" xfId="52137" xr:uid="{00000000-0005-0000-0000-00008D1F0000}"/>
    <cellStyle name="Normal 13 2 2 5 6 3" xfId="36037" xr:uid="{00000000-0005-0000-0000-00008E1F0000}"/>
    <cellStyle name="Normal 13 2 2 5 6 4" xfId="16901" xr:uid="{00000000-0005-0000-0000-00008F1F0000}"/>
    <cellStyle name="Normal 13 2 2 5 7" xfId="42570" xr:uid="{00000000-0005-0000-0000-0000901F0000}"/>
    <cellStyle name="Normal 13 2 2 5 8" xfId="26470" xr:uid="{00000000-0005-0000-0000-0000911F0000}"/>
    <cellStyle name="Normal 13 2 2 5 9" xfId="13406" xr:uid="{00000000-0005-0000-0000-0000921F0000}"/>
    <cellStyle name="Normal 13 2 2 6" xfId="2159" xr:uid="{00000000-0005-0000-0000-0000931F0000}"/>
    <cellStyle name="Normal 13 2 2 6 2" xfId="8693" xr:uid="{00000000-0005-0000-0000-0000941F0000}"/>
    <cellStyle name="Normal 13 2 2 6 2 2" xfId="40434" xr:uid="{00000000-0005-0000-0000-0000951F0000}"/>
    <cellStyle name="Normal 13 2 2 6 2 2 2" xfId="56534" xr:uid="{00000000-0005-0000-0000-0000961F0000}"/>
    <cellStyle name="Normal 13 2 2 6 2 3" xfId="46967" xr:uid="{00000000-0005-0000-0000-0000971F0000}"/>
    <cellStyle name="Normal 13 2 2 6 2 4" xfId="30867" xr:uid="{00000000-0005-0000-0000-0000981F0000}"/>
    <cellStyle name="Normal 13 2 2 6 2 5" xfId="21298" xr:uid="{00000000-0005-0000-0000-0000991F0000}"/>
    <cellStyle name="Normal 13 2 2 6 3" xfId="11729" xr:uid="{00000000-0005-0000-0000-00009A1F0000}"/>
    <cellStyle name="Normal 13 2 2 6 3 2" xfId="50003" xr:uid="{00000000-0005-0000-0000-00009B1F0000}"/>
    <cellStyle name="Normal 13 2 2 6 3 3" xfId="33903" xr:uid="{00000000-0005-0000-0000-00009C1F0000}"/>
    <cellStyle name="Normal 13 2 2 6 3 4" xfId="24334" xr:uid="{00000000-0005-0000-0000-00009D1F0000}"/>
    <cellStyle name="Normal 13 2 2 6 4" xfId="5657" xr:uid="{00000000-0005-0000-0000-00009E1F0000}"/>
    <cellStyle name="Normal 13 2 2 6 4 2" xfId="53498" xr:uid="{00000000-0005-0000-0000-00009F1F0000}"/>
    <cellStyle name="Normal 13 2 2 6 4 3" xfId="37398" xr:uid="{00000000-0005-0000-0000-0000A01F0000}"/>
    <cellStyle name="Normal 13 2 2 6 4 4" xfId="18262" xr:uid="{00000000-0005-0000-0000-0000A11F0000}"/>
    <cellStyle name="Normal 13 2 2 6 5" xfId="43931" xr:uid="{00000000-0005-0000-0000-0000A21F0000}"/>
    <cellStyle name="Normal 13 2 2 6 6" xfId="27831" xr:uid="{00000000-0005-0000-0000-0000A31F0000}"/>
    <cellStyle name="Normal 13 2 2 6 7" xfId="14767" xr:uid="{00000000-0005-0000-0000-0000A41F0000}"/>
    <cellStyle name="Normal 13 2 2 7" xfId="1125" xr:uid="{00000000-0005-0000-0000-0000A51F0000}"/>
    <cellStyle name="Normal 13 2 2 7 2" xfId="7659" xr:uid="{00000000-0005-0000-0000-0000A61F0000}"/>
    <cellStyle name="Normal 13 2 2 7 2 2" xfId="39400" xr:uid="{00000000-0005-0000-0000-0000A71F0000}"/>
    <cellStyle name="Normal 13 2 2 7 2 2 2" xfId="55500" xr:uid="{00000000-0005-0000-0000-0000A81F0000}"/>
    <cellStyle name="Normal 13 2 2 7 2 3" xfId="45933" xr:uid="{00000000-0005-0000-0000-0000A91F0000}"/>
    <cellStyle name="Normal 13 2 2 7 2 4" xfId="29833" xr:uid="{00000000-0005-0000-0000-0000AA1F0000}"/>
    <cellStyle name="Normal 13 2 2 7 2 5" xfId="20264" xr:uid="{00000000-0005-0000-0000-0000AB1F0000}"/>
    <cellStyle name="Normal 13 2 2 7 3" xfId="10695" xr:uid="{00000000-0005-0000-0000-0000AC1F0000}"/>
    <cellStyle name="Normal 13 2 2 7 3 2" xfId="48969" xr:uid="{00000000-0005-0000-0000-0000AD1F0000}"/>
    <cellStyle name="Normal 13 2 2 7 3 3" xfId="32869" xr:uid="{00000000-0005-0000-0000-0000AE1F0000}"/>
    <cellStyle name="Normal 13 2 2 7 3 4" xfId="23300" xr:uid="{00000000-0005-0000-0000-0000AF1F0000}"/>
    <cellStyle name="Normal 13 2 2 7 4" xfId="4623" xr:uid="{00000000-0005-0000-0000-0000B01F0000}"/>
    <cellStyle name="Normal 13 2 2 7 4 2" xfId="52464" xr:uid="{00000000-0005-0000-0000-0000B11F0000}"/>
    <cellStyle name="Normal 13 2 2 7 4 3" xfId="36364" xr:uid="{00000000-0005-0000-0000-0000B21F0000}"/>
    <cellStyle name="Normal 13 2 2 7 4 4" xfId="17228" xr:uid="{00000000-0005-0000-0000-0000B31F0000}"/>
    <cellStyle name="Normal 13 2 2 7 5" xfId="42897" xr:uid="{00000000-0005-0000-0000-0000B41F0000}"/>
    <cellStyle name="Normal 13 2 2 7 6" xfId="26797" xr:uid="{00000000-0005-0000-0000-0000B51F0000}"/>
    <cellStyle name="Normal 13 2 2 7 7" xfId="13733" xr:uid="{00000000-0005-0000-0000-0000B61F0000}"/>
    <cellStyle name="Normal 13 2 2 8" xfId="3613" xr:uid="{00000000-0005-0000-0000-0000B71F0000}"/>
    <cellStyle name="Normal 13 2 2 8 2" xfId="35354" xr:uid="{00000000-0005-0000-0000-0000B81F0000}"/>
    <cellStyle name="Normal 13 2 2 8 2 2" xfId="51454" xr:uid="{00000000-0005-0000-0000-0000B91F0000}"/>
    <cellStyle name="Normal 13 2 2 8 3" xfId="41887" xr:uid="{00000000-0005-0000-0000-0000BA1F0000}"/>
    <cellStyle name="Normal 13 2 2 8 4" xfId="25787" xr:uid="{00000000-0005-0000-0000-0000BB1F0000}"/>
    <cellStyle name="Normal 13 2 2 8 5" xfId="16218" xr:uid="{00000000-0005-0000-0000-0000BC1F0000}"/>
    <cellStyle name="Normal 13 2 2 9" xfId="6649" xr:uid="{00000000-0005-0000-0000-0000BD1F0000}"/>
    <cellStyle name="Normal 13 2 2 9 2" xfId="38390" xr:uid="{00000000-0005-0000-0000-0000BE1F0000}"/>
    <cellStyle name="Normal 13 2 2 9 2 2" xfId="54490" xr:uid="{00000000-0005-0000-0000-0000BF1F0000}"/>
    <cellStyle name="Normal 13 2 2 9 3" xfId="44923" xr:uid="{00000000-0005-0000-0000-0000C01F0000}"/>
    <cellStyle name="Normal 13 2 2 9 4" xfId="28823" xr:uid="{00000000-0005-0000-0000-0000C11F0000}"/>
    <cellStyle name="Normal 13 2 2 9 5" xfId="19254" xr:uid="{00000000-0005-0000-0000-0000C21F0000}"/>
    <cellStyle name="Normal 13 2 3" xfId="100" xr:uid="{00000000-0005-0000-0000-0000C31F0000}"/>
    <cellStyle name="Normal 13 2 3 10" xfId="41618" xr:uid="{00000000-0005-0000-0000-0000C41F0000}"/>
    <cellStyle name="Normal 13 2 3 11" xfId="25518" xr:uid="{00000000-0005-0000-0000-0000C51F0000}"/>
    <cellStyle name="Normal 13 2 3 12" xfId="12933" xr:uid="{00000000-0005-0000-0000-0000C61F0000}"/>
    <cellStyle name="Normal 13 2 3 2" xfId="281" xr:uid="{00000000-0005-0000-0000-0000C71F0000}"/>
    <cellStyle name="Normal 13 2 3 2 2" xfId="2300" xr:uid="{00000000-0005-0000-0000-0000C81F0000}"/>
    <cellStyle name="Normal 13 2 3 2 2 2" xfId="8834" xr:uid="{00000000-0005-0000-0000-0000C91F0000}"/>
    <cellStyle name="Normal 13 2 3 2 2 2 2" xfId="40575" xr:uid="{00000000-0005-0000-0000-0000CA1F0000}"/>
    <cellStyle name="Normal 13 2 3 2 2 2 2 2" xfId="56675" xr:uid="{00000000-0005-0000-0000-0000CB1F0000}"/>
    <cellStyle name="Normal 13 2 3 2 2 2 3" xfId="47108" xr:uid="{00000000-0005-0000-0000-0000CC1F0000}"/>
    <cellStyle name="Normal 13 2 3 2 2 2 4" xfId="31008" xr:uid="{00000000-0005-0000-0000-0000CD1F0000}"/>
    <cellStyle name="Normal 13 2 3 2 2 2 5" xfId="21439" xr:uid="{00000000-0005-0000-0000-0000CE1F0000}"/>
    <cellStyle name="Normal 13 2 3 2 2 3" xfId="11870" xr:uid="{00000000-0005-0000-0000-0000CF1F0000}"/>
    <cellStyle name="Normal 13 2 3 2 2 3 2" xfId="50144" xr:uid="{00000000-0005-0000-0000-0000D01F0000}"/>
    <cellStyle name="Normal 13 2 3 2 2 3 3" xfId="34044" xr:uid="{00000000-0005-0000-0000-0000D11F0000}"/>
    <cellStyle name="Normal 13 2 3 2 2 3 4" xfId="24475" xr:uid="{00000000-0005-0000-0000-0000D21F0000}"/>
    <cellStyle name="Normal 13 2 3 2 2 4" xfId="5798" xr:uid="{00000000-0005-0000-0000-0000D31F0000}"/>
    <cellStyle name="Normal 13 2 3 2 2 4 2" xfId="53639" xr:uid="{00000000-0005-0000-0000-0000D41F0000}"/>
    <cellStyle name="Normal 13 2 3 2 2 4 3" xfId="37539" xr:uid="{00000000-0005-0000-0000-0000D51F0000}"/>
    <cellStyle name="Normal 13 2 3 2 2 4 4" xfId="18403" xr:uid="{00000000-0005-0000-0000-0000D61F0000}"/>
    <cellStyle name="Normal 13 2 3 2 2 5" xfId="44072" xr:uid="{00000000-0005-0000-0000-0000D71F0000}"/>
    <cellStyle name="Normal 13 2 3 2 2 6" xfId="27972" xr:uid="{00000000-0005-0000-0000-0000D81F0000}"/>
    <cellStyle name="Normal 13 2 3 2 2 7" xfId="14908" xr:uid="{00000000-0005-0000-0000-0000D91F0000}"/>
    <cellStyle name="Normal 13 2 3 2 3" xfId="1512" xr:uid="{00000000-0005-0000-0000-0000DA1F0000}"/>
    <cellStyle name="Normal 13 2 3 2 3 2" xfId="8046" xr:uid="{00000000-0005-0000-0000-0000DB1F0000}"/>
    <cellStyle name="Normal 13 2 3 2 3 2 2" xfId="39787" xr:uid="{00000000-0005-0000-0000-0000DC1F0000}"/>
    <cellStyle name="Normal 13 2 3 2 3 2 2 2" xfId="55887" xr:uid="{00000000-0005-0000-0000-0000DD1F0000}"/>
    <cellStyle name="Normal 13 2 3 2 3 2 3" xfId="46320" xr:uid="{00000000-0005-0000-0000-0000DE1F0000}"/>
    <cellStyle name="Normal 13 2 3 2 3 2 4" xfId="30220" xr:uid="{00000000-0005-0000-0000-0000DF1F0000}"/>
    <cellStyle name="Normal 13 2 3 2 3 2 5" xfId="20651" xr:uid="{00000000-0005-0000-0000-0000E01F0000}"/>
    <cellStyle name="Normal 13 2 3 2 3 3" xfId="11082" xr:uid="{00000000-0005-0000-0000-0000E11F0000}"/>
    <cellStyle name="Normal 13 2 3 2 3 3 2" xfId="49356" xr:uid="{00000000-0005-0000-0000-0000E21F0000}"/>
    <cellStyle name="Normal 13 2 3 2 3 3 3" xfId="33256" xr:uid="{00000000-0005-0000-0000-0000E31F0000}"/>
    <cellStyle name="Normal 13 2 3 2 3 3 4" xfId="23687" xr:uid="{00000000-0005-0000-0000-0000E41F0000}"/>
    <cellStyle name="Normal 13 2 3 2 3 4" xfId="5010" xr:uid="{00000000-0005-0000-0000-0000E51F0000}"/>
    <cellStyle name="Normal 13 2 3 2 3 4 2" xfId="52851" xr:uid="{00000000-0005-0000-0000-0000E61F0000}"/>
    <cellStyle name="Normal 13 2 3 2 3 4 3" xfId="36751" xr:uid="{00000000-0005-0000-0000-0000E71F0000}"/>
    <cellStyle name="Normal 13 2 3 2 3 4 4" xfId="17615" xr:uid="{00000000-0005-0000-0000-0000E81F0000}"/>
    <cellStyle name="Normal 13 2 3 2 3 5" xfId="43284" xr:uid="{00000000-0005-0000-0000-0000E91F0000}"/>
    <cellStyle name="Normal 13 2 3 2 3 6" xfId="27184" xr:uid="{00000000-0005-0000-0000-0000EA1F0000}"/>
    <cellStyle name="Normal 13 2 3 2 3 7" xfId="14120" xr:uid="{00000000-0005-0000-0000-0000EB1F0000}"/>
    <cellStyle name="Normal 13 2 3 2 4" xfId="7036" xr:uid="{00000000-0005-0000-0000-0000EC1F0000}"/>
    <cellStyle name="Normal 13 2 3 2 4 2" xfId="38777" xr:uid="{00000000-0005-0000-0000-0000ED1F0000}"/>
    <cellStyle name="Normal 13 2 3 2 4 2 2" xfId="54877" xr:uid="{00000000-0005-0000-0000-0000EE1F0000}"/>
    <cellStyle name="Normal 13 2 3 2 4 3" xfId="45310" xr:uid="{00000000-0005-0000-0000-0000EF1F0000}"/>
    <cellStyle name="Normal 13 2 3 2 4 4" xfId="29210" xr:uid="{00000000-0005-0000-0000-0000F01F0000}"/>
    <cellStyle name="Normal 13 2 3 2 4 5" xfId="19641" xr:uid="{00000000-0005-0000-0000-0000F11F0000}"/>
    <cellStyle name="Normal 13 2 3 2 5" xfId="10072" xr:uid="{00000000-0005-0000-0000-0000F21F0000}"/>
    <cellStyle name="Normal 13 2 3 2 5 2" xfId="48346" xr:uid="{00000000-0005-0000-0000-0000F31F0000}"/>
    <cellStyle name="Normal 13 2 3 2 5 3" xfId="32246" xr:uid="{00000000-0005-0000-0000-0000F41F0000}"/>
    <cellStyle name="Normal 13 2 3 2 5 4" xfId="22677" xr:uid="{00000000-0005-0000-0000-0000F51F0000}"/>
    <cellStyle name="Normal 13 2 3 2 6" xfId="4000" xr:uid="{00000000-0005-0000-0000-0000F61F0000}"/>
    <cellStyle name="Normal 13 2 3 2 6 2" xfId="51841" xr:uid="{00000000-0005-0000-0000-0000F71F0000}"/>
    <cellStyle name="Normal 13 2 3 2 6 3" xfId="35741" xr:uid="{00000000-0005-0000-0000-0000F81F0000}"/>
    <cellStyle name="Normal 13 2 3 2 6 4" xfId="16605" xr:uid="{00000000-0005-0000-0000-0000F91F0000}"/>
    <cellStyle name="Normal 13 2 3 2 7" xfId="42274" xr:uid="{00000000-0005-0000-0000-0000FA1F0000}"/>
    <cellStyle name="Normal 13 2 3 2 8" xfId="26174" xr:uid="{00000000-0005-0000-0000-0000FB1F0000}"/>
    <cellStyle name="Normal 13 2 3 2 9" xfId="13110" xr:uid="{00000000-0005-0000-0000-0000FC1F0000}"/>
    <cellStyle name="Normal 13 2 3 3" xfId="973" xr:uid="{00000000-0005-0000-0000-0000FD1F0000}"/>
    <cellStyle name="Normal 13 2 3 3 2" xfId="3001" xr:uid="{00000000-0005-0000-0000-0000FE1F0000}"/>
    <cellStyle name="Normal 13 2 3 3 2 2" xfId="9533" xr:uid="{00000000-0005-0000-0000-0000FF1F0000}"/>
    <cellStyle name="Normal 13 2 3 3 2 2 2" xfId="41274" xr:uid="{00000000-0005-0000-0000-000000200000}"/>
    <cellStyle name="Normal 13 2 3 3 2 2 2 2" xfId="57374" xr:uid="{00000000-0005-0000-0000-000001200000}"/>
    <cellStyle name="Normal 13 2 3 3 2 2 3" xfId="47807" xr:uid="{00000000-0005-0000-0000-000002200000}"/>
    <cellStyle name="Normal 13 2 3 3 2 2 4" xfId="31707" xr:uid="{00000000-0005-0000-0000-000003200000}"/>
    <cellStyle name="Normal 13 2 3 3 2 2 5" xfId="22138" xr:uid="{00000000-0005-0000-0000-000004200000}"/>
    <cellStyle name="Normal 13 2 3 3 2 3" xfId="12569" xr:uid="{00000000-0005-0000-0000-000005200000}"/>
    <cellStyle name="Normal 13 2 3 3 2 3 2" xfId="50843" xr:uid="{00000000-0005-0000-0000-000006200000}"/>
    <cellStyle name="Normal 13 2 3 3 2 3 3" xfId="34743" xr:uid="{00000000-0005-0000-0000-000007200000}"/>
    <cellStyle name="Normal 13 2 3 3 2 3 4" xfId="25174" xr:uid="{00000000-0005-0000-0000-000008200000}"/>
    <cellStyle name="Normal 13 2 3 3 2 4" xfId="6497" xr:uid="{00000000-0005-0000-0000-000009200000}"/>
    <cellStyle name="Normal 13 2 3 3 2 4 2" xfId="54338" xr:uid="{00000000-0005-0000-0000-00000A200000}"/>
    <cellStyle name="Normal 13 2 3 3 2 4 3" xfId="38238" xr:uid="{00000000-0005-0000-0000-00000B200000}"/>
    <cellStyle name="Normal 13 2 3 3 2 4 4" xfId="19102" xr:uid="{00000000-0005-0000-0000-00000C200000}"/>
    <cellStyle name="Normal 13 2 3 3 2 5" xfId="44771" xr:uid="{00000000-0005-0000-0000-00000D200000}"/>
    <cellStyle name="Normal 13 2 3 3 2 6" xfId="28671" xr:uid="{00000000-0005-0000-0000-00000E200000}"/>
    <cellStyle name="Normal 13 2 3 3 2 7" xfId="15607" xr:uid="{00000000-0005-0000-0000-00000F200000}"/>
    <cellStyle name="Normal 13 2 3 3 3" xfId="1983" xr:uid="{00000000-0005-0000-0000-000010200000}"/>
    <cellStyle name="Normal 13 2 3 3 3 2" xfId="8517" xr:uid="{00000000-0005-0000-0000-000011200000}"/>
    <cellStyle name="Normal 13 2 3 3 3 2 2" xfId="40258" xr:uid="{00000000-0005-0000-0000-000012200000}"/>
    <cellStyle name="Normal 13 2 3 3 3 2 2 2" xfId="56358" xr:uid="{00000000-0005-0000-0000-000013200000}"/>
    <cellStyle name="Normal 13 2 3 3 3 2 3" xfId="46791" xr:uid="{00000000-0005-0000-0000-000014200000}"/>
    <cellStyle name="Normal 13 2 3 3 3 2 4" xfId="30691" xr:uid="{00000000-0005-0000-0000-000015200000}"/>
    <cellStyle name="Normal 13 2 3 3 3 2 5" xfId="21122" xr:uid="{00000000-0005-0000-0000-000016200000}"/>
    <cellStyle name="Normal 13 2 3 3 3 3" xfId="11553" xr:uid="{00000000-0005-0000-0000-000017200000}"/>
    <cellStyle name="Normal 13 2 3 3 3 3 2" xfId="49827" xr:uid="{00000000-0005-0000-0000-000018200000}"/>
    <cellStyle name="Normal 13 2 3 3 3 3 3" xfId="33727" xr:uid="{00000000-0005-0000-0000-000019200000}"/>
    <cellStyle name="Normal 13 2 3 3 3 3 4" xfId="24158" xr:uid="{00000000-0005-0000-0000-00001A200000}"/>
    <cellStyle name="Normal 13 2 3 3 3 4" xfId="5481" xr:uid="{00000000-0005-0000-0000-00001B200000}"/>
    <cellStyle name="Normal 13 2 3 3 3 4 2" xfId="53322" xr:uid="{00000000-0005-0000-0000-00001C200000}"/>
    <cellStyle name="Normal 13 2 3 3 3 4 3" xfId="37222" xr:uid="{00000000-0005-0000-0000-00001D200000}"/>
    <cellStyle name="Normal 13 2 3 3 3 4 4" xfId="18086" xr:uid="{00000000-0005-0000-0000-00001E200000}"/>
    <cellStyle name="Normal 13 2 3 3 3 5" xfId="43755" xr:uid="{00000000-0005-0000-0000-00001F200000}"/>
    <cellStyle name="Normal 13 2 3 3 3 6" xfId="27655" xr:uid="{00000000-0005-0000-0000-000020200000}"/>
    <cellStyle name="Normal 13 2 3 3 3 7" xfId="14591" xr:uid="{00000000-0005-0000-0000-000021200000}"/>
    <cellStyle name="Normal 13 2 3 3 4" xfId="7507" xr:uid="{00000000-0005-0000-0000-000022200000}"/>
    <cellStyle name="Normal 13 2 3 3 4 2" xfId="39248" xr:uid="{00000000-0005-0000-0000-000023200000}"/>
    <cellStyle name="Normal 13 2 3 3 4 2 2" xfId="55348" xr:uid="{00000000-0005-0000-0000-000024200000}"/>
    <cellStyle name="Normal 13 2 3 3 4 3" xfId="45781" xr:uid="{00000000-0005-0000-0000-000025200000}"/>
    <cellStyle name="Normal 13 2 3 3 4 4" xfId="29681" xr:uid="{00000000-0005-0000-0000-000026200000}"/>
    <cellStyle name="Normal 13 2 3 3 4 5" xfId="20112" xr:uid="{00000000-0005-0000-0000-000027200000}"/>
    <cellStyle name="Normal 13 2 3 3 5" xfId="10543" xr:uid="{00000000-0005-0000-0000-000028200000}"/>
    <cellStyle name="Normal 13 2 3 3 5 2" xfId="48817" xr:uid="{00000000-0005-0000-0000-000029200000}"/>
    <cellStyle name="Normal 13 2 3 3 5 3" xfId="32717" xr:uid="{00000000-0005-0000-0000-00002A200000}"/>
    <cellStyle name="Normal 13 2 3 3 5 4" xfId="23148" xr:uid="{00000000-0005-0000-0000-00002B200000}"/>
    <cellStyle name="Normal 13 2 3 3 6" xfId="4471" xr:uid="{00000000-0005-0000-0000-00002C200000}"/>
    <cellStyle name="Normal 13 2 3 3 6 2" xfId="52312" xr:uid="{00000000-0005-0000-0000-00002D200000}"/>
    <cellStyle name="Normal 13 2 3 3 6 3" xfId="36212" xr:uid="{00000000-0005-0000-0000-00002E200000}"/>
    <cellStyle name="Normal 13 2 3 3 6 4" xfId="17076" xr:uid="{00000000-0005-0000-0000-00002F200000}"/>
    <cellStyle name="Normal 13 2 3 3 7" xfId="42745" xr:uid="{00000000-0005-0000-0000-000030200000}"/>
    <cellStyle name="Normal 13 2 3 3 8" xfId="26645" xr:uid="{00000000-0005-0000-0000-000031200000}"/>
    <cellStyle name="Normal 13 2 3 3 9" xfId="13581" xr:uid="{00000000-0005-0000-0000-000032200000}"/>
    <cellStyle name="Normal 13 2 3 4" xfId="2123" xr:uid="{00000000-0005-0000-0000-000033200000}"/>
    <cellStyle name="Normal 13 2 3 4 2" xfId="8657" xr:uid="{00000000-0005-0000-0000-000034200000}"/>
    <cellStyle name="Normal 13 2 3 4 2 2" xfId="40398" xr:uid="{00000000-0005-0000-0000-000035200000}"/>
    <cellStyle name="Normal 13 2 3 4 2 2 2" xfId="56498" xr:uid="{00000000-0005-0000-0000-000036200000}"/>
    <cellStyle name="Normal 13 2 3 4 2 3" xfId="46931" xr:uid="{00000000-0005-0000-0000-000037200000}"/>
    <cellStyle name="Normal 13 2 3 4 2 4" xfId="30831" xr:uid="{00000000-0005-0000-0000-000038200000}"/>
    <cellStyle name="Normal 13 2 3 4 2 5" xfId="21262" xr:uid="{00000000-0005-0000-0000-000039200000}"/>
    <cellStyle name="Normal 13 2 3 4 3" xfId="11693" xr:uid="{00000000-0005-0000-0000-00003A200000}"/>
    <cellStyle name="Normal 13 2 3 4 3 2" xfId="49967" xr:uid="{00000000-0005-0000-0000-00003B200000}"/>
    <cellStyle name="Normal 13 2 3 4 3 3" xfId="33867" xr:uid="{00000000-0005-0000-0000-00003C200000}"/>
    <cellStyle name="Normal 13 2 3 4 3 4" xfId="24298" xr:uid="{00000000-0005-0000-0000-00003D200000}"/>
    <cellStyle name="Normal 13 2 3 4 4" xfId="5621" xr:uid="{00000000-0005-0000-0000-00003E200000}"/>
    <cellStyle name="Normal 13 2 3 4 4 2" xfId="53462" xr:uid="{00000000-0005-0000-0000-00003F200000}"/>
    <cellStyle name="Normal 13 2 3 4 4 3" xfId="37362" xr:uid="{00000000-0005-0000-0000-000040200000}"/>
    <cellStyle name="Normal 13 2 3 4 4 4" xfId="18226" xr:uid="{00000000-0005-0000-0000-000041200000}"/>
    <cellStyle name="Normal 13 2 3 4 5" xfId="43895" xr:uid="{00000000-0005-0000-0000-000042200000}"/>
    <cellStyle name="Normal 13 2 3 4 6" xfId="27795" xr:uid="{00000000-0005-0000-0000-000043200000}"/>
    <cellStyle name="Normal 13 2 3 4 7" xfId="14731" xr:uid="{00000000-0005-0000-0000-000044200000}"/>
    <cellStyle name="Normal 13 2 3 5" xfId="1335" xr:uid="{00000000-0005-0000-0000-000045200000}"/>
    <cellStyle name="Normal 13 2 3 5 2" xfId="7869" xr:uid="{00000000-0005-0000-0000-000046200000}"/>
    <cellStyle name="Normal 13 2 3 5 2 2" xfId="39610" xr:uid="{00000000-0005-0000-0000-000047200000}"/>
    <cellStyle name="Normal 13 2 3 5 2 2 2" xfId="55710" xr:uid="{00000000-0005-0000-0000-000048200000}"/>
    <cellStyle name="Normal 13 2 3 5 2 3" xfId="46143" xr:uid="{00000000-0005-0000-0000-000049200000}"/>
    <cellStyle name="Normal 13 2 3 5 2 4" xfId="30043" xr:uid="{00000000-0005-0000-0000-00004A200000}"/>
    <cellStyle name="Normal 13 2 3 5 2 5" xfId="20474" xr:uid="{00000000-0005-0000-0000-00004B200000}"/>
    <cellStyle name="Normal 13 2 3 5 3" xfId="10905" xr:uid="{00000000-0005-0000-0000-00004C200000}"/>
    <cellStyle name="Normal 13 2 3 5 3 2" xfId="49179" xr:uid="{00000000-0005-0000-0000-00004D200000}"/>
    <cellStyle name="Normal 13 2 3 5 3 3" xfId="33079" xr:uid="{00000000-0005-0000-0000-00004E200000}"/>
    <cellStyle name="Normal 13 2 3 5 3 4" xfId="23510" xr:uid="{00000000-0005-0000-0000-00004F200000}"/>
    <cellStyle name="Normal 13 2 3 5 4" xfId="4833" xr:uid="{00000000-0005-0000-0000-000050200000}"/>
    <cellStyle name="Normal 13 2 3 5 4 2" xfId="52674" xr:uid="{00000000-0005-0000-0000-000051200000}"/>
    <cellStyle name="Normal 13 2 3 5 4 3" xfId="36574" xr:uid="{00000000-0005-0000-0000-000052200000}"/>
    <cellStyle name="Normal 13 2 3 5 4 4" xfId="17438" xr:uid="{00000000-0005-0000-0000-000053200000}"/>
    <cellStyle name="Normal 13 2 3 5 5" xfId="43107" xr:uid="{00000000-0005-0000-0000-000054200000}"/>
    <cellStyle name="Normal 13 2 3 5 6" xfId="27007" xr:uid="{00000000-0005-0000-0000-000055200000}"/>
    <cellStyle name="Normal 13 2 3 5 7" xfId="13943" xr:uid="{00000000-0005-0000-0000-000056200000}"/>
    <cellStyle name="Normal 13 2 3 6" xfId="3823" xr:uid="{00000000-0005-0000-0000-000057200000}"/>
    <cellStyle name="Normal 13 2 3 6 2" xfId="35564" xr:uid="{00000000-0005-0000-0000-000058200000}"/>
    <cellStyle name="Normal 13 2 3 6 2 2" xfId="51664" xr:uid="{00000000-0005-0000-0000-000059200000}"/>
    <cellStyle name="Normal 13 2 3 6 3" xfId="42097" xr:uid="{00000000-0005-0000-0000-00005A200000}"/>
    <cellStyle name="Normal 13 2 3 6 4" xfId="25997" xr:uid="{00000000-0005-0000-0000-00005B200000}"/>
    <cellStyle name="Normal 13 2 3 6 5" xfId="16428" xr:uid="{00000000-0005-0000-0000-00005C200000}"/>
    <cellStyle name="Normal 13 2 3 7" xfId="6859" xr:uid="{00000000-0005-0000-0000-00005D200000}"/>
    <cellStyle name="Normal 13 2 3 7 2" xfId="38600" xr:uid="{00000000-0005-0000-0000-00005E200000}"/>
    <cellStyle name="Normal 13 2 3 7 2 2" xfId="54700" xr:uid="{00000000-0005-0000-0000-00005F200000}"/>
    <cellStyle name="Normal 13 2 3 7 3" xfId="45133" xr:uid="{00000000-0005-0000-0000-000060200000}"/>
    <cellStyle name="Normal 13 2 3 7 4" xfId="29033" xr:uid="{00000000-0005-0000-0000-000061200000}"/>
    <cellStyle name="Normal 13 2 3 7 5" xfId="19464" xr:uid="{00000000-0005-0000-0000-000062200000}"/>
    <cellStyle name="Normal 13 2 3 8" xfId="9895" xr:uid="{00000000-0005-0000-0000-000063200000}"/>
    <cellStyle name="Normal 13 2 3 8 2" xfId="48169" xr:uid="{00000000-0005-0000-0000-000064200000}"/>
    <cellStyle name="Normal 13 2 3 8 3" xfId="32069" xr:uid="{00000000-0005-0000-0000-000065200000}"/>
    <cellStyle name="Normal 13 2 3 8 4" xfId="22500" xr:uid="{00000000-0005-0000-0000-000066200000}"/>
    <cellStyle name="Normal 13 2 3 9" xfId="3344" xr:uid="{00000000-0005-0000-0000-000067200000}"/>
    <cellStyle name="Normal 13 2 3 9 2" xfId="51185" xr:uid="{00000000-0005-0000-0000-000068200000}"/>
    <cellStyle name="Normal 13 2 3 9 3" xfId="35085" xr:uid="{00000000-0005-0000-0000-000069200000}"/>
    <cellStyle name="Normal 13 2 3 9 4" xfId="15949" xr:uid="{00000000-0005-0000-0000-00006A200000}"/>
    <cellStyle name="Normal 13 2 4" xfId="175" xr:uid="{00000000-0005-0000-0000-00006B200000}"/>
    <cellStyle name="Normal 13 2 4 10" xfId="26068" xr:uid="{00000000-0005-0000-0000-00006C200000}"/>
    <cellStyle name="Normal 13 2 4 11" xfId="13004" xr:uid="{00000000-0005-0000-0000-00006D200000}"/>
    <cellStyle name="Normal 13 2 4 2" xfId="352" xr:uid="{00000000-0005-0000-0000-00006E200000}"/>
    <cellStyle name="Normal 13 2 4 2 2" xfId="2371" xr:uid="{00000000-0005-0000-0000-00006F200000}"/>
    <cellStyle name="Normal 13 2 4 2 2 2" xfId="8905" xr:uid="{00000000-0005-0000-0000-000070200000}"/>
    <cellStyle name="Normal 13 2 4 2 2 2 2" xfId="40646" xr:uid="{00000000-0005-0000-0000-000071200000}"/>
    <cellStyle name="Normal 13 2 4 2 2 2 2 2" xfId="56746" xr:uid="{00000000-0005-0000-0000-000072200000}"/>
    <cellStyle name="Normal 13 2 4 2 2 2 3" xfId="47179" xr:uid="{00000000-0005-0000-0000-000073200000}"/>
    <cellStyle name="Normal 13 2 4 2 2 2 4" xfId="31079" xr:uid="{00000000-0005-0000-0000-000074200000}"/>
    <cellStyle name="Normal 13 2 4 2 2 2 5" xfId="21510" xr:uid="{00000000-0005-0000-0000-000075200000}"/>
    <cellStyle name="Normal 13 2 4 2 2 3" xfId="11941" xr:uid="{00000000-0005-0000-0000-000076200000}"/>
    <cellStyle name="Normal 13 2 4 2 2 3 2" xfId="50215" xr:uid="{00000000-0005-0000-0000-000077200000}"/>
    <cellStyle name="Normal 13 2 4 2 2 3 3" xfId="34115" xr:uid="{00000000-0005-0000-0000-000078200000}"/>
    <cellStyle name="Normal 13 2 4 2 2 3 4" xfId="24546" xr:uid="{00000000-0005-0000-0000-000079200000}"/>
    <cellStyle name="Normal 13 2 4 2 2 4" xfId="5869" xr:uid="{00000000-0005-0000-0000-00007A200000}"/>
    <cellStyle name="Normal 13 2 4 2 2 4 2" xfId="53710" xr:uid="{00000000-0005-0000-0000-00007B200000}"/>
    <cellStyle name="Normal 13 2 4 2 2 4 3" xfId="37610" xr:uid="{00000000-0005-0000-0000-00007C200000}"/>
    <cellStyle name="Normal 13 2 4 2 2 4 4" xfId="18474" xr:uid="{00000000-0005-0000-0000-00007D200000}"/>
    <cellStyle name="Normal 13 2 4 2 2 5" xfId="44143" xr:uid="{00000000-0005-0000-0000-00007E200000}"/>
    <cellStyle name="Normal 13 2 4 2 2 6" xfId="28043" xr:uid="{00000000-0005-0000-0000-00007F200000}"/>
    <cellStyle name="Normal 13 2 4 2 2 7" xfId="14979" xr:uid="{00000000-0005-0000-0000-000080200000}"/>
    <cellStyle name="Normal 13 2 4 2 3" xfId="1583" xr:uid="{00000000-0005-0000-0000-000081200000}"/>
    <cellStyle name="Normal 13 2 4 2 3 2" xfId="8117" xr:uid="{00000000-0005-0000-0000-000082200000}"/>
    <cellStyle name="Normal 13 2 4 2 3 2 2" xfId="39858" xr:uid="{00000000-0005-0000-0000-000083200000}"/>
    <cellStyle name="Normal 13 2 4 2 3 2 2 2" xfId="55958" xr:uid="{00000000-0005-0000-0000-000084200000}"/>
    <cellStyle name="Normal 13 2 4 2 3 2 3" xfId="46391" xr:uid="{00000000-0005-0000-0000-000085200000}"/>
    <cellStyle name="Normal 13 2 4 2 3 2 4" xfId="30291" xr:uid="{00000000-0005-0000-0000-000086200000}"/>
    <cellStyle name="Normal 13 2 4 2 3 2 5" xfId="20722" xr:uid="{00000000-0005-0000-0000-000087200000}"/>
    <cellStyle name="Normal 13 2 4 2 3 3" xfId="11153" xr:uid="{00000000-0005-0000-0000-000088200000}"/>
    <cellStyle name="Normal 13 2 4 2 3 3 2" xfId="49427" xr:uid="{00000000-0005-0000-0000-000089200000}"/>
    <cellStyle name="Normal 13 2 4 2 3 3 3" xfId="33327" xr:uid="{00000000-0005-0000-0000-00008A200000}"/>
    <cellStyle name="Normal 13 2 4 2 3 3 4" xfId="23758" xr:uid="{00000000-0005-0000-0000-00008B200000}"/>
    <cellStyle name="Normal 13 2 4 2 3 4" xfId="5081" xr:uid="{00000000-0005-0000-0000-00008C200000}"/>
    <cellStyle name="Normal 13 2 4 2 3 4 2" xfId="52922" xr:uid="{00000000-0005-0000-0000-00008D200000}"/>
    <cellStyle name="Normal 13 2 4 2 3 4 3" xfId="36822" xr:uid="{00000000-0005-0000-0000-00008E200000}"/>
    <cellStyle name="Normal 13 2 4 2 3 4 4" xfId="17686" xr:uid="{00000000-0005-0000-0000-00008F200000}"/>
    <cellStyle name="Normal 13 2 4 2 3 5" xfId="43355" xr:uid="{00000000-0005-0000-0000-000090200000}"/>
    <cellStyle name="Normal 13 2 4 2 3 6" xfId="27255" xr:uid="{00000000-0005-0000-0000-000091200000}"/>
    <cellStyle name="Normal 13 2 4 2 3 7" xfId="14191" xr:uid="{00000000-0005-0000-0000-000092200000}"/>
    <cellStyle name="Normal 13 2 4 2 4" xfId="7107" xr:uid="{00000000-0005-0000-0000-000093200000}"/>
    <cellStyle name="Normal 13 2 4 2 4 2" xfId="38848" xr:uid="{00000000-0005-0000-0000-000094200000}"/>
    <cellStyle name="Normal 13 2 4 2 4 2 2" xfId="54948" xr:uid="{00000000-0005-0000-0000-000095200000}"/>
    <cellStyle name="Normal 13 2 4 2 4 3" xfId="45381" xr:uid="{00000000-0005-0000-0000-000096200000}"/>
    <cellStyle name="Normal 13 2 4 2 4 4" xfId="29281" xr:uid="{00000000-0005-0000-0000-000097200000}"/>
    <cellStyle name="Normal 13 2 4 2 4 5" xfId="19712" xr:uid="{00000000-0005-0000-0000-000098200000}"/>
    <cellStyle name="Normal 13 2 4 2 5" xfId="10143" xr:uid="{00000000-0005-0000-0000-000099200000}"/>
    <cellStyle name="Normal 13 2 4 2 5 2" xfId="48417" xr:uid="{00000000-0005-0000-0000-00009A200000}"/>
    <cellStyle name="Normal 13 2 4 2 5 3" xfId="32317" xr:uid="{00000000-0005-0000-0000-00009B200000}"/>
    <cellStyle name="Normal 13 2 4 2 5 4" xfId="22748" xr:uid="{00000000-0005-0000-0000-00009C200000}"/>
    <cellStyle name="Normal 13 2 4 2 6" xfId="4071" xr:uid="{00000000-0005-0000-0000-00009D200000}"/>
    <cellStyle name="Normal 13 2 4 2 6 2" xfId="51912" xr:uid="{00000000-0005-0000-0000-00009E200000}"/>
    <cellStyle name="Normal 13 2 4 2 6 3" xfId="35812" xr:uid="{00000000-0005-0000-0000-00009F200000}"/>
    <cellStyle name="Normal 13 2 4 2 6 4" xfId="16676" xr:uid="{00000000-0005-0000-0000-0000A0200000}"/>
    <cellStyle name="Normal 13 2 4 2 7" xfId="42345" xr:uid="{00000000-0005-0000-0000-0000A1200000}"/>
    <cellStyle name="Normal 13 2 4 2 8" xfId="26245" xr:uid="{00000000-0005-0000-0000-0000A2200000}"/>
    <cellStyle name="Normal 13 2 4 2 9" xfId="13181" xr:uid="{00000000-0005-0000-0000-0000A3200000}"/>
    <cellStyle name="Normal 13 2 4 3" xfId="992" xr:uid="{00000000-0005-0000-0000-0000A4200000}"/>
    <cellStyle name="Normal 13 2 4 3 2" xfId="3020" xr:uid="{00000000-0005-0000-0000-0000A5200000}"/>
    <cellStyle name="Normal 13 2 4 3 2 2" xfId="9552" xr:uid="{00000000-0005-0000-0000-0000A6200000}"/>
    <cellStyle name="Normal 13 2 4 3 2 2 2" xfId="41293" xr:uid="{00000000-0005-0000-0000-0000A7200000}"/>
    <cellStyle name="Normal 13 2 4 3 2 2 2 2" xfId="57393" xr:uid="{00000000-0005-0000-0000-0000A8200000}"/>
    <cellStyle name="Normal 13 2 4 3 2 2 3" xfId="47826" xr:uid="{00000000-0005-0000-0000-0000A9200000}"/>
    <cellStyle name="Normal 13 2 4 3 2 2 4" xfId="31726" xr:uid="{00000000-0005-0000-0000-0000AA200000}"/>
    <cellStyle name="Normal 13 2 4 3 2 2 5" xfId="22157" xr:uid="{00000000-0005-0000-0000-0000AB200000}"/>
    <cellStyle name="Normal 13 2 4 3 2 3" xfId="12588" xr:uid="{00000000-0005-0000-0000-0000AC200000}"/>
    <cellStyle name="Normal 13 2 4 3 2 3 2" xfId="50862" xr:uid="{00000000-0005-0000-0000-0000AD200000}"/>
    <cellStyle name="Normal 13 2 4 3 2 3 3" xfId="34762" xr:uid="{00000000-0005-0000-0000-0000AE200000}"/>
    <cellStyle name="Normal 13 2 4 3 2 3 4" xfId="25193" xr:uid="{00000000-0005-0000-0000-0000AF200000}"/>
    <cellStyle name="Normal 13 2 4 3 2 4" xfId="6516" xr:uid="{00000000-0005-0000-0000-0000B0200000}"/>
    <cellStyle name="Normal 13 2 4 3 2 4 2" xfId="54357" xr:uid="{00000000-0005-0000-0000-0000B1200000}"/>
    <cellStyle name="Normal 13 2 4 3 2 4 3" xfId="38257" xr:uid="{00000000-0005-0000-0000-0000B2200000}"/>
    <cellStyle name="Normal 13 2 4 3 2 4 4" xfId="19121" xr:uid="{00000000-0005-0000-0000-0000B3200000}"/>
    <cellStyle name="Normal 13 2 4 3 2 5" xfId="44790" xr:uid="{00000000-0005-0000-0000-0000B4200000}"/>
    <cellStyle name="Normal 13 2 4 3 2 6" xfId="28690" xr:uid="{00000000-0005-0000-0000-0000B5200000}"/>
    <cellStyle name="Normal 13 2 4 3 2 7" xfId="15626" xr:uid="{00000000-0005-0000-0000-0000B6200000}"/>
    <cellStyle name="Normal 13 2 4 3 3" xfId="2002" xr:uid="{00000000-0005-0000-0000-0000B7200000}"/>
    <cellStyle name="Normal 13 2 4 3 3 2" xfId="8536" xr:uid="{00000000-0005-0000-0000-0000B8200000}"/>
    <cellStyle name="Normal 13 2 4 3 3 2 2" xfId="40277" xr:uid="{00000000-0005-0000-0000-0000B9200000}"/>
    <cellStyle name="Normal 13 2 4 3 3 2 2 2" xfId="56377" xr:uid="{00000000-0005-0000-0000-0000BA200000}"/>
    <cellStyle name="Normal 13 2 4 3 3 2 3" xfId="46810" xr:uid="{00000000-0005-0000-0000-0000BB200000}"/>
    <cellStyle name="Normal 13 2 4 3 3 2 4" xfId="30710" xr:uid="{00000000-0005-0000-0000-0000BC200000}"/>
    <cellStyle name="Normal 13 2 4 3 3 2 5" xfId="21141" xr:uid="{00000000-0005-0000-0000-0000BD200000}"/>
    <cellStyle name="Normal 13 2 4 3 3 3" xfId="11572" xr:uid="{00000000-0005-0000-0000-0000BE200000}"/>
    <cellStyle name="Normal 13 2 4 3 3 3 2" xfId="49846" xr:uid="{00000000-0005-0000-0000-0000BF200000}"/>
    <cellStyle name="Normal 13 2 4 3 3 3 3" xfId="33746" xr:uid="{00000000-0005-0000-0000-0000C0200000}"/>
    <cellStyle name="Normal 13 2 4 3 3 3 4" xfId="24177" xr:uid="{00000000-0005-0000-0000-0000C1200000}"/>
    <cellStyle name="Normal 13 2 4 3 3 4" xfId="5500" xr:uid="{00000000-0005-0000-0000-0000C2200000}"/>
    <cellStyle name="Normal 13 2 4 3 3 4 2" xfId="53341" xr:uid="{00000000-0005-0000-0000-0000C3200000}"/>
    <cellStyle name="Normal 13 2 4 3 3 4 3" xfId="37241" xr:uid="{00000000-0005-0000-0000-0000C4200000}"/>
    <cellStyle name="Normal 13 2 4 3 3 4 4" xfId="18105" xr:uid="{00000000-0005-0000-0000-0000C5200000}"/>
    <cellStyle name="Normal 13 2 4 3 3 5" xfId="43774" xr:uid="{00000000-0005-0000-0000-0000C6200000}"/>
    <cellStyle name="Normal 13 2 4 3 3 6" xfId="27674" xr:uid="{00000000-0005-0000-0000-0000C7200000}"/>
    <cellStyle name="Normal 13 2 4 3 3 7" xfId="14610" xr:uid="{00000000-0005-0000-0000-0000C8200000}"/>
    <cellStyle name="Normal 13 2 4 3 4" xfId="7526" xr:uid="{00000000-0005-0000-0000-0000C9200000}"/>
    <cellStyle name="Normal 13 2 4 3 4 2" xfId="39267" xr:uid="{00000000-0005-0000-0000-0000CA200000}"/>
    <cellStyle name="Normal 13 2 4 3 4 2 2" xfId="55367" xr:uid="{00000000-0005-0000-0000-0000CB200000}"/>
    <cellStyle name="Normal 13 2 4 3 4 3" xfId="45800" xr:uid="{00000000-0005-0000-0000-0000CC200000}"/>
    <cellStyle name="Normal 13 2 4 3 4 4" xfId="29700" xr:uid="{00000000-0005-0000-0000-0000CD200000}"/>
    <cellStyle name="Normal 13 2 4 3 4 5" xfId="20131" xr:uid="{00000000-0005-0000-0000-0000CE200000}"/>
    <cellStyle name="Normal 13 2 4 3 5" xfId="10562" xr:uid="{00000000-0005-0000-0000-0000CF200000}"/>
    <cellStyle name="Normal 13 2 4 3 5 2" xfId="48836" xr:uid="{00000000-0005-0000-0000-0000D0200000}"/>
    <cellStyle name="Normal 13 2 4 3 5 3" xfId="32736" xr:uid="{00000000-0005-0000-0000-0000D1200000}"/>
    <cellStyle name="Normal 13 2 4 3 5 4" xfId="23167" xr:uid="{00000000-0005-0000-0000-0000D2200000}"/>
    <cellStyle name="Normal 13 2 4 3 6" xfId="4490" xr:uid="{00000000-0005-0000-0000-0000D3200000}"/>
    <cellStyle name="Normal 13 2 4 3 6 2" xfId="52331" xr:uid="{00000000-0005-0000-0000-0000D4200000}"/>
    <cellStyle name="Normal 13 2 4 3 6 3" xfId="36231" xr:uid="{00000000-0005-0000-0000-0000D5200000}"/>
    <cellStyle name="Normal 13 2 4 3 6 4" xfId="17095" xr:uid="{00000000-0005-0000-0000-0000D6200000}"/>
    <cellStyle name="Normal 13 2 4 3 7" xfId="42764" xr:uid="{00000000-0005-0000-0000-0000D7200000}"/>
    <cellStyle name="Normal 13 2 4 3 8" xfId="26664" xr:uid="{00000000-0005-0000-0000-0000D8200000}"/>
    <cellStyle name="Normal 13 2 4 3 9" xfId="13600" xr:uid="{00000000-0005-0000-0000-0000D9200000}"/>
    <cellStyle name="Normal 13 2 4 4" xfId="2194" xr:uid="{00000000-0005-0000-0000-0000DA200000}"/>
    <cellStyle name="Normal 13 2 4 4 2" xfId="8728" xr:uid="{00000000-0005-0000-0000-0000DB200000}"/>
    <cellStyle name="Normal 13 2 4 4 2 2" xfId="40469" xr:uid="{00000000-0005-0000-0000-0000DC200000}"/>
    <cellStyle name="Normal 13 2 4 4 2 2 2" xfId="56569" xr:uid="{00000000-0005-0000-0000-0000DD200000}"/>
    <cellStyle name="Normal 13 2 4 4 2 3" xfId="47002" xr:uid="{00000000-0005-0000-0000-0000DE200000}"/>
    <cellStyle name="Normal 13 2 4 4 2 4" xfId="30902" xr:uid="{00000000-0005-0000-0000-0000DF200000}"/>
    <cellStyle name="Normal 13 2 4 4 2 5" xfId="21333" xr:uid="{00000000-0005-0000-0000-0000E0200000}"/>
    <cellStyle name="Normal 13 2 4 4 3" xfId="11764" xr:uid="{00000000-0005-0000-0000-0000E1200000}"/>
    <cellStyle name="Normal 13 2 4 4 3 2" xfId="50038" xr:uid="{00000000-0005-0000-0000-0000E2200000}"/>
    <cellStyle name="Normal 13 2 4 4 3 3" xfId="33938" xr:uid="{00000000-0005-0000-0000-0000E3200000}"/>
    <cellStyle name="Normal 13 2 4 4 3 4" xfId="24369" xr:uid="{00000000-0005-0000-0000-0000E4200000}"/>
    <cellStyle name="Normal 13 2 4 4 4" xfId="5692" xr:uid="{00000000-0005-0000-0000-0000E5200000}"/>
    <cellStyle name="Normal 13 2 4 4 4 2" xfId="53533" xr:uid="{00000000-0005-0000-0000-0000E6200000}"/>
    <cellStyle name="Normal 13 2 4 4 4 3" xfId="37433" xr:uid="{00000000-0005-0000-0000-0000E7200000}"/>
    <cellStyle name="Normal 13 2 4 4 4 4" xfId="18297" xr:uid="{00000000-0005-0000-0000-0000E8200000}"/>
    <cellStyle name="Normal 13 2 4 4 5" xfId="43966" xr:uid="{00000000-0005-0000-0000-0000E9200000}"/>
    <cellStyle name="Normal 13 2 4 4 6" xfId="27866" xr:uid="{00000000-0005-0000-0000-0000EA200000}"/>
    <cellStyle name="Normal 13 2 4 4 7" xfId="14802" xr:uid="{00000000-0005-0000-0000-0000EB200000}"/>
    <cellStyle name="Normal 13 2 4 5" xfId="1406" xr:uid="{00000000-0005-0000-0000-0000EC200000}"/>
    <cellStyle name="Normal 13 2 4 5 2" xfId="7940" xr:uid="{00000000-0005-0000-0000-0000ED200000}"/>
    <cellStyle name="Normal 13 2 4 5 2 2" xfId="39681" xr:uid="{00000000-0005-0000-0000-0000EE200000}"/>
    <cellStyle name="Normal 13 2 4 5 2 2 2" xfId="55781" xr:uid="{00000000-0005-0000-0000-0000EF200000}"/>
    <cellStyle name="Normal 13 2 4 5 2 3" xfId="46214" xr:uid="{00000000-0005-0000-0000-0000F0200000}"/>
    <cellStyle name="Normal 13 2 4 5 2 4" xfId="30114" xr:uid="{00000000-0005-0000-0000-0000F1200000}"/>
    <cellStyle name="Normal 13 2 4 5 2 5" xfId="20545" xr:uid="{00000000-0005-0000-0000-0000F2200000}"/>
    <cellStyle name="Normal 13 2 4 5 3" xfId="10976" xr:uid="{00000000-0005-0000-0000-0000F3200000}"/>
    <cellStyle name="Normal 13 2 4 5 3 2" xfId="49250" xr:uid="{00000000-0005-0000-0000-0000F4200000}"/>
    <cellStyle name="Normal 13 2 4 5 3 3" xfId="33150" xr:uid="{00000000-0005-0000-0000-0000F5200000}"/>
    <cellStyle name="Normal 13 2 4 5 3 4" xfId="23581" xr:uid="{00000000-0005-0000-0000-0000F6200000}"/>
    <cellStyle name="Normal 13 2 4 5 4" xfId="4904" xr:uid="{00000000-0005-0000-0000-0000F7200000}"/>
    <cellStyle name="Normal 13 2 4 5 4 2" xfId="52745" xr:uid="{00000000-0005-0000-0000-0000F8200000}"/>
    <cellStyle name="Normal 13 2 4 5 4 3" xfId="36645" xr:uid="{00000000-0005-0000-0000-0000F9200000}"/>
    <cellStyle name="Normal 13 2 4 5 4 4" xfId="17509" xr:uid="{00000000-0005-0000-0000-0000FA200000}"/>
    <cellStyle name="Normal 13 2 4 5 5" xfId="43178" xr:uid="{00000000-0005-0000-0000-0000FB200000}"/>
    <cellStyle name="Normal 13 2 4 5 6" xfId="27078" xr:uid="{00000000-0005-0000-0000-0000FC200000}"/>
    <cellStyle name="Normal 13 2 4 5 7" xfId="14014" xr:uid="{00000000-0005-0000-0000-0000FD200000}"/>
    <cellStyle name="Normal 13 2 4 6" xfId="6930" xr:uid="{00000000-0005-0000-0000-0000FE200000}"/>
    <cellStyle name="Normal 13 2 4 6 2" xfId="38671" xr:uid="{00000000-0005-0000-0000-0000FF200000}"/>
    <cellStyle name="Normal 13 2 4 6 2 2" xfId="54771" xr:uid="{00000000-0005-0000-0000-000000210000}"/>
    <cellStyle name="Normal 13 2 4 6 3" xfId="45204" xr:uid="{00000000-0005-0000-0000-000001210000}"/>
    <cellStyle name="Normal 13 2 4 6 4" xfId="29104" xr:uid="{00000000-0005-0000-0000-000002210000}"/>
    <cellStyle name="Normal 13 2 4 6 5" xfId="19535" xr:uid="{00000000-0005-0000-0000-000003210000}"/>
    <cellStyle name="Normal 13 2 4 7" xfId="9966" xr:uid="{00000000-0005-0000-0000-000004210000}"/>
    <cellStyle name="Normal 13 2 4 7 2" xfId="48240" xr:uid="{00000000-0005-0000-0000-000005210000}"/>
    <cellStyle name="Normal 13 2 4 7 3" xfId="32140" xr:uid="{00000000-0005-0000-0000-000006210000}"/>
    <cellStyle name="Normal 13 2 4 7 4" xfId="22571" xr:uid="{00000000-0005-0000-0000-000007210000}"/>
    <cellStyle name="Normal 13 2 4 8" xfId="3894" xr:uid="{00000000-0005-0000-0000-000008210000}"/>
    <cellStyle name="Normal 13 2 4 8 2" xfId="51735" xr:uid="{00000000-0005-0000-0000-000009210000}"/>
    <cellStyle name="Normal 13 2 4 8 3" xfId="35635" xr:uid="{00000000-0005-0000-0000-00000A210000}"/>
    <cellStyle name="Normal 13 2 4 8 4" xfId="16499" xr:uid="{00000000-0005-0000-0000-00000B210000}"/>
    <cellStyle name="Normal 13 2 4 9" xfId="42168" xr:uid="{00000000-0005-0000-0000-00000C210000}"/>
    <cellStyle name="Normal 13 2 5" xfId="246" xr:uid="{00000000-0005-0000-0000-00000D210000}"/>
    <cellStyle name="Normal 13 2 5 2" xfId="2265" xr:uid="{00000000-0005-0000-0000-00000E210000}"/>
    <cellStyle name="Normal 13 2 5 2 2" xfId="8799" xr:uid="{00000000-0005-0000-0000-00000F210000}"/>
    <cellStyle name="Normal 13 2 5 2 2 2" xfId="40540" xr:uid="{00000000-0005-0000-0000-000010210000}"/>
    <cellStyle name="Normal 13 2 5 2 2 2 2" xfId="56640" xr:uid="{00000000-0005-0000-0000-000011210000}"/>
    <cellStyle name="Normal 13 2 5 2 2 3" xfId="47073" xr:uid="{00000000-0005-0000-0000-000012210000}"/>
    <cellStyle name="Normal 13 2 5 2 2 4" xfId="30973" xr:uid="{00000000-0005-0000-0000-000013210000}"/>
    <cellStyle name="Normal 13 2 5 2 2 5" xfId="21404" xr:uid="{00000000-0005-0000-0000-000014210000}"/>
    <cellStyle name="Normal 13 2 5 2 3" xfId="11835" xr:uid="{00000000-0005-0000-0000-000015210000}"/>
    <cellStyle name="Normal 13 2 5 2 3 2" xfId="50109" xr:uid="{00000000-0005-0000-0000-000016210000}"/>
    <cellStyle name="Normal 13 2 5 2 3 3" xfId="34009" xr:uid="{00000000-0005-0000-0000-000017210000}"/>
    <cellStyle name="Normal 13 2 5 2 3 4" xfId="24440" xr:uid="{00000000-0005-0000-0000-000018210000}"/>
    <cellStyle name="Normal 13 2 5 2 4" xfId="5763" xr:uid="{00000000-0005-0000-0000-000019210000}"/>
    <cellStyle name="Normal 13 2 5 2 4 2" xfId="53604" xr:uid="{00000000-0005-0000-0000-00001A210000}"/>
    <cellStyle name="Normal 13 2 5 2 4 3" xfId="37504" xr:uid="{00000000-0005-0000-0000-00001B210000}"/>
    <cellStyle name="Normal 13 2 5 2 4 4" xfId="18368" xr:uid="{00000000-0005-0000-0000-00001C210000}"/>
    <cellStyle name="Normal 13 2 5 2 5" xfId="44037" xr:uid="{00000000-0005-0000-0000-00001D210000}"/>
    <cellStyle name="Normal 13 2 5 2 6" xfId="27937" xr:uid="{00000000-0005-0000-0000-00001E210000}"/>
    <cellStyle name="Normal 13 2 5 2 7" xfId="14873" xr:uid="{00000000-0005-0000-0000-00001F210000}"/>
    <cellStyle name="Normal 13 2 5 3" xfId="1477" xr:uid="{00000000-0005-0000-0000-000020210000}"/>
    <cellStyle name="Normal 13 2 5 3 2" xfId="8011" xr:uid="{00000000-0005-0000-0000-000021210000}"/>
    <cellStyle name="Normal 13 2 5 3 2 2" xfId="39752" xr:uid="{00000000-0005-0000-0000-000022210000}"/>
    <cellStyle name="Normal 13 2 5 3 2 2 2" xfId="55852" xr:uid="{00000000-0005-0000-0000-000023210000}"/>
    <cellStyle name="Normal 13 2 5 3 2 3" xfId="46285" xr:uid="{00000000-0005-0000-0000-000024210000}"/>
    <cellStyle name="Normal 13 2 5 3 2 4" xfId="30185" xr:uid="{00000000-0005-0000-0000-000025210000}"/>
    <cellStyle name="Normal 13 2 5 3 2 5" xfId="20616" xr:uid="{00000000-0005-0000-0000-000026210000}"/>
    <cellStyle name="Normal 13 2 5 3 3" xfId="11047" xr:uid="{00000000-0005-0000-0000-000027210000}"/>
    <cellStyle name="Normal 13 2 5 3 3 2" xfId="49321" xr:uid="{00000000-0005-0000-0000-000028210000}"/>
    <cellStyle name="Normal 13 2 5 3 3 3" xfId="33221" xr:uid="{00000000-0005-0000-0000-000029210000}"/>
    <cellStyle name="Normal 13 2 5 3 3 4" xfId="23652" xr:uid="{00000000-0005-0000-0000-00002A210000}"/>
    <cellStyle name="Normal 13 2 5 3 4" xfId="4975" xr:uid="{00000000-0005-0000-0000-00002B210000}"/>
    <cellStyle name="Normal 13 2 5 3 4 2" xfId="52816" xr:uid="{00000000-0005-0000-0000-00002C210000}"/>
    <cellStyle name="Normal 13 2 5 3 4 3" xfId="36716" xr:uid="{00000000-0005-0000-0000-00002D210000}"/>
    <cellStyle name="Normal 13 2 5 3 4 4" xfId="17580" xr:uid="{00000000-0005-0000-0000-00002E210000}"/>
    <cellStyle name="Normal 13 2 5 3 5" xfId="43249" xr:uid="{00000000-0005-0000-0000-00002F210000}"/>
    <cellStyle name="Normal 13 2 5 3 6" xfId="27149" xr:uid="{00000000-0005-0000-0000-000030210000}"/>
    <cellStyle name="Normal 13 2 5 3 7" xfId="14085" xr:uid="{00000000-0005-0000-0000-000031210000}"/>
    <cellStyle name="Normal 13 2 5 4" xfId="7001" xr:uid="{00000000-0005-0000-0000-000032210000}"/>
    <cellStyle name="Normal 13 2 5 4 2" xfId="38742" xr:uid="{00000000-0005-0000-0000-000033210000}"/>
    <cellStyle name="Normal 13 2 5 4 2 2" xfId="54842" xr:uid="{00000000-0005-0000-0000-000034210000}"/>
    <cellStyle name="Normal 13 2 5 4 3" xfId="45275" xr:uid="{00000000-0005-0000-0000-000035210000}"/>
    <cellStyle name="Normal 13 2 5 4 4" xfId="29175" xr:uid="{00000000-0005-0000-0000-000036210000}"/>
    <cellStyle name="Normal 13 2 5 4 5" xfId="19606" xr:uid="{00000000-0005-0000-0000-000037210000}"/>
    <cellStyle name="Normal 13 2 5 5" xfId="10037" xr:uid="{00000000-0005-0000-0000-000038210000}"/>
    <cellStyle name="Normal 13 2 5 5 2" xfId="48311" xr:uid="{00000000-0005-0000-0000-000039210000}"/>
    <cellStyle name="Normal 13 2 5 5 3" xfId="32211" xr:uid="{00000000-0005-0000-0000-00003A210000}"/>
    <cellStyle name="Normal 13 2 5 5 4" xfId="22642" xr:uid="{00000000-0005-0000-0000-00003B210000}"/>
    <cellStyle name="Normal 13 2 5 6" xfId="3965" xr:uid="{00000000-0005-0000-0000-00003C210000}"/>
    <cellStyle name="Normal 13 2 5 6 2" xfId="51806" xr:uid="{00000000-0005-0000-0000-00003D210000}"/>
    <cellStyle name="Normal 13 2 5 6 3" xfId="35706" xr:uid="{00000000-0005-0000-0000-00003E210000}"/>
    <cellStyle name="Normal 13 2 5 6 4" xfId="16570" xr:uid="{00000000-0005-0000-0000-00003F210000}"/>
    <cellStyle name="Normal 13 2 5 7" xfId="42239" xr:uid="{00000000-0005-0000-0000-000040210000}"/>
    <cellStyle name="Normal 13 2 5 8" xfId="26139" xr:uid="{00000000-0005-0000-0000-000041210000}"/>
    <cellStyle name="Normal 13 2 5 9" xfId="13075" xr:uid="{00000000-0005-0000-0000-000042210000}"/>
    <cellStyle name="Normal 13 2 6" xfId="521" xr:uid="{00000000-0005-0000-0000-000043210000}"/>
    <cellStyle name="Normal 13 2 6 2" xfId="2551" xr:uid="{00000000-0005-0000-0000-000044210000}"/>
    <cellStyle name="Normal 13 2 6 2 2" xfId="9083" xr:uid="{00000000-0005-0000-0000-000045210000}"/>
    <cellStyle name="Normal 13 2 6 2 2 2" xfId="40824" xr:uid="{00000000-0005-0000-0000-000046210000}"/>
    <cellStyle name="Normal 13 2 6 2 2 2 2" xfId="56924" xr:uid="{00000000-0005-0000-0000-000047210000}"/>
    <cellStyle name="Normal 13 2 6 2 2 3" xfId="47357" xr:uid="{00000000-0005-0000-0000-000048210000}"/>
    <cellStyle name="Normal 13 2 6 2 2 4" xfId="31257" xr:uid="{00000000-0005-0000-0000-000049210000}"/>
    <cellStyle name="Normal 13 2 6 2 2 5" xfId="21688" xr:uid="{00000000-0005-0000-0000-00004A210000}"/>
    <cellStyle name="Normal 13 2 6 2 3" xfId="12119" xr:uid="{00000000-0005-0000-0000-00004B210000}"/>
    <cellStyle name="Normal 13 2 6 2 3 2" xfId="50393" xr:uid="{00000000-0005-0000-0000-00004C210000}"/>
    <cellStyle name="Normal 13 2 6 2 3 3" xfId="34293" xr:uid="{00000000-0005-0000-0000-00004D210000}"/>
    <cellStyle name="Normal 13 2 6 2 3 4" xfId="24724" xr:uid="{00000000-0005-0000-0000-00004E210000}"/>
    <cellStyle name="Normal 13 2 6 2 4" xfId="6047" xr:uid="{00000000-0005-0000-0000-00004F210000}"/>
    <cellStyle name="Normal 13 2 6 2 4 2" xfId="53888" xr:uid="{00000000-0005-0000-0000-000050210000}"/>
    <cellStyle name="Normal 13 2 6 2 4 3" xfId="37788" xr:uid="{00000000-0005-0000-0000-000051210000}"/>
    <cellStyle name="Normal 13 2 6 2 4 4" xfId="18652" xr:uid="{00000000-0005-0000-0000-000052210000}"/>
    <cellStyle name="Normal 13 2 6 2 5" xfId="44321" xr:uid="{00000000-0005-0000-0000-000053210000}"/>
    <cellStyle name="Normal 13 2 6 2 6" xfId="28221" xr:uid="{00000000-0005-0000-0000-000054210000}"/>
    <cellStyle name="Normal 13 2 6 2 7" xfId="15157" xr:uid="{00000000-0005-0000-0000-000055210000}"/>
    <cellStyle name="Normal 13 2 6 3" xfId="1300" xr:uid="{00000000-0005-0000-0000-000056210000}"/>
    <cellStyle name="Normal 13 2 6 3 2" xfId="7834" xr:uid="{00000000-0005-0000-0000-000057210000}"/>
    <cellStyle name="Normal 13 2 6 3 2 2" xfId="39575" xr:uid="{00000000-0005-0000-0000-000058210000}"/>
    <cellStyle name="Normal 13 2 6 3 2 2 2" xfId="55675" xr:uid="{00000000-0005-0000-0000-000059210000}"/>
    <cellStyle name="Normal 13 2 6 3 2 3" xfId="46108" xr:uid="{00000000-0005-0000-0000-00005A210000}"/>
    <cellStyle name="Normal 13 2 6 3 2 4" xfId="30008" xr:uid="{00000000-0005-0000-0000-00005B210000}"/>
    <cellStyle name="Normal 13 2 6 3 2 5" xfId="20439" xr:uid="{00000000-0005-0000-0000-00005C210000}"/>
    <cellStyle name="Normal 13 2 6 3 3" xfId="10870" xr:uid="{00000000-0005-0000-0000-00005D210000}"/>
    <cellStyle name="Normal 13 2 6 3 3 2" xfId="49144" xr:uid="{00000000-0005-0000-0000-00005E210000}"/>
    <cellStyle name="Normal 13 2 6 3 3 3" xfId="33044" xr:uid="{00000000-0005-0000-0000-00005F210000}"/>
    <cellStyle name="Normal 13 2 6 3 3 4" xfId="23475" xr:uid="{00000000-0005-0000-0000-000060210000}"/>
    <cellStyle name="Normal 13 2 6 3 4" xfId="4798" xr:uid="{00000000-0005-0000-0000-000061210000}"/>
    <cellStyle name="Normal 13 2 6 3 4 2" xfId="52639" xr:uid="{00000000-0005-0000-0000-000062210000}"/>
    <cellStyle name="Normal 13 2 6 3 4 3" xfId="36539" xr:uid="{00000000-0005-0000-0000-000063210000}"/>
    <cellStyle name="Normal 13 2 6 3 4 4" xfId="17403" xr:uid="{00000000-0005-0000-0000-000064210000}"/>
    <cellStyle name="Normal 13 2 6 3 5" xfId="43072" xr:uid="{00000000-0005-0000-0000-000065210000}"/>
    <cellStyle name="Normal 13 2 6 3 6" xfId="26972" xr:uid="{00000000-0005-0000-0000-000066210000}"/>
    <cellStyle name="Normal 13 2 6 3 7" xfId="13908" xr:uid="{00000000-0005-0000-0000-000067210000}"/>
    <cellStyle name="Normal 13 2 6 4" xfId="6824" xr:uid="{00000000-0005-0000-0000-000068210000}"/>
    <cellStyle name="Normal 13 2 6 4 2" xfId="38565" xr:uid="{00000000-0005-0000-0000-000069210000}"/>
    <cellStyle name="Normal 13 2 6 4 2 2" xfId="54665" xr:uid="{00000000-0005-0000-0000-00006A210000}"/>
    <cellStyle name="Normal 13 2 6 4 3" xfId="45098" xr:uid="{00000000-0005-0000-0000-00006B210000}"/>
    <cellStyle name="Normal 13 2 6 4 4" xfId="28998" xr:uid="{00000000-0005-0000-0000-00006C210000}"/>
    <cellStyle name="Normal 13 2 6 4 5" xfId="19429" xr:uid="{00000000-0005-0000-0000-00006D210000}"/>
    <cellStyle name="Normal 13 2 6 5" xfId="9860" xr:uid="{00000000-0005-0000-0000-00006E210000}"/>
    <cellStyle name="Normal 13 2 6 5 2" xfId="48134" xr:uid="{00000000-0005-0000-0000-00006F210000}"/>
    <cellStyle name="Normal 13 2 6 5 3" xfId="32034" xr:uid="{00000000-0005-0000-0000-000070210000}"/>
    <cellStyle name="Normal 13 2 6 5 4" xfId="22465" xr:uid="{00000000-0005-0000-0000-000071210000}"/>
    <cellStyle name="Normal 13 2 6 6" xfId="3788" xr:uid="{00000000-0005-0000-0000-000072210000}"/>
    <cellStyle name="Normal 13 2 6 6 2" xfId="51629" xr:uid="{00000000-0005-0000-0000-000073210000}"/>
    <cellStyle name="Normal 13 2 6 6 3" xfId="35529" xr:uid="{00000000-0005-0000-0000-000074210000}"/>
    <cellStyle name="Normal 13 2 6 6 4" xfId="16393" xr:uid="{00000000-0005-0000-0000-000075210000}"/>
    <cellStyle name="Normal 13 2 6 7" xfId="42062" xr:uid="{00000000-0005-0000-0000-000076210000}"/>
    <cellStyle name="Normal 13 2 6 8" xfId="25962" xr:uid="{00000000-0005-0000-0000-000077210000}"/>
    <cellStyle name="Normal 13 2 6 9" xfId="12898" xr:uid="{00000000-0005-0000-0000-000078210000}"/>
    <cellStyle name="Normal 13 2 7" xfId="751" xr:uid="{00000000-0005-0000-0000-000079210000}"/>
    <cellStyle name="Normal 13 2 7 2" xfId="2779" xr:uid="{00000000-0005-0000-0000-00007A210000}"/>
    <cellStyle name="Normal 13 2 7 2 2" xfId="9311" xr:uid="{00000000-0005-0000-0000-00007B210000}"/>
    <cellStyle name="Normal 13 2 7 2 2 2" xfId="41052" xr:uid="{00000000-0005-0000-0000-00007C210000}"/>
    <cellStyle name="Normal 13 2 7 2 2 2 2" xfId="57152" xr:uid="{00000000-0005-0000-0000-00007D210000}"/>
    <cellStyle name="Normal 13 2 7 2 2 3" xfId="47585" xr:uid="{00000000-0005-0000-0000-00007E210000}"/>
    <cellStyle name="Normal 13 2 7 2 2 4" xfId="31485" xr:uid="{00000000-0005-0000-0000-00007F210000}"/>
    <cellStyle name="Normal 13 2 7 2 2 5" xfId="21916" xr:uid="{00000000-0005-0000-0000-000080210000}"/>
    <cellStyle name="Normal 13 2 7 2 3" xfId="12347" xr:uid="{00000000-0005-0000-0000-000081210000}"/>
    <cellStyle name="Normal 13 2 7 2 3 2" xfId="50621" xr:uid="{00000000-0005-0000-0000-000082210000}"/>
    <cellStyle name="Normal 13 2 7 2 3 3" xfId="34521" xr:uid="{00000000-0005-0000-0000-000083210000}"/>
    <cellStyle name="Normal 13 2 7 2 3 4" xfId="24952" xr:uid="{00000000-0005-0000-0000-000084210000}"/>
    <cellStyle name="Normal 13 2 7 2 4" xfId="6275" xr:uid="{00000000-0005-0000-0000-000085210000}"/>
    <cellStyle name="Normal 13 2 7 2 4 2" xfId="54116" xr:uid="{00000000-0005-0000-0000-000086210000}"/>
    <cellStyle name="Normal 13 2 7 2 4 3" xfId="38016" xr:uid="{00000000-0005-0000-0000-000087210000}"/>
    <cellStyle name="Normal 13 2 7 2 4 4" xfId="18880" xr:uid="{00000000-0005-0000-0000-000088210000}"/>
    <cellStyle name="Normal 13 2 7 2 5" xfId="44549" xr:uid="{00000000-0005-0000-0000-000089210000}"/>
    <cellStyle name="Normal 13 2 7 2 6" xfId="28449" xr:uid="{00000000-0005-0000-0000-00008A210000}"/>
    <cellStyle name="Normal 13 2 7 2 7" xfId="15385" xr:uid="{00000000-0005-0000-0000-00008B210000}"/>
    <cellStyle name="Normal 13 2 7 3" xfId="1761" xr:uid="{00000000-0005-0000-0000-00008C210000}"/>
    <cellStyle name="Normal 13 2 7 3 2" xfId="8295" xr:uid="{00000000-0005-0000-0000-00008D210000}"/>
    <cellStyle name="Normal 13 2 7 3 2 2" xfId="40036" xr:uid="{00000000-0005-0000-0000-00008E210000}"/>
    <cellStyle name="Normal 13 2 7 3 2 2 2" xfId="56136" xr:uid="{00000000-0005-0000-0000-00008F210000}"/>
    <cellStyle name="Normal 13 2 7 3 2 3" xfId="46569" xr:uid="{00000000-0005-0000-0000-000090210000}"/>
    <cellStyle name="Normal 13 2 7 3 2 4" xfId="30469" xr:uid="{00000000-0005-0000-0000-000091210000}"/>
    <cellStyle name="Normal 13 2 7 3 2 5" xfId="20900" xr:uid="{00000000-0005-0000-0000-000092210000}"/>
    <cellStyle name="Normal 13 2 7 3 3" xfId="11331" xr:uid="{00000000-0005-0000-0000-000093210000}"/>
    <cellStyle name="Normal 13 2 7 3 3 2" xfId="49605" xr:uid="{00000000-0005-0000-0000-000094210000}"/>
    <cellStyle name="Normal 13 2 7 3 3 3" xfId="33505" xr:uid="{00000000-0005-0000-0000-000095210000}"/>
    <cellStyle name="Normal 13 2 7 3 3 4" xfId="23936" xr:uid="{00000000-0005-0000-0000-000096210000}"/>
    <cellStyle name="Normal 13 2 7 3 4" xfId="5259" xr:uid="{00000000-0005-0000-0000-000097210000}"/>
    <cellStyle name="Normal 13 2 7 3 4 2" xfId="53100" xr:uid="{00000000-0005-0000-0000-000098210000}"/>
    <cellStyle name="Normal 13 2 7 3 4 3" xfId="37000" xr:uid="{00000000-0005-0000-0000-000099210000}"/>
    <cellStyle name="Normal 13 2 7 3 4 4" xfId="17864" xr:uid="{00000000-0005-0000-0000-00009A210000}"/>
    <cellStyle name="Normal 13 2 7 3 5" xfId="43533" xr:uid="{00000000-0005-0000-0000-00009B210000}"/>
    <cellStyle name="Normal 13 2 7 3 6" xfId="27433" xr:uid="{00000000-0005-0000-0000-00009C210000}"/>
    <cellStyle name="Normal 13 2 7 3 7" xfId="14369" xr:uid="{00000000-0005-0000-0000-00009D210000}"/>
    <cellStyle name="Normal 13 2 7 4" xfId="7285" xr:uid="{00000000-0005-0000-0000-00009E210000}"/>
    <cellStyle name="Normal 13 2 7 4 2" xfId="39026" xr:uid="{00000000-0005-0000-0000-00009F210000}"/>
    <cellStyle name="Normal 13 2 7 4 2 2" xfId="55126" xr:uid="{00000000-0005-0000-0000-0000A0210000}"/>
    <cellStyle name="Normal 13 2 7 4 3" xfId="45559" xr:uid="{00000000-0005-0000-0000-0000A1210000}"/>
    <cellStyle name="Normal 13 2 7 4 4" xfId="29459" xr:uid="{00000000-0005-0000-0000-0000A2210000}"/>
    <cellStyle name="Normal 13 2 7 4 5" xfId="19890" xr:uid="{00000000-0005-0000-0000-0000A3210000}"/>
    <cellStyle name="Normal 13 2 7 5" xfId="10321" xr:uid="{00000000-0005-0000-0000-0000A4210000}"/>
    <cellStyle name="Normal 13 2 7 5 2" xfId="48595" xr:uid="{00000000-0005-0000-0000-0000A5210000}"/>
    <cellStyle name="Normal 13 2 7 5 3" xfId="32495" xr:uid="{00000000-0005-0000-0000-0000A6210000}"/>
    <cellStyle name="Normal 13 2 7 5 4" xfId="22926" xr:uid="{00000000-0005-0000-0000-0000A7210000}"/>
    <cellStyle name="Normal 13 2 7 6" xfId="4249" xr:uid="{00000000-0005-0000-0000-0000A8210000}"/>
    <cellStyle name="Normal 13 2 7 6 2" xfId="52090" xr:uid="{00000000-0005-0000-0000-0000A9210000}"/>
    <cellStyle name="Normal 13 2 7 6 3" xfId="35990" xr:uid="{00000000-0005-0000-0000-0000AA210000}"/>
    <cellStyle name="Normal 13 2 7 6 4" xfId="16854" xr:uid="{00000000-0005-0000-0000-0000AB210000}"/>
    <cellStyle name="Normal 13 2 7 7" xfId="42523" xr:uid="{00000000-0005-0000-0000-0000AC210000}"/>
    <cellStyle name="Normal 13 2 7 8" xfId="26423" xr:uid="{00000000-0005-0000-0000-0000AD210000}"/>
    <cellStyle name="Normal 13 2 7 9" xfId="13359" xr:uid="{00000000-0005-0000-0000-0000AE210000}"/>
    <cellStyle name="Normal 13 2 8" xfId="2088" xr:uid="{00000000-0005-0000-0000-0000AF210000}"/>
    <cellStyle name="Normal 13 2 8 2" xfId="8622" xr:uid="{00000000-0005-0000-0000-0000B0210000}"/>
    <cellStyle name="Normal 13 2 8 2 2" xfId="40363" xr:uid="{00000000-0005-0000-0000-0000B1210000}"/>
    <cellStyle name="Normal 13 2 8 2 2 2" xfId="56463" xr:uid="{00000000-0005-0000-0000-0000B2210000}"/>
    <cellStyle name="Normal 13 2 8 2 3" xfId="46896" xr:uid="{00000000-0005-0000-0000-0000B3210000}"/>
    <cellStyle name="Normal 13 2 8 2 4" xfId="30796" xr:uid="{00000000-0005-0000-0000-0000B4210000}"/>
    <cellStyle name="Normal 13 2 8 2 5" xfId="21227" xr:uid="{00000000-0005-0000-0000-0000B5210000}"/>
    <cellStyle name="Normal 13 2 8 3" xfId="11658" xr:uid="{00000000-0005-0000-0000-0000B6210000}"/>
    <cellStyle name="Normal 13 2 8 3 2" xfId="49932" xr:uid="{00000000-0005-0000-0000-0000B7210000}"/>
    <cellStyle name="Normal 13 2 8 3 3" xfId="33832" xr:uid="{00000000-0005-0000-0000-0000B8210000}"/>
    <cellStyle name="Normal 13 2 8 3 4" xfId="24263" xr:uid="{00000000-0005-0000-0000-0000B9210000}"/>
    <cellStyle name="Normal 13 2 8 4" xfId="5586" xr:uid="{00000000-0005-0000-0000-0000BA210000}"/>
    <cellStyle name="Normal 13 2 8 4 2" xfId="53427" xr:uid="{00000000-0005-0000-0000-0000BB210000}"/>
    <cellStyle name="Normal 13 2 8 4 3" xfId="37327" xr:uid="{00000000-0005-0000-0000-0000BC210000}"/>
    <cellStyle name="Normal 13 2 8 4 4" xfId="18191" xr:uid="{00000000-0005-0000-0000-0000BD210000}"/>
    <cellStyle name="Normal 13 2 8 5" xfId="43860" xr:uid="{00000000-0005-0000-0000-0000BE210000}"/>
    <cellStyle name="Normal 13 2 8 6" xfId="27760" xr:uid="{00000000-0005-0000-0000-0000BF210000}"/>
    <cellStyle name="Normal 13 2 8 7" xfId="14696" xr:uid="{00000000-0005-0000-0000-0000C0210000}"/>
    <cellStyle name="Normal 13 2 9" xfId="1078" xr:uid="{00000000-0005-0000-0000-0000C1210000}"/>
    <cellStyle name="Normal 13 2 9 2" xfId="7612" xr:uid="{00000000-0005-0000-0000-0000C2210000}"/>
    <cellStyle name="Normal 13 2 9 2 2" xfId="39353" xr:uid="{00000000-0005-0000-0000-0000C3210000}"/>
    <cellStyle name="Normal 13 2 9 2 2 2" xfId="55453" xr:uid="{00000000-0005-0000-0000-0000C4210000}"/>
    <cellStyle name="Normal 13 2 9 2 3" xfId="45886" xr:uid="{00000000-0005-0000-0000-0000C5210000}"/>
    <cellStyle name="Normal 13 2 9 2 4" xfId="29786" xr:uid="{00000000-0005-0000-0000-0000C6210000}"/>
    <cellStyle name="Normal 13 2 9 2 5" xfId="20217" xr:uid="{00000000-0005-0000-0000-0000C7210000}"/>
    <cellStyle name="Normal 13 2 9 3" xfId="10648" xr:uid="{00000000-0005-0000-0000-0000C8210000}"/>
    <cellStyle name="Normal 13 2 9 3 2" xfId="48922" xr:uid="{00000000-0005-0000-0000-0000C9210000}"/>
    <cellStyle name="Normal 13 2 9 3 3" xfId="32822" xr:uid="{00000000-0005-0000-0000-0000CA210000}"/>
    <cellStyle name="Normal 13 2 9 3 4" xfId="23253" xr:uid="{00000000-0005-0000-0000-0000CB210000}"/>
    <cellStyle name="Normal 13 2 9 4" xfId="4576" xr:uid="{00000000-0005-0000-0000-0000CC210000}"/>
    <cellStyle name="Normal 13 2 9 4 2" xfId="52417" xr:uid="{00000000-0005-0000-0000-0000CD210000}"/>
    <cellStyle name="Normal 13 2 9 4 3" xfId="36317" xr:uid="{00000000-0005-0000-0000-0000CE210000}"/>
    <cellStyle name="Normal 13 2 9 4 4" xfId="17181" xr:uid="{00000000-0005-0000-0000-0000CF210000}"/>
    <cellStyle name="Normal 13 2 9 5" xfId="42850" xr:uid="{00000000-0005-0000-0000-0000D0210000}"/>
    <cellStyle name="Normal 13 2 9 6" xfId="26750" xr:uid="{00000000-0005-0000-0000-0000D1210000}"/>
    <cellStyle name="Normal 13 2 9 7" xfId="13686" xr:uid="{00000000-0005-0000-0000-0000D2210000}"/>
    <cellStyle name="Normal 13 20" xfId="3088" xr:uid="{00000000-0005-0000-0000-0000D3210000}"/>
    <cellStyle name="Normal 13 20 2" xfId="50930" xr:uid="{00000000-0005-0000-0000-0000D4210000}"/>
    <cellStyle name="Normal 13 20 3" xfId="34830" xr:uid="{00000000-0005-0000-0000-0000D5210000}"/>
    <cellStyle name="Normal 13 20 4" xfId="15694" xr:uid="{00000000-0005-0000-0000-0000D6210000}"/>
    <cellStyle name="Normal 13 21" xfId="41363" xr:uid="{00000000-0005-0000-0000-0000D7210000}"/>
    <cellStyle name="Normal 13 22" xfId="25263" xr:uid="{00000000-0005-0000-0000-0000D8210000}"/>
    <cellStyle name="Normal 13 23" xfId="12658" xr:uid="{00000000-0005-0000-0000-0000D9210000}"/>
    <cellStyle name="Normal 13 3" xfId="118" xr:uid="{00000000-0005-0000-0000-0000DA210000}"/>
    <cellStyle name="Normal 13 3 10" xfId="9702" xr:uid="{00000000-0005-0000-0000-0000DB210000}"/>
    <cellStyle name="Normal 13 3 10 2" xfId="47976" xr:uid="{00000000-0005-0000-0000-0000DC210000}"/>
    <cellStyle name="Normal 13 3 10 3" xfId="31876" xr:uid="{00000000-0005-0000-0000-0000DD210000}"/>
    <cellStyle name="Normal 13 3 10 4" xfId="22307" xr:uid="{00000000-0005-0000-0000-0000DE210000}"/>
    <cellStyle name="Normal 13 3 11" xfId="3170" xr:uid="{00000000-0005-0000-0000-0000DF210000}"/>
    <cellStyle name="Normal 13 3 11 2" xfId="51012" xr:uid="{00000000-0005-0000-0000-0000E0210000}"/>
    <cellStyle name="Normal 13 3 11 3" xfId="34912" xr:uid="{00000000-0005-0000-0000-0000E1210000}"/>
    <cellStyle name="Normal 13 3 11 4" xfId="15776" xr:uid="{00000000-0005-0000-0000-0000E2210000}"/>
    <cellStyle name="Normal 13 3 12" xfId="41445" xr:uid="{00000000-0005-0000-0000-0000E3210000}"/>
    <cellStyle name="Normal 13 3 13" xfId="25345" xr:uid="{00000000-0005-0000-0000-0000E4210000}"/>
    <cellStyle name="Normal 13 3 14" xfId="12740" xr:uid="{00000000-0005-0000-0000-0000E5210000}"/>
    <cellStyle name="Normal 13 3 2" xfId="193" xr:uid="{00000000-0005-0000-0000-0000E6210000}"/>
    <cellStyle name="Normal 13 3 2 10" xfId="41682" xr:uid="{00000000-0005-0000-0000-0000E7210000}"/>
    <cellStyle name="Normal 13 3 2 11" xfId="25582" xr:uid="{00000000-0005-0000-0000-0000E8210000}"/>
    <cellStyle name="Normal 13 3 2 12" xfId="13022" xr:uid="{00000000-0005-0000-0000-0000E9210000}"/>
    <cellStyle name="Normal 13 3 2 2" xfId="370" xr:uid="{00000000-0005-0000-0000-0000EA210000}"/>
    <cellStyle name="Normal 13 3 2 2 2" xfId="2389" xr:uid="{00000000-0005-0000-0000-0000EB210000}"/>
    <cellStyle name="Normal 13 3 2 2 2 2" xfId="8923" xr:uid="{00000000-0005-0000-0000-0000EC210000}"/>
    <cellStyle name="Normal 13 3 2 2 2 2 2" xfId="40664" xr:uid="{00000000-0005-0000-0000-0000ED210000}"/>
    <cellStyle name="Normal 13 3 2 2 2 2 2 2" xfId="56764" xr:uid="{00000000-0005-0000-0000-0000EE210000}"/>
    <cellStyle name="Normal 13 3 2 2 2 2 3" xfId="47197" xr:uid="{00000000-0005-0000-0000-0000EF210000}"/>
    <cellStyle name="Normal 13 3 2 2 2 2 4" xfId="31097" xr:uid="{00000000-0005-0000-0000-0000F0210000}"/>
    <cellStyle name="Normal 13 3 2 2 2 2 5" xfId="21528" xr:uid="{00000000-0005-0000-0000-0000F1210000}"/>
    <cellStyle name="Normal 13 3 2 2 2 3" xfId="11959" xr:uid="{00000000-0005-0000-0000-0000F2210000}"/>
    <cellStyle name="Normal 13 3 2 2 2 3 2" xfId="50233" xr:uid="{00000000-0005-0000-0000-0000F3210000}"/>
    <cellStyle name="Normal 13 3 2 2 2 3 3" xfId="34133" xr:uid="{00000000-0005-0000-0000-0000F4210000}"/>
    <cellStyle name="Normal 13 3 2 2 2 3 4" xfId="24564" xr:uid="{00000000-0005-0000-0000-0000F5210000}"/>
    <cellStyle name="Normal 13 3 2 2 2 4" xfId="5887" xr:uid="{00000000-0005-0000-0000-0000F6210000}"/>
    <cellStyle name="Normal 13 3 2 2 2 4 2" xfId="53728" xr:uid="{00000000-0005-0000-0000-0000F7210000}"/>
    <cellStyle name="Normal 13 3 2 2 2 4 3" xfId="37628" xr:uid="{00000000-0005-0000-0000-0000F8210000}"/>
    <cellStyle name="Normal 13 3 2 2 2 4 4" xfId="18492" xr:uid="{00000000-0005-0000-0000-0000F9210000}"/>
    <cellStyle name="Normal 13 3 2 2 2 5" xfId="44161" xr:uid="{00000000-0005-0000-0000-0000FA210000}"/>
    <cellStyle name="Normal 13 3 2 2 2 6" xfId="28061" xr:uid="{00000000-0005-0000-0000-0000FB210000}"/>
    <cellStyle name="Normal 13 3 2 2 2 7" xfId="14997" xr:uid="{00000000-0005-0000-0000-0000FC210000}"/>
    <cellStyle name="Normal 13 3 2 2 3" xfId="1601" xr:uid="{00000000-0005-0000-0000-0000FD210000}"/>
    <cellStyle name="Normal 13 3 2 2 3 2" xfId="8135" xr:uid="{00000000-0005-0000-0000-0000FE210000}"/>
    <cellStyle name="Normal 13 3 2 2 3 2 2" xfId="39876" xr:uid="{00000000-0005-0000-0000-0000FF210000}"/>
    <cellStyle name="Normal 13 3 2 2 3 2 2 2" xfId="55976" xr:uid="{00000000-0005-0000-0000-000000220000}"/>
    <cellStyle name="Normal 13 3 2 2 3 2 3" xfId="46409" xr:uid="{00000000-0005-0000-0000-000001220000}"/>
    <cellStyle name="Normal 13 3 2 2 3 2 4" xfId="30309" xr:uid="{00000000-0005-0000-0000-000002220000}"/>
    <cellStyle name="Normal 13 3 2 2 3 2 5" xfId="20740" xr:uid="{00000000-0005-0000-0000-000003220000}"/>
    <cellStyle name="Normal 13 3 2 2 3 3" xfId="11171" xr:uid="{00000000-0005-0000-0000-000004220000}"/>
    <cellStyle name="Normal 13 3 2 2 3 3 2" xfId="49445" xr:uid="{00000000-0005-0000-0000-000005220000}"/>
    <cellStyle name="Normal 13 3 2 2 3 3 3" xfId="33345" xr:uid="{00000000-0005-0000-0000-000006220000}"/>
    <cellStyle name="Normal 13 3 2 2 3 3 4" xfId="23776" xr:uid="{00000000-0005-0000-0000-000007220000}"/>
    <cellStyle name="Normal 13 3 2 2 3 4" xfId="5099" xr:uid="{00000000-0005-0000-0000-000008220000}"/>
    <cellStyle name="Normal 13 3 2 2 3 4 2" xfId="52940" xr:uid="{00000000-0005-0000-0000-000009220000}"/>
    <cellStyle name="Normal 13 3 2 2 3 4 3" xfId="36840" xr:uid="{00000000-0005-0000-0000-00000A220000}"/>
    <cellStyle name="Normal 13 3 2 2 3 4 4" xfId="17704" xr:uid="{00000000-0005-0000-0000-00000B220000}"/>
    <cellStyle name="Normal 13 3 2 2 3 5" xfId="43373" xr:uid="{00000000-0005-0000-0000-00000C220000}"/>
    <cellStyle name="Normal 13 3 2 2 3 6" xfId="27273" xr:uid="{00000000-0005-0000-0000-00000D220000}"/>
    <cellStyle name="Normal 13 3 2 2 3 7" xfId="14209" xr:uid="{00000000-0005-0000-0000-00000E220000}"/>
    <cellStyle name="Normal 13 3 2 2 4" xfId="7125" xr:uid="{00000000-0005-0000-0000-00000F220000}"/>
    <cellStyle name="Normal 13 3 2 2 4 2" xfId="38866" xr:uid="{00000000-0005-0000-0000-000010220000}"/>
    <cellStyle name="Normal 13 3 2 2 4 2 2" xfId="54966" xr:uid="{00000000-0005-0000-0000-000011220000}"/>
    <cellStyle name="Normal 13 3 2 2 4 3" xfId="45399" xr:uid="{00000000-0005-0000-0000-000012220000}"/>
    <cellStyle name="Normal 13 3 2 2 4 4" xfId="29299" xr:uid="{00000000-0005-0000-0000-000013220000}"/>
    <cellStyle name="Normal 13 3 2 2 4 5" xfId="19730" xr:uid="{00000000-0005-0000-0000-000014220000}"/>
    <cellStyle name="Normal 13 3 2 2 5" xfId="10161" xr:uid="{00000000-0005-0000-0000-000015220000}"/>
    <cellStyle name="Normal 13 3 2 2 5 2" xfId="48435" xr:uid="{00000000-0005-0000-0000-000016220000}"/>
    <cellStyle name="Normal 13 3 2 2 5 3" xfId="32335" xr:uid="{00000000-0005-0000-0000-000017220000}"/>
    <cellStyle name="Normal 13 3 2 2 5 4" xfId="22766" xr:uid="{00000000-0005-0000-0000-000018220000}"/>
    <cellStyle name="Normal 13 3 2 2 6" xfId="4089" xr:uid="{00000000-0005-0000-0000-000019220000}"/>
    <cellStyle name="Normal 13 3 2 2 6 2" xfId="51930" xr:uid="{00000000-0005-0000-0000-00001A220000}"/>
    <cellStyle name="Normal 13 3 2 2 6 3" xfId="35830" xr:uid="{00000000-0005-0000-0000-00001B220000}"/>
    <cellStyle name="Normal 13 3 2 2 6 4" xfId="16694" xr:uid="{00000000-0005-0000-0000-00001C220000}"/>
    <cellStyle name="Normal 13 3 2 2 7" xfId="42363" xr:uid="{00000000-0005-0000-0000-00001D220000}"/>
    <cellStyle name="Normal 13 3 2 2 8" xfId="26263" xr:uid="{00000000-0005-0000-0000-00001E220000}"/>
    <cellStyle name="Normal 13 3 2 2 9" xfId="13199" xr:uid="{00000000-0005-0000-0000-00001F220000}"/>
    <cellStyle name="Normal 13 3 2 3" xfId="1009" xr:uid="{00000000-0005-0000-0000-000020220000}"/>
    <cellStyle name="Normal 13 3 2 3 2" xfId="3037" xr:uid="{00000000-0005-0000-0000-000021220000}"/>
    <cellStyle name="Normal 13 3 2 3 2 2" xfId="9569" xr:uid="{00000000-0005-0000-0000-000022220000}"/>
    <cellStyle name="Normal 13 3 2 3 2 2 2" xfId="41310" xr:uid="{00000000-0005-0000-0000-000023220000}"/>
    <cellStyle name="Normal 13 3 2 3 2 2 2 2" xfId="57410" xr:uid="{00000000-0005-0000-0000-000024220000}"/>
    <cellStyle name="Normal 13 3 2 3 2 2 3" xfId="47843" xr:uid="{00000000-0005-0000-0000-000025220000}"/>
    <cellStyle name="Normal 13 3 2 3 2 2 4" xfId="31743" xr:uid="{00000000-0005-0000-0000-000026220000}"/>
    <cellStyle name="Normal 13 3 2 3 2 2 5" xfId="22174" xr:uid="{00000000-0005-0000-0000-000027220000}"/>
    <cellStyle name="Normal 13 3 2 3 2 3" xfId="12605" xr:uid="{00000000-0005-0000-0000-000028220000}"/>
    <cellStyle name="Normal 13 3 2 3 2 3 2" xfId="50879" xr:uid="{00000000-0005-0000-0000-000029220000}"/>
    <cellStyle name="Normal 13 3 2 3 2 3 3" xfId="34779" xr:uid="{00000000-0005-0000-0000-00002A220000}"/>
    <cellStyle name="Normal 13 3 2 3 2 3 4" xfId="25210" xr:uid="{00000000-0005-0000-0000-00002B220000}"/>
    <cellStyle name="Normal 13 3 2 3 2 4" xfId="6533" xr:uid="{00000000-0005-0000-0000-00002C220000}"/>
    <cellStyle name="Normal 13 3 2 3 2 4 2" xfId="54374" xr:uid="{00000000-0005-0000-0000-00002D220000}"/>
    <cellStyle name="Normal 13 3 2 3 2 4 3" xfId="38274" xr:uid="{00000000-0005-0000-0000-00002E220000}"/>
    <cellStyle name="Normal 13 3 2 3 2 4 4" xfId="19138" xr:uid="{00000000-0005-0000-0000-00002F220000}"/>
    <cellStyle name="Normal 13 3 2 3 2 5" xfId="44807" xr:uid="{00000000-0005-0000-0000-000030220000}"/>
    <cellStyle name="Normal 13 3 2 3 2 6" xfId="28707" xr:uid="{00000000-0005-0000-0000-000031220000}"/>
    <cellStyle name="Normal 13 3 2 3 2 7" xfId="15643" xr:uid="{00000000-0005-0000-0000-000032220000}"/>
    <cellStyle name="Normal 13 3 2 3 3" xfId="2019" xr:uid="{00000000-0005-0000-0000-000033220000}"/>
    <cellStyle name="Normal 13 3 2 3 3 2" xfId="8553" xr:uid="{00000000-0005-0000-0000-000034220000}"/>
    <cellStyle name="Normal 13 3 2 3 3 2 2" xfId="40294" xr:uid="{00000000-0005-0000-0000-000035220000}"/>
    <cellStyle name="Normal 13 3 2 3 3 2 2 2" xfId="56394" xr:uid="{00000000-0005-0000-0000-000036220000}"/>
    <cellStyle name="Normal 13 3 2 3 3 2 3" xfId="46827" xr:uid="{00000000-0005-0000-0000-000037220000}"/>
    <cellStyle name="Normal 13 3 2 3 3 2 4" xfId="30727" xr:uid="{00000000-0005-0000-0000-000038220000}"/>
    <cellStyle name="Normal 13 3 2 3 3 2 5" xfId="21158" xr:uid="{00000000-0005-0000-0000-000039220000}"/>
    <cellStyle name="Normal 13 3 2 3 3 3" xfId="11589" xr:uid="{00000000-0005-0000-0000-00003A220000}"/>
    <cellStyle name="Normal 13 3 2 3 3 3 2" xfId="49863" xr:uid="{00000000-0005-0000-0000-00003B220000}"/>
    <cellStyle name="Normal 13 3 2 3 3 3 3" xfId="33763" xr:uid="{00000000-0005-0000-0000-00003C220000}"/>
    <cellStyle name="Normal 13 3 2 3 3 3 4" xfId="24194" xr:uid="{00000000-0005-0000-0000-00003D220000}"/>
    <cellStyle name="Normal 13 3 2 3 3 4" xfId="5517" xr:uid="{00000000-0005-0000-0000-00003E220000}"/>
    <cellStyle name="Normal 13 3 2 3 3 4 2" xfId="53358" xr:uid="{00000000-0005-0000-0000-00003F220000}"/>
    <cellStyle name="Normal 13 3 2 3 3 4 3" xfId="37258" xr:uid="{00000000-0005-0000-0000-000040220000}"/>
    <cellStyle name="Normal 13 3 2 3 3 4 4" xfId="18122" xr:uid="{00000000-0005-0000-0000-000041220000}"/>
    <cellStyle name="Normal 13 3 2 3 3 5" xfId="43791" xr:uid="{00000000-0005-0000-0000-000042220000}"/>
    <cellStyle name="Normal 13 3 2 3 3 6" xfId="27691" xr:uid="{00000000-0005-0000-0000-000043220000}"/>
    <cellStyle name="Normal 13 3 2 3 3 7" xfId="14627" xr:uid="{00000000-0005-0000-0000-000044220000}"/>
    <cellStyle name="Normal 13 3 2 3 4" xfId="7543" xr:uid="{00000000-0005-0000-0000-000045220000}"/>
    <cellStyle name="Normal 13 3 2 3 4 2" xfId="39284" xr:uid="{00000000-0005-0000-0000-000046220000}"/>
    <cellStyle name="Normal 13 3 2 3 4 2 2" xfId="55384" xr:uid="{00000000-0005-0000-0000-000047220000}"/>
    <cellStyle name="Normal 13 3 2 3 4 3" xfId="45817" xr:uid="{00000000-0005-0000-0000-000048220000}"/>
    <cellStyle name="Normal 13 3 2 3 4 4" xfId="29717" xr:uid="{00000000-0005-0000-0000-000049220000}"/>
    <cellStyle name="Normal 13 3 2 3 4 5" xfId="20148" xr:uid="{00000000-0005-0000-0000-00004A220000}"/>
    <cellStyle name="Normal 13 3 2 3 5" xfId="10579" xr:uid="{00000000-0005-0000-0000-00004B220000}"/>
    <cellStyle name="Normal 13 3 2 3 5 2" xfId="48853" xr:uid="{00000000-0005-0000-0000-00004C220000}"/>
    <cellStyle name="Normal 13 3 2 3 5 3" xfId="32753" xr:uid="{00000000-0005-0000-0000-00004D220000}"/>
    <cellStyle name="Normal 13 3 2 3 5 4" xfId="23184" xr:uid="{00000000-0005-0000-0000-00004E220000}"/>
    <cellStyle name="Normal 13 3 2 3 6" xfId="4507" xr:uid="{00000000-0005-0000-0000-00004F220000}"/>
    <cellStyle name="Normal 13 3 2 3 6 2" xfId="52348" xr:uid="{00000000-0005-0000-0000-000050220000}"/>
    <cellStyle name="Normal 13 3 2 3 6 3" xfId="36248" xr:uid="{00000000-0005-0000-0000-000051220000}"/>
    <cellStyle name="Normal 13 3 2 3 6 4" xfId="17112" xr:uid="{00000000-0005-0000-0000-000052220000}"/>
    <cellStyle name="Normal 13 3 2 3 7" xfId="42781" xr:uid="{00000000-0005-0000-0000-000053220000}"/>
    <cellStyle name="Normal 13 3 2 3 8" xfId="26681" xr:uid="{00000000-0005-0000-0000-000054220000}"/>
    <cellStyle name="Normal 13 3 2 3 9" xfId="13617" xr:uid="{00000000-0005-0000-0000-000055220000}"/>
    <cellStyle name="Normal 13 3 2 4" xfId="2212" xr:uid="{00000000-0005-0000-0000-000056220000}"/>
    <cellStyle name="Normal 13 3 2 4 2" xfId="8746" xr:uid="{00000000-0005-0000-0000-000057220000}"/>
    <cellStyle name="Normal 13 3 2 4 2 2" xfId="40487" xr:uid="{00000000-0005-0000-0000-000058220000}"/>
    <cellStyle name="Normal 13 3 2 4 2 2 2" xfId="56587" xr:uid="{00000000-0005-0000-0000-000059220000}"/>
    <cellStyle name="Normal 13 3 2 4 2 3" xfId="47020" xr:uid="{00000000-0005-0000-0000-00005A220000}"/>
    <cellStyle name="Normal 13 3 2 4 2 4" xfId="30920" xr:uid="{00000000-0005-0000-0000-00005B220000}"/>
    <cellStyle name="Normal 13 3 2 4 2 5" xfId="21351" xr:uid="{00000000-0005-0000-0000-00005C220000}"/>
    <cellStyle name="Normal 13 3 2 4 3" xfId="11782" xr:uid="{00000000-0005-0000-0000-00005D220000}"/>
    <cellStyle name="Normal 13 3 2 4 3 2" xfId="50056" xr:uid="{00000000-0005-0000-0000-00005E220000}"/>
    <cellStyle name="Normal 13 3 2 4 3 3" xfId="33956" xr:uid="{00000000-0005-0000-0000-00005F220000}"/>
    <cellStyle name="Normal 13 3 2 4 3 4" xfId="24387" xr:uid="{00000000-0005-0000-0000-000060220000}"/>
    <cellStyle name="Normal 13 3 2 4 4" xfId="5710" xr:uid="{00000000-0005-0000-0000-000061220000}"/>
    <cellStyle name="Normal 13 3 2 4 4 2" xfId="53551" xr:uid="{00000000-0005-0000-0000-000062220000}"/>
    <cellStyle name="Normal 13 3 2 4 4 3" xfId="37451" xr:uid="{00000000-0005-0000-0000-000063220000}"/>
    <cellStyle name="Normal 13 3 2 4 4 4" xfId="18315" xr:uid="{00000000-0005-0000-0000-000064220000}"/>
    <cellStyle name="Normal 13 3 2 4 5" xfId="43984" xr:uid="{00000000-0005-0000-0000-000065220000}"/>
    <cellStyle name="Normal 13 3 2 4 6" xfId="27884" xr:uid="{00000000-0005-0000-0000-000066220000}"/>
    <cellStyle name="Normal 13 3 2 4 7" xfId="14820" xr:uid="{00000000-0005-0000-0000-000067220000}"/>
    <cellStyle name="Normal 13 3 2 5" xfId="1424" xr:uid="{00000000-0005-0000-0000-000068220000}"/>
    <cellStyle name="Normal 13 3 2 5 2" xfId="7958" xr:uid="{00000000-0005-0000-0000-000069220000}"/>
    <cellStyle name="Normal 13 3 2 5 2 2" xfId="39699" xr:uid="{00000000-0005-0000-0000-00006A220000}"/>
    <cellStyle name="Normal 13 3 2 5 2 2 2" xfId="55799" xr:uid="{00000000-0005-0000-0000-00006B220000}"/>
    <cellStyle name="Normal 13 3 2 5 2 3" xfId="46232" xr:uid="{00000000-0005-0000-0000-00006C220000}"/>
    <cellStyle name="Normal 13 3 2 5 2 4" xfId="30132" xr:uid="{00000000-0005-0000-0000-00006D220000}"/>
    <cellStyle name="Normal 13 3 2 5 2 5" xfId="20563" xr:uid="{00000000-0005-0000-0000-00006E220000}"/>
    <cellStyle name="Normal 13 3 2 5 3" xfId="10994" xr:uid="{00000000-0005-0000-0000-00006F220000}"/>
    <cellStyle name="Normal 13 3 2 5 3 2" xfId="49268" xr:uid="{00000000-0005-0000-0000-000070220000}"/>
    <cellStyle name="Normal 13 3 2 5 3 3" xfId="33168" xr:uid="{00000000-0005-0000-0000-000071220000}"/>
    <cellStyle name="Normal 13 3 2 5 3 4" xfId="23599" xr:uid="{00000000-0005-0000-0000-000072220000}"/>
    <cellStyle name="Normal 13 3 2 5 4" xfId="4922" xr:uid="{00000000-0005-0000-0000-000073220000}"/>
    <cellStyle name="Normal 13 3 2 5 4 2" xfId="52763" xr:uid="{00000000-0005-0000-0000-000074220000}"/>
    <cellStyle name="Normal 13 3 2 5 4 3" xfId="36663" xr:uid="{00000000-0005-0000-0000-000075220000}"/>
    <cellStyle name="Normal 13 3 2 5 4 4" xfId="17527" xr:uid="{00000000-0005-0000-0000-000076220000}"/>
    <cellStyle name="Normal 13 3 2 5 5" xfId="43196" xr:uid="{00000000-0005-0000-0000-000077220000}"/>
    <cellStyle name="Normal 13 3 2 5 6" xfId="27096" xr:uid="{00000000-0005-0000-0000-000078220000}"/>
    <cellStyle name="Normal 13 3 2 5 7" xfId="14032" xr:uid="{00000000-0005-0000-0000-000079220000}"/>
    <cellStyle name="Normal 13 3 2 6" xfId="3912" xr:uid="{00000000-0005-0000-0000-00007A220000}"/>
    <cellStyle name="Normal 13 3 2 6 2" xfId="35653" xr:uid="{00000000-0005-0000-0000-00007B220000}"/>
    <cellStyle name="Normal 13 3 2 6 2 2" xfId="51753" xr:uid="{00000000-0005-0000-0000-00007C220000}"/>
    <cellStyle name="Normal 13 3 2 6 3" xfId="42186" xr:uid="{00000000-0005-0000-0000-00007D220000}"/>
    <cellStyle name="Normal 13 3 2 6 4" xfId="26086" xr:uid="{00000000-0005-0000-0000-00007E220000}"/>
    <cellStyle name="Normal 13 3 2 6 5" xfId="16517" xr:uid="{00000000-0005-0000-0000-00007F220000}"/>
    <cellStyle name="Normal 13 3 2 7" xfId="6948" xr:uid="{00000000-0005-0000-0000-000080220000}"/>
    <cellStyle name="Normal 13 3 2 7 2" xfId="38689" xr:uid="{00000000-0005-0000-0000-000081220000}"/>
    <cellStyle name="Normal 13 3 2 7 2 2" xfId="54789" xr:uid="{00000000-0005-0000-0000-000082220000}"/>
    <cellStyle name="Normal 13 3 2 7 3" xfId="45222" xr:uid="{00000000-0005-0000-0000-000083220000}"/>
    <cellStyle name="Normal 13 3 2 7 4" xfId="29122" xr:uid="{00000000-0005-0000-0000-000084220000}"/>
    <cellStyle name="Normal 13 3 2 7 5" xfId="19553" xr:uid="{00000000-0005-0000-0000-000085220000}"/>
    <cellStyle name="Normal 13 3 2 8" xfId="9984" xr:uid="{00000000-0005-0000-0000-000086220000}"/>
    <cellStyle name="Normal 13 3 2 8 2" xfId="48258" xr:uid="{00000000-0005-0000-0000-000087220000}"/>
    <cellStyle name="Normal 13 3 2 8 3" xfId="32158" xr:uid="{00000000-0005-0000-0000-000088220000}"/>
    <cellStyle name="Normal 13 3 2 8 4" xfId="22589" xr:uid="{00000000-0005-0000-0000-000089220000}"/>
    <cellStyle name="Normal 13 3 2 9" xfId="3408" xr:uid="{00000000-0005-0000-0000-00008A220000}"/>
    <cellStyle name="Normal 13 3 2 9 2" xfId="51249" xr:uid="{00000000-0005-0000-0000-00008B220000}"/>
    <cellStyle name="Normal 13 3 2 9 3" xfId="35149" xr:uid="{00000000-0005-0000-0000-00008C220000}"/>
    <cellStyle name="Normal 13 3 2 9 4" xfId="16013" xr:uid="{00000000-0005-0000-0000-00008D220000}"/>
    <cellStyle name="Normal 13 3 3" xfId="299" xr:uid="{00000000-0005-0000-0000-00008E220000}"/>
    <cellStyle name="Normal 13 3 3 2" xfId="2318" xr:uid="{00000000-0005-0000-0000-00008F220000}"/>
    <cellStyle name="Normal 13 3 3 2 2" xfId="8852" xr:uid="{00000000-0005-0000-0000-000090220000}"/>
    <cellStyle name="Normal 13 3 3 2 2 2" xfId="40593" xr:uid="{00000000-0005-0000-0000-000091220000}"/>
    <cellStyle name="Normal 13 3 3 2 2 2 2" xfId="56693" xr:uid="{00000000-0005-0000-0000-000092220000}"/>
    <cellStyle name="Normal 13 3 3 2 2 3" xfId="47126" xr:uid="{00000000-0005-0000-0000-000093220000}"/>
    <cellStyle name="Normal 13 3 3 2 2 4" xfId="31026" xr:uid="{00000000-0005-0000-0000-000094220000}"/>
    <cellStyle name="Normal 13 3 3 2 2 5" xfId="21457" xr:uid="{00000000-0005-0000-0000-000095220000}"/>
    <cellStyle name="Normal 13 3 3 2 3" xfId="11888" xr:uid="{00000000-0005-0000-0000-000096220000}"/>
    <cellStyle name="Normal 13 3 3 2 3 2" xfId="50162" xr:uid="{00000000-0005-0000-0000-000097220000}"/>
    <cellStyle name="Normal 13 3 3 2 3 3" xfId="34062" xr:uid="{00000000-0005-0000-0000-000098220000}"/>
    <cellStyle name="Normal 13 3 3 2 3 4" xfId="24493" xr:uid="{00000000-0005-0000-0000-000099220000}"/>
    <cellStyle name="Normal 13 3 3 2 4" xfId="5816" xr:uid="{00000000-0005-0000-0000-00009A220000}"/>
    <cellStyle name="Normal 13 3 3 2 4 2" xfId="53657" xr:uid="{00000000-0005-0000-0000-00009B220000}"/>
    <cellStyle name="Normal 13 3 3 2 4 3" xfId="37557" xr:uid="{00000000-0005-0000-0000-00009C220000}"/>
    <cellStyle name="Normal 13 3 3 2 4 4" xfId="18421" xr:uid="{00000000-0005-0000-0000-00009D220000}"/>
    <cellStyle name="Normal 13 3 3 2 5" xfId="44090" xr:uid="{00000000-0005-0000-0000-00009E220000}"/>
    <cellStyle name="Normal 13 3 3 2 6" xfId="27990" xr:uid="{00000000-0005-0000-0000-00009F220000}"/>
    <cellStyle name="Normal 13 3 3 2 7" xfId="14926" xr:uid="{00000000-0005-0000-0000-0000A0220000}"/>
    <cellStyle name="Normal 13 3 3 3" xfId="1530" xr:uid="{00000000-0005-0000-0000-0000A1220000}"/>
    <cellStyle name="Normal 13 3 3 3 2" xfId="8064" xr:uid="{00000000-0005-0000-0000-0000A2220000}"/>
    <cellStyle name="Normal 13 3 3 3 2 2" xfId="39805" xr:uid="{00000000-0005-0000-0000-0000A3220000}"/>
    <cellStyle name="Normal 13 3 3 3 2 2 2" xfId="55905" xr:uid="{00000000-0005-0000-0000-0000A4220000}"/>
    <cellStyle name="Normal 13 3 3 3 2 3" xfId="46338" xr:uid="{00000000-0005-0000-0000-0000A5220000}"/>
    <cellStyle name="Normal 13 3 3 3 2 4" xfId="30238" xr:uid="{00000000-0005-0000-0000-0000A6220000}"/>
    <cellStyle name="Normal 13 3 3 3 2 5" xfId="20669" xr:uid="{00000000-0005-0000-0000-0000A7220000}"/>
    <cellStyle name="Normal 13 3 3 3 3" xfId="11100" xr:uid="{00000000-0005-0000-0000-0000A8220000}"/>
    <cellStyle name="Normal 13 3 3 3 3 2" xfId="49374" xr:uid="{00000000-0005-0000-0000-0000A9220000}"/>
    <cellStyle name="Normal 13 3 3 3 3 3" xfId="33274" xr:uid="{00000000-0005-0000-0000-0000AA220000}"/>
    <cellStyle name="Normal 13 3 3 3 3 4" xfId="23705" xr:uid="{00000000-0005-0000-0000-0000AB220000}"/>
    <cellStyle name="Normal 13 3 3 3 4" xfId="5028" xr:uid="{00000000-0005-0000-0000-0000AC220000}"/>
    <cellStyle name="Normal 13 3 3 3 4 2" xfId="52869" xr:uid="{00000000-0005-0000-0000-0000AD220000}"/>
    <cellStyle name="Normal 13 3 3 3 4 3" xfId="36769" xr:uid="{00000000-0005-0000-0000-0000AE220000}"/>
    <cellStyle name="Normal 13 3 3 3 4 4" xfId="17633" xr:uid="{00000000-0005-0000-0000-0000AF220000}"/>
    <cellStyle name="Normal 13 3 3 3 5" xfId="43302" xr:uid="{00000000-0005-0000-0000-0000B0220000}"/>
    <cellStyle name="Normal 13 3 3 3 6" xfId="27202" xr:uid="{00000000-0005-0000-0000-0000B1220000}"/>
    <cellStyle name="Normal 13 3 3 3 7" xfId="14138" xr:uid="{00000000-0005-0000-0000-0000B2220000}"/>
    <cellStyle name="Normal 13 3 3 4" xfId="7054" xr:uid="{00000000-0005-0000-0000-0000B3220000}"/>
    <cellStyle name="Normal 13 3 3 4 2" xfId="38795" xr:uid="{00000000-0005-0000-0000-0000B4220000}"/>
    <cellStyle name="Normal 13 3 3 4 2 2" xfId="54895" xr:uid="{00000000-0005-0000-0000-0000B5220000}"/>
    <cellStyle name="Normal 13 3 3 4 3" xfId="45328" xr:uid="{00000000-0005-0000-0000-0000B6220000}"/>
    <cellStyle name="Normal 13 3 3 4 4" xfId="29228" xr:uid="{00000000-0005-0000-0000-0000B7220000}"/>
    <cellStyle name="Normal 13 3 3 4 5" xfId="19659" xr:uid="{00000000-0005-0000-0000-0000B8220000}"/>
    <cellStyle name="Normal 13 3 3 5" xfId="10090" xr:uid="{00000000-0005-0000-0000-0000B9220000}"/>
    <cellStyle name="Normal 13 3 3 5 2" xfId="48364" xr:uid="{00000000-0005-0000-0000-0000BA220000}"/>
    <cellStyle name="Normal 13 3 3 5 3" xfId="32264" xr:uid="{00000000-0005-0000-0000-0000BB220000}"/>
    <cellStyle name="Normal 13 3 3 5 4" xfId="22695" xr:uid="{00000000-0005-0000-0000-0000BC220000}"/>
    <cellStyle name="Normal 13 3 3 6" xfId="4018" xr:uid="{00000000-0005-0000-0000-0000BD220000}"/>
    <cellStyle name="Normal 13 3 3 6 2" xfId="51859" xr:uid="{00000000-0005-0000-0000-0000BE220000}"/>
    <cellStyle name="Normal 13 3 3 6 3" xfId="35759" xr:uid="{00000000-0005-0000-0000-0000BF220000}"/>
    <cellStyle name="Normal 13 3 3 6 4" xfId="16623" xr:uid="{00000000-0005-0000-0000-0000C0220000}"/>
    <cellStyle name="Normal 13 3 3 7" xfId="42292" xr:uid="{00000000-0005-0000-0000-0000C1220000}"/>
    <cellStyle name="Normal 13 3 3 8" xfId="26192" xr:uid="{00000000-0005-0000-0000-0000C2220000}"/>
    <cellStyle name="Normal 13 3 3 9" xfId="13128" xr:uid="{00000000-0005-0000-0000-0000C3220000}"/>
    <cellStyle name="Normal 13 3 4" xfId="557" xr:uid="{00000000-0005-0000-0000-0000C4220000}"/>
    <cellStyle name="Normal 13 3 4 2" xfId="2586" xr:uid="{00000000-0005-0000-0000-0000C5220000}"/>
    <cellStyle name="Normal 13 3 4 2 2" xfId="9118" xr:uid="{00000000-0005-0000-0000-0000C6220000}"/>
    <cellStyle name="Normal 13 3 4 2 2 2" xfId="40859" xr:uid="{00000000-0005-0000-0000-0000C7220000}"/>
    <cellStyle name="Normal 13 3 4 2 2 2 2" xfId="56959" xr:uid="{00000000-0005-0000-0000-0000C8220000}"/>
    <cellStyle name="Normal 13 3 4 2 2 3" xfId="47392" xr:uid="{00000000-0005-0000-0000-0000C9220000}"/>
    <cellStyle name="Normal 13 3 4 2 2 4" xfId="31292" xr:uid="{00000000-0005-0000-0000-0000CA220000}"/>
    <cellStyle name="Normal 13 3 4 2 2 5" xfId="21723" xr:uid="{00000000-0005-0000-0000-0000CB220000}"/>
    <cellStyle name="Normal 13 3 4 2 3" xfId="12154" xr:uid="{00000000-0005-0000-0000-0000CC220000}"/>
    <cellStyle name="Normal 13 3 4 2 3 2" xfId="50428" xr:uid="{00000000-0005-0000-0000-0000CD220000}"/>
    <cellStyle name="Normal 13 3 4 2 3 3" xfId="34328" xr:uid="{00000000-0005-0000-0000-0000CE220000}"/>
    <cellStyle name="Normal 13 3 4 2 3 4" xfId="24759" xr:uid="{00000000-0005-0000-0000-0000CF220000}"/>
    <cellStyle name="Normal 13 3 4 2 4" xfId="6082" xr:uid="{00000000-0005-0000-0000-0000D0220000}"/>
    <cellStyle name="Normal 13 3 4 2 4 2" xfId="53923" xr:uid="{00000000-0005-0000-0000-0000D1220000}"/>
    <cellStyle name="Normal 13 3 4 2 4 3" xfId="37823" xr:uid="{00000000-0005-0000-0000-0000D2220000}"/>
    <cellStyle name="Normal 13 3 4 2 4 4" xfId="18687" xr:uid="{00000000-0005-0000-0000-0000D3220000}"/>
    <cellStyle name="Normal 13 3 4 2 5" xfId="44356" xr:uid="{00000000-0005-0000-0000-0000D4220000}"/>
    <cellStyle name="Normal 13 3 4 2 6" xfId="28256" xr:uid="{00000000-0005-0000-0000-0000D5220000}"/>
    <cellStyle name="Normal 13 3 4 2 7" xfId="15192" xr:uid="{00000000-0005-0000-0000-0000D6220000}"/>
    <cellStyle name="Normal 13 3 4 3" xfId="1353" xr:uid="{00000000-0005-0000-0000-0000D7220000}"/>
    <cellStyle name="Normal 13 3 4 3 2" xfId="7887" xr:uid="{00000000-0005-0000-0000-0000D8220000}"/>
    <cellStyle name="Normal 13 3 4 3 2 2" xfId="39628" xr:uid="{00000000-0005-0000-0000-0000D9220000}"/>
    <cellStyle name="Normal 13 3 4 3 2 2 2" xfId="55728" xr:uid="{00000000-0005-0000-0000-0000DA220000}"/>
    <cellStyle name="Normal 13 3 4 3 2 3" xfId="46161" xr:uid="{00000000-0005-0000-0000-0000DB220000}"/>
    <cellStyle name="Normal 13 3 4 3 2 4" xfId="30061" xr:uid="{00000000-0005-0000-0000-0000DC220000}"/>
    <cellStyle name="Normal 13 3 4 3 2 5" xfId="20492" xr:uid="{00000000-0005-0000-0000-0000DD220000}"/>
    <cellStyle name="Normal 13 3 4 3 3" xfId="10923" xr:uid="{00000000-0005-0000-0000-0000DE220000}"/>
    <cellStyle name="Normal 13 3 4 3 3 2" xfId="49197" xr:uid="{00000000-0005-0000-0000-0000DF220000}"/>
    <cellStyle name="Normal 13 3 4 3 3 3" xfId="33097" xr:uid="{00000000-0005-0000-0000-0000E0220000}"/>
    <cellStyle name="Normal 13 3 4 3 3 4" xfId="23528" xr:uid="{00000000-0005-0000-0000-0000E1220000}"/>
    <cellStyle name="Normal 13 3 4 3 4" xfId="4851" xr:uid="{00000000-0005-0000-0000-0000E2220000}"/>
    <cellStyle name="Normal 13 3 4 3 4 2" xfId="52692" xr:uid="{00000000-0005-0000-0000-0000E3220000}"/>
    <cellStyle name="Normal 13 3 4 3 4 3" xfId="36592" xr:uid="{00000000-0005-0000-0000-0000E4220000}"/>
    <cellStyle name="Normal 13 3 4 3 4 4" xfId="17456" xr:uid="{00000000-0005-0000-0000-0000E5220000}"/>
    <cellStyle name="Normal 13 3 4 3 5" xfId="43125" xr:uid="{00000000-0005-0000-0000-0000E6220000}"/>
    <cellStyle name="Normal 13 3 4 3 6" xfId="27025" xr:uid="{00000000-0005-0000-0000-0000E7220000}"/>
    <cellStyle name="Normal 13 3 4 3 7" xfId="13961" xr:uid="{00000000-0005-0000-0000-0000E8220000}"/>
    <cellStyle name="Normal 13 3 4 4" xfId="6877" xr:uid="{00000000-0005-0000-0000-0000E9220000}"/>
    <cellStyle name="Normal 13 3 4 4 2" xfId="38618" xr:uid="{00000000-0005-0000-0000-0000EA220000}"/>
    <cellStyle name="Normal 13 3 4 4 2 2" xfId="54718" xr:uid="{00000000-0005-0000-0000-0000EB220000}"/>
    <cellStyle name="Normal 13 3 4 4 3" xfId="45151" xr:uid="{00000000-0005-0000-0000-0000EC220000}"/>
    <cellStyle name="Normal 13 3 4 4 4" xfId="29051" xr:uid="{00000000-0005-0000-0000-0000ED220000}"/>
    <cellStyle name="Normal 13 3 4 4 5" xfId="19482" xr:uid="{00000000-0005-0000-0000-0000EE220000}"/>
    <cellStyle name="Normal 13 3 4 5" xfId="9913" xr:uid="{00000000-0005-0000-0000-0000EF220000}"/>
    <cellStyle name="Normal 13 3 4 5 2" xfId="48187" xr:uid="{00000000-0005-0000-0000-0000F0220000}"/>
    <cellStyle name="Normal 13 3 4 5 3" xfId="32087" xr:uid="{00000000-0005-0000-0000-0000F1220000}"/>
    <cellStyle name="Normal 13 3 4 5 4" xfId="22518" xr:uid="{00000000-0005-0000-0000-0000F2220000}"/>
    <cellStyle name="Normal 13 3 4 6" xfId="3841" xr:uid="{00000000-0005-0000-0000-0000F3220000}"/>
    <cellStyle name="Normal 13 3 4 6 2" xfId="51682" xr:uid="{00000000-0005-0000-0000-0000F4220000}"/>
    <cellStyle name="Normal 13 3 4 6 3" xfId="35582" xr:uid="{00000000-0005-0000-0000-0000F5220000}"/>
    <cellStyle name="Normal 13 3 4 6 4" xfId="16446" xr:uid="{00000000-0005-0000-0000-0000F6220000}"/>
    <cellStyle name="Normal 13 3 4 7" xfId="42115" xr:uid="{00000000-0005-0000-0000-0000F7220000}"/>
    <cellStyle name="Normal 13 3 4 8" xfId="26015" xr:uid="{00000000-0005-0000-0000-0000F8220000}"/>
    <cellStyle name="Normal 13 3 4 9" xfId="12951" xr:uid="{00000000-0005-0000-0000-0000F9220000}"/>
    <cellStyle name="Normal 13 3 5" xfId="815" xr:uid="{00000000-0005-0000-0000-0000FA220000}"/>
    <cellStyle name="Normal 13 3 5 2" xfId="2843" xr:uid="{00000000-0005-0000-0000-0000FB220000}"/>
    <cellStyle name="Normal 13 3 5 2 2" xfId="9375" xr:uid="{00000000-0005-0000-0000-0000FC220000}"/>
    <cellStyle name="Normal 13 3 5 2 2 2" xfId="41116" xr:uid="{00000000-0005-0000-0000-0000FD220000}"/>
    <cellStyle name="Normal 13 3 5 2 2 2 2" xfId="57216" xr:uid="{00000000-0005-0000-0000-0000FE220000}"/>
    <cellStyle name="Normal 13 3 5 2 2 3" xfId="47649" xr:uid="{00000000-0005-0000-0000-0000FF220000}"/>
    <cellStyle name="Normal 13 3 5 2 2 4" xfId="31549" xr:uid="{00000000-0005-0000-0000-000000230000}"/>
    <cellStyle name="Normal 13 3 5 2 2 5" xfId="21980" xr:uid="{00000000-0005-0000-0000-000001230000}"/>
    <cellStyle name="Normal 13 3 5 2 3" xfId="12411" xr:uid="{00000000-0005-0000-0000-000002230000}"/>
    <cellStyle name="Normal 13 3 5 2 3 2" xfId="50685" xr:uid="{00000000-0005-0000-0000-000003230000}"/>
    <cellStyle name="Normal 13 3 5 2 3 3" xfId="34585" xr:uid="{00000000-0005-0000-0000-000004230000}"/>
    <cellStyle name="Normal 13 3 5 2 3 4" xfId="25016" xr:uid="{00000000-0005-0000-0000-000005230000}"/>
    <cellStyle name="Normal 13 3 5 2 4" xfId="6339" xr:uid="{00000000-0005-0000-0000-000006230000}"/>
    <cellStyle name="Normal 13 3 5 2 4 2" xfId="54180" xr:uid="{00000000-0005-0000-0000-000007230000}"/>
    <cellStyle name="Normal 13 3 5 2 4 3" xfId="38080" xr:uid="{00000000-0005-0000-0000-000008230000}"/>
    <cellStyle name="Normal 13 3 5 2 4 4" xfId="18944" xr:uid="{00000000-0005-0000-0000-000009230000}"/>
    <cellStyle name="Normal 13 3 5 2 5" xfId="44613" xr:uid="{00000000-0005-0000-0000-00000A230000}"/>
    <cellStyle name="Normal 13 3 5 2 6" xfId="28513" xr:uid="{00000000-0005-0000-0000-00000B230000}"/>
    <cellStyle name="Normal 13 3 5 2 7" xfId="15449" xr:uid="{00000000-0005-0000-0000-00000C230000}"/>
    <cellStyle name="Normal 13 3 5 3" xfId="1825" xr:uid="{00000000-0005-0000-0000-00000D230000}"/>
    <cellStyle name="Normal 13 3 5 3 2" xfId="8359" xr:uid="{00000000-0005-0000-0000-00000E230000}"/>
    <cellStyle name="Normal 13 3 5 3 2 2" xfId="40100" xr:uid="{00000000-0005-0000-0000-00000F230000}"/>
    <cellStyle name="Normal 13 3 5 3 2 2 2" xfId="56200" xr:uid="{00000000-0005-0000-0000-000010230000}"/>
    <cellStyle name="Normal 13 3 5 3 2 3" xfId="46633" xr:uid="{00000000-0005-0000-0000-000011230000}"/>
    <cellStyle name="Normal 13 3 5 3 2 4" xfId="30533" xr:uid="{00000000-0005-0000-0000-000012230000}"/>
    <cellStyle name="Normal 13 3 5 3 2 5" xfId="20964" xr:uid="{00000000-0005-0000-0000-000013230000}"/>
    <cellStyle name="Normal 13 3 5 3 3" xfId="11395" xr:uid="{00000000-0005-0000-0000-000014230000}"/>
    <cellStyle name="Normal 13 3 5 3 3 2" xfId="49669" xr:uid="{00000000-0005-0000-0000-000015230000}"/>
    <cellStyle name="Normal 13 3 5 3 3 3" xfId="33569" xr:uid="{00000000-0005-0000-0000-000016230000}"/>
    <cellStyle name="Normal 13 3 5 3 3 4" xfId="24000" xr:uid="{00000000-0005-0000-0000-000017230000}"/>
    <cellStyle name="Normal 13 3 5 3 4" xfId="5323" xr:uid="{00000000-0005-0000-0000-000018230000}"/>
    <cellStyle name="Normal 13 3 5 3 4 2" xfId="53164" xr:uid="{00000000-0005-0000-0000-000019230000}"/>
    <cellStyle name="Normal 13 3 5 3 4 3" xfId="37064" xr:uid="{00000000-0005-0000-0000-00001A230000}"/>
    <cellStyle name="Normal 13 3 5 3 4 4" xfId="17928" xr:uid="{00000000-0005-0000-0000-00001B230000}"/>
    <cellStyle name="Normal 13 3 5 3 5" xfId="43597" xr:uid="{00000000-0005-0000-0000-00001C230000}"/>
    <cellStyle name="Normal 13 3 5 3 6" xfId="27497" xr:uid="{00000000-0005-0000-0000-00001D230000}"/>
    <cellStyle name="Normal 13 3 5 3 7" xfId="14433" xr:uid="{00000000-0005-0000-0000-00001E230000}"/>
    <cellStyle name="Normal 13 3 5 4" xfId="7349" xr:uid="{00000000-0005-0000-0000-00001F230000}"/>
    <cellStyle name="Normal 13 3 5 4 2" xfId="39090" xr:uid="{00000000-0005-0000-0000-000020230000}"/>
    <cellStyle name="Normal 13 3 5 4 2 2" xfId="55190" xr:uid="{00000000-0005-0000-0000-000021230000}"/>
    <cellStyle name="Normal 13 3 5 4 3" xfId="45623" xr:uid="{00000000-0005-0000-0000-000022230000}"/>
    <cellStyle name="Normal 13 3 5 4 4" xfId="29523" xr:uid="{00000000-0005-0000-0000-000023230000}"/>
    <cellStyle name="Normal 13 3 5 4 5" xfId="19954" xr:uid="{00000000-0005-0000-0000-000024230000}"/>
    <cellStyle name="Normal 13 3 5 5" xfId="10385" xr:uid="{00000000-0005-0000-0000-000025230000}"/>
    <cellStyle name="Normal 13 3 5 5 2" xfId="48659" xr:uid="{00000000-0005-0000-0000-000026230000}"/>
    <cellStyle name="Normal 13 3 5 5 3" xfId="32559" xr:uid="{00000000-0005-0000-0000-000027230000}"/>
    <cellStyle name="Normal 13 3 5 5 4" xfId="22990" xr:uid="{00000000-0005-0000-0000-000028230000}"/>
    <cellStyle name="Normal 13 3 5 6" xfId="4313" xr:uid="{00000000-0005-0000-0000-000029230000}"/>
    <cellStyle name="Normal 13 3 5 6 2" xfId="52154" xr:uid="{00000000-0005-0000-0000-00002A230000}"/>
    <cellStyle name="Normal 13 3 5 6 3" xfId="36054" xr:uid="{00000000-0005-0000-0000-00002B230000}"/>
    <cellStyle name="Normal 13 3 5 6 4" xfId="16918" xr:uid="{00000000-0005-0000-0000-00002C230000}"/>
    <cellStyle name="Normal 13 3 5 7" xfId="42587" xr:uid="{00000000-0005-0000-0000-00002D230000}"/>
    <cellStyle name="Normal 13 3 5 8" xfId="26487" xr:uid="{00000000-0005-0000-0000-00002E230000}"/>
    <cellStyle name="Normal 13 3 5 9" xfId="13423" xr:uid="{00000000-0005-0000-0000-00002F230000}"/>
    <cellStyle name="Normal 13 3 6" xfId="2141" xr:uid="{00000000-0005-0000-0000-000030230000}"/>
    <cellStyle name="Normal 13 3 6 2" xfId="8675" xr:uid="{00000000-0005-0000-0000-000031230000}"/>
    <cellStyle name="Normal 13 3 6 2 2" xfId="40416" xr:uid="{00000000-0005-0000-0000-000032230000}"/>
    <cellStyle name="Normal 13 3 6 2 2 2" xfId="56516" xr:uid="{00000000-0005-0000-0000-000033230000}"/>
    <cellStyle name="Normal 13 3 6 2 3" xfId="46949" xr:uid="{00000000-0005-0000-0000-000034230000}"/>
    <cellStyle name="Normal 13 3 6 2 4" xfId="30849" xr:uid="{00000000-0005-0000-0000-000035230000}"/>
    <cellStyle name="Normal 13 3 6 2 5" xfId="21280" xr:uid="{00000000-0005-0000-0000-000036230000}"/>
    <cellStyle name="Normal 13 3 6 3" xfId="11711" xr:uid="{00000000-0005-0000-0000-000037230000}"/>
    <cellStyle name="Normal 13 3 6 3 2" xfId="49985" xr:uid="{00000000-0005-0000-0000-000038230000}"/>
    <cellStyle name="Normal 13 3 6 3 3" xfId="33885" xr:uid="{00000000-0005-0000-0000-000039230000}"/>
    <cellStyle name="Normal 13 3 6 3 4" xfId="24316" xr:uid="{00000000-0005-0000-0000-00003A230000}"/>
    <cellStyle name="Normal 13 3 6 4" xfId="5639" xr:uid="{00000000-0005-0000-0000-00003B230000}"/>
    <cellStyle name="Normal 13 3 6 4 2" xfId="53480" xr:uid="{00000000-0005-0000-0000-00003C230000}"/>
    <cellStyle name="Normal 13 3 6 4 3" xfId="37380" xr:uid="{00000000-0005-0000-0000-00003D230000}"/>
    <cellStyle name="Normal 13 3 6 4 4" xfId="18244" xr:uid="{00000000-0005-0000-0000-00003E230000}"/>
    <cellStyle name="Normal 13 3 6 5" xfId="43913" xr:uid="{00000000-0005-0000-0000-00003F230000}"/>
    <cellStyle name="Normal 13 3 6 6" xfId="27813" xr:uid="{00000000-0005-0000-0000-000040230000}"/>
    <cellStyle name="Normal 13 3 6 7" xfId="14749" xr:uid="{00000000-0005-0000-0000-000041230000}"/>
    <cellStyle name="Normal 13 3 7" xfId="1142" xr:uid="{00000000-0005-0000-0000-000042230000}"/>
    <cellStyle name="Normal 13 3 7 2" xfId="7676" xr:uid="{00000000-0005-0000-0000-000043230000}"/>
    <cellStyle name="Normal 13 3 7 2 2" xfId="39417" xr:uid="{00000000-0005-0000-0000-000044230000}"/>
    <cellStyle name="Normal 13 3 7 2 2 2" xfId="55517" xr:uid="{00000000-0005-0000-0000-000045230000}"/>
    <cellStyle name="Normal 13 3 7 2 3" xfId="45950" xr:uid="{00000000-0005-0000-0000-000046230000}"/>
    <cellStyle name="Normal 13 3 7 2 4" xfId="29850" xr:uid="{00000000-0005-0000-0000-000047230000}"/>
    <cellStyle name="Normal 13 3 7 2 5" xfId="20281" xr:uid="{00000000-0005-0000-0000-000048230000}"/>
    <cellStyle name="Normal 13 3 7 3" xfId="10712" xr:uid="{00000000-0005-0000-0000-000049230000}"/>
    <cellStyle name="Normal 13 3 7 3 2" xfId="48986" xr:uid="{00000000-0005-0000-0000-00004A230000}"/>
    <cellStyle name="Normal 13 3 7 3 3" xfId="32886" xr:uid="{00000000-0005-0000-0000-00004B230000}"/>
    <cellStyle name="Normal 13 3 7 3 4" xfId="23317" xr:uid="{00000000-0005-0000-0000-00004C230000}"/>
    <cellStyle name="Normal 13 3 7 4" xfId="4640" xr:uid="{00000000-0005-0000-0000-00004D230000}"/>
    <cellStyle name="Normal 13 3 7 4 2" xfId="52481" xr:uid="{00000000-0005-0000-0000-00004E230000}"/>
    <cellStyle name="Normal 13 3 7 4 3" xfId="36381" xr:uid="{00000000-0005-0000-0000-00004F230000}"/>
    <cellStyle name="Normal 13 3 7 4 4" xfId="17245" xr:uid="{00000000-0005-0000-0000-000050230000}"/>
    <cellStyle name="Normal 13 3 7 5" xfId="42914" xr:uid="{00000000-0005-0000-0000-000051230000}"/>
    <cellStyle name="Normal 13 3 7 6" xfId="26814" xr:uid="{00000000-0005-0000-0000-000052230000}"/>
    <cellStyle name="Normal 13 3 7 7" xfId="13750" xr:uid="{00000000-0005-0000-0000-000053230000}"/>
    <cellStyle name="Normal 13 3 8" xfId="3630" xr:uid="{00000000-0005-0000-0000-000054230000}"/>
    <cellStyle name="Normal 13 3 8 2" xfId="35371" xr:uid="{00000000-0005-0000-0000-000055230000}"/>
    <cellStyle name="Normal 13 3 8 2 2" xfId="51471" xr:uid="{00000000-0005-0000-0000-000056230000}"/>
    <cellStyle name="Normal 13 3 8 3" xfId="41904" xr:uid="{00000000-0005-0000-0000-000057230000}"/>
    <cellStyle name="Normal 13 3 8 4" xfId="25804" xr:uid="{00000000-0005-0000-0000-000058230000}"/>
    <cellStyle name="Normal 13 3 8 5" xfId="16235" xr:uid="{00000000-0005-0000-0000-000059230000}"/>
    <cellStyle name="Normal 13 3 9" xfId="6666" xr:uid="{00000000-0005-0000-0000-00005A230000}"/>
    <cellStyle name="Normal 13 3 9 2" xfId="38407" xr:uid="{00000000-0005-0000-0000-00005B230000}"/>
    <cellStyle name="Normal 13 3 9 2 2" xfId="54507" xr:uid="{00000000-0005-0000-0000-00005C230000}"/>
    <cellStyle name="Normal 13 3 9 3" xfId="44940" xr:uid="{00000000-0005-0000-0000-00005D230000}"/>
    <cellStyle name="Normal 13 3 9 4" xfId="28840" xr:uid="{00000000-0005-0000-0000-00005E230000}"/>
    <cellStyle name="Normal 13 3 9 5" xfId="19271" xr:uid="{00000000-0005-0000-0000-00005F230000}"/>
    <cellStyle name="Normal 13 4" xfId="82" xr:uid="{00000000-0005-0000-0000-000060230000}"/>
    <cellStyle name="Normal 13 4 10" xfId="3187" xr:uid="{00000000-0005-0000-0000-000061230000}"/>
    <cellStyle name="Normal 13 4 10 2" xfId="51029" xr:uid="{00000000-0005-0000-0000-000062230000}"/>
    <cellStyle name="Normal 13 4 10 3" xfId="34929" xr:uid="{00000000-0005-0000-0000-000063230000}"/>
    <cellStyle name="Normal 13 4 10 4" xfId="15793" xr:uid="{00000000-0005-0000-0000-000064230000}"/>
    <cellStyle name="Normal 13 4 11" xfId="41462" xr:uid="{00000000-0005-0000-0000-000065230000}"/>
    <cellStyle name="Normal 13 4 12" xfId="25362" xr:uid="{00000000-0005-0000-0000-000066230000}"/>
    <cellStyle name="Normal 13 4 13" xfId="12757" xr:uid="{00000000-0005-0000-0000-000067230000}"/>
    <cellStyle name="Normal 13 4 2" xfId="263" xr:uid="{00000000-0005-0000-0000-000068230000}"/>
    <cellStyle name="Normal 13 4 2 10" xfId="25599" xr:uid="{00000000-0005-0000-0000-000069230000}"/>
    <cellStyle name="Normal 13 4 2 11" xfId="13092" xr:uid="{00000000-0005-0000-0000-00006A230000}"/>
    <cellStyle name="Normal 13 4 2 2" xfId="1043" xr:uid="{00000000-0005-0000-0000-00006B230000}"/>
    <cellStyle name="Normal 13 4 2 2 2" xfId="3071" xr:uid="{00000000-0005-0000-0000-00006C230000}"/>
    <cellStyle name="Normal 13 4 2 2 2 2" xfId="9603" xr:uid="{00000000-0005-0000-0000-00006D230000}"/>
    <cellStyle name="Normal 13 4 2 2 2 2 2" xfId="41344" xr:uid="{00000000-0005-0000-0000-00006E230000}"/>
    <cellStyle name="Normal 13 4 2 2 2 2 2 2" xfId="57444" xr:uid="{00000000-0005-0000-0000-00006F230000}"/>
    <cellStyle name="Normal 13 4 2 2 2 2 3" xfId="47877" xr:uid="{00000000-0005-0000-0000-000070230000}"/>
    <cellStyle name="Normal 13 4 2 2 2 2 4" xfId="31777" xr:uid="{00000000-0005-0000-0000-000071230000}"/>
    <cellStyle name="Normal 13 4 2 2 2 2 5" xfId="22208" xr:uid="{00000000-0005-0000-0000-000072230000}"/>
    <cellStyle name="Normal 13 4 2 2 2 3" xfId="12639" xr:uid="{00000000-0005-0000-0000-000073230000}"/>
    <cellStyle name="Normal 13 4 2 2 2 3 2" xfId="50913" xr:uid="{00000000-0005-0000-0000-000074230000}"/>
    <cellStyle name="Normal 13 4 2 2 2 3 3" xfId="34813" xr:uid="{00000000-0005-0000-0000-000075230000}"/>
    <cellStyle name="Normal 13 4 2 2 2 3 4" xfId="25244" xr:uid="{00000000-0005-0000-0000-000076230000}"/>
    <cellStyle name="Normal 13 4 2 2 2 4" xfId="6567" xr:uid="{00000000-0005-0000-0000-000077230000}"/>
    <cellStyle name="Normal 13 4 2 2 2 4 2" xfId="54408" xr:uid="{00000000-0005-0000-0000-000078230000}"/>
    <cellStyle name="Normal 13 4 2 2 2 4 3" xfId="38308" xr:uid="{00000000-0005-0000-0000-000079230000}"/>
    <cellStyle name="Normal 13 4 2 2 2 4 4" xfId="19172" xr:uid="{00000000-0005-0000-0000-00007A230000}"/>
    <cellStyle name="Normal 13 4 2 2 2 5" xfId="44841" xr:uid="{00000000-0005-0000-0000-00007B230000}"/>
    <cellStyle name="Normal 13 4 2 2 2 6" xfId="28741" xr:uid="{00000000-0005-0000-0000-00007C230000}"/>
    <cellStyle name="Normal 13 4 2 2 2 7" xfId="15677" xr:uid="{00000000-0005-0000-0000-00007D230000}"/>
    <cellStyle name="Normal 13 4 2 2 3" xfId="2053" xr:uid="{00000000-0005-0000-0000-00007E230000}"/>
    <cellStyle name="Normal 13 4 2 2 3 2" xfId="8587" xr:uid="{00000000-0005-0000-0000-00007F230000}"/>
    <cellStyle name="Normal 13 4 2 2 3 2 2" xfId="40328" xr:uid="{00000000-0005-0000-0000-000080230000}"/>
    <cellStyle name="Normal 13 4 2 2 3 2 2 2" xfId="56428" xr:uid="{00000000-0005-0000-0000-000081230000}"/>
    <cellStyle name="Normal 13 4 2 2 3 2 3" xfId="46861" xr:uid="{00000000-0005-0000-0000-000082230000}"/>
    <cellStyle name="Normal 13 4 2 2 3 2 4" xfId="30761" xr:uid="{00000000-0005-0000-0000-000083230000}"/>
    <cellStyle name="Normal 13 4 2 2 3 2 5" xfId="21192" xr:uid="{00000000-0005-0000-0000-000084230000}"/>
    <cellStyle name="Normal 13 4 2 2 3 3" xfId="11623" xr:uid="{00000000-0005-0000-0000-000085230000}"/>
    <cellStyle name="Normal 13 4 2 2 3 3 2" xfId="49897" xr:uid="{00000000-0005-0000-0000-000086230000}"/>
    <cellStyle name="Normal 13 4 2 2 3 3 3" xfId="33797" xr:uid="{00000000-0005-0000-0000-000087230000}"/>
    <cellStyle name="Normal 13 4 2 2 3 3 4" xfId="24228" xr:uid="{00000000-0005-0000-0000-000088230000}"/>
    <cellStyle name="Normal 13 4 2 2 3 4" xfId="5551" xr:uid="{00000000-0005-0000-0000-000089230000}"/>
    <cellStyle name="Normal 13 4 2 2 3 4 2" xfId="53392" xr:uid="{00000000-0005-0000-0000-00008A230000}"/>
    <cellStyle name="Normal 13 4 2 2 3 4 3" xfId="37292" xr:uid="{00000000-0005-0000-0000-00008B230000}"/>
    <cellStyle name="Normal 13 4 2 2 3 4 4" xfId="18156" xr:uid="{00000000-0005-0000-0000-00008C230000}"/>
    <cellStyle name="Normal 13 4 2 2 3 5" xfId="43825" xr:uid="{00000000-0005-0000-0000-00008D230000}"/>
    <cellStyle name="Normal 13 4 2 2 3 6" xfId="27725" xr:uid="{00000000-0005-0000-0000-00008E230000}"/>
    <cellStyle name="Normal 13 4 2 2 3 7" xfId="14661" xr:uid="{00000000-0005-0000-0000-00008F230000}"/>
    <cellStyle name="Normal 13 4 2 2 4" xfId="7577" xr:uid="{00000000-0005-0000-0000-000090230000}"/>
    <cellStyle name="Normal 13 4 2 2 4 2" xfId="39318" xr:uid="{00000000-0005-0000-0000-000091230000}"/>
    <cellStyle name="Normal 13 4 2 2 4 2 2" xfId="55418" xr:uid="{00000000-0005-0000-0000-000092230000}"/>
    <cellStyle name="Normal 13 4 2 2 4 3" xfId="45851" xr:uid="{00000000-0005-0000-0000-000093230000}"/>
    <cellStyle name="Normal 13 4 2 2 4 4" xfId="29751" xr:uid="{00000000-0005-0000-0000-000094230000}"/>
    <cellStyle name="Normal 13 4 2 2 4 5" xfId="20182" xr:uid="{00000000-0005-0000-0000-000095230000}"/>
    <cellStyle name="Normal 13 4 2 2 5" xfId="10613" xr:uid="{00000000-0005-0000-0000-000096230000}"/>
    <cellStyle name="Normal 13 4 2 2 5 2" xfId="48887" xr:uid="{00000000-0005-0000-0000-000097230000}"/>
    <cellStyle name="Normal 13 4 2 2 5 3" xfId="32787" xr:uid="{00000000-0005-0000-0000-000098230000}"/>
    <cellStyle name="Normal 13 4 2 2 5 4" xfId="23218" xr:uid="{00000000-0005-0000-0000-000099230000}"/>
    <cellStyle name="Normal 13 4 2 2 6" xfId="4541" xr:uid="{00000000-0005-0000-0000-00009A230000}"/>
    <cellStyle name="Normal 13 4 2 2 6 2" xfId="52382" xr:uid="{00000000-0005-0000-0000-00009B230000}"/>
    <cellStyle name="Normal 13 4 2 2 6 3" xfId="36282" xr:uid="{00000000-0005-0000-0000-00009C230000}"/>
    <cellStyle name="Normal 13 4 2 2 6 4" xfId="17146" xr:uid="{00000000-0005-0000-0000-00009D230000}"/>
    <cellStyle name="Normal 13 4 2 2 7" xfId="42815" xr:uid="{00000000-0005-0000-0000-00009E230000}"/>
    <cellStyle name="Normal 13 4 2 2 8" xfId="26715" xr:uid="{00000000-0005-0000-0000-00009F230000}"/>
    <cellStyle name="Normal 13 4 2 2 9" xfId="13651" xr:uid="{00000000-0005-0000-0000-0000A0230000}"/>
    <cellStyle name="Normal 13 4 2 3" xfId="2282" xr:uid="{00000000-0005-0000-0000-0000A1230000}"/>
    <cellStyle name="Normal 13 4 2 3 2" xfId="8816" xr:uid="{00000000-0005-0000-0000-0000A2230000}"/>
    <cellStyle name="Normal 13 4 2 3 2 2" xfId="40557" xr:uid="{00000000-0005-0000-0000-0000A3230000}"/>
    <cellStyle name="Normal 13 4 2 3 2 2 2" xfId="56657" xr:uid="{00000000-0005-0000-0000-0000A4230000}"/>
    <cellStyle name="Normal 13 4 2 3 2 3" xfId="47090" xr:uid="{00000000-0005-0000-0000-0000A5230000}"/>
    <cellStyle name="Normal 13 4 2 3 2 4" xfId="30990" xr:uid="{00000000-0005-0000-0000-0000A6230000}"/>
    <cellStyle name="Normal 13 4 2 3 2 5" xfId="21421" xr:uid="{00000000-0005-0000-0000-0000A7230000}"/>
    <cellStyle name="Normal 13 4 2 3 3" xfId="11852" xr:uid="{00000000-0005-0000-0000-0000A8230000}"/>
    <cellStyle name="Normal 13 4 2 3 3 2" xfId="50126" xr:uid="{00000000-0005-0000-0000-0000A9230000}"/>
    <cellStyle name="Normal 13 4 2 3 3 3" xfId="34026" xr:uid="{00000000-0005-0000-0000-0000AA230000}"/>
    <cellStyle name="Normal 13 4 2 3 3 4" xfId="24457" xr:uid="{00000000-0005-0000-0000-0000AB230000}"/>
    <cellStyle name="Normal 13 4 2 3 4" xfId="5780" xr:uid="{00000000-0005-0000-0000-0000AC230000}"/>
    <cellStyle name="Normal 13 4 2 3 4 2" xfId="53621" xr:uid="{00000000-0005-0000-0000-0000AD230000}"/>
    <cellStyle name="Normal 13 4 2 3 4 3" xfId="37521" xr:uid="{00000000-0005-0000-0000-0000AE230000}"/>
    <cellStyle name="Normal 13 4 2 3 4 4" xfId="18385" xr:uid="{00000000-0005-0000-0000-0000AF230000}"/>
    <cellStyle name="Normal 13 4 2 3 5" xfId="44054" xr:uid="{00000000-0005-0000-0000-0000B0230000}"/>
    <cellStyle name="Normal 13 4 2 3 6" xfId="27954" xr:uid="{00000000-0005-0000-0000-0000B1230000}"/>
    <cellStyle name="Normal 13 4 2 3 7" xfId="14890" xr:uid="{00000000-0005-0000-0000-0000B2230000}"/>
    <cellStyle name="Normal 13 4 2 4" xfId="1494" xr:uid="{00000000-0005-0000-0000-0000B3230000}"/>
    <cellStyle name="Normal 13 4 2 4 2" xfId="8028" xr:uid="{00000000-0005-0000-0000-0000B4230000}"/>
    <cellStyle name="Normal 13 4 2 4 2 2" xfId="39769" xr:uid="{00000000-0005-0000-0000-0000B5230000}"/>
    <cellStyle name="Normal 13 4 2 4 2 2 2" xfId="55869" xr:uid="{00000000-0005-0000-0000-0000B6230000}"/>
    <cellStyle name="Normal 13 4 2 4 2 3" xfId="46302" xr:uid="{00000000-0005-0000-0000-0000B7230000}"/>
    <cellStyle name="Normal 13 4 2 4 2 4" xfId="30202" xr:uid="{00000000-0005-0000-0000-0000B8230000}"/>
    <cellStyle name="Normal 13 4 2 4 2 5" xfId="20633" xr:uid="{00000000-0005-0000-0000-0000B9230000}"/>
    <cellStyle name="Normal 13 4 2 4 3" xfId="11064" xr:uid="{00000000-0005-0000-0000-0000BA230000}"/>
    <cellStyle name="Normal 13 4 2 4 3 2" xfId="49338" xr:uid="{00000000-0005-0000-0000-0000BB230000}"/>
    <cellStyle name="Normal 13 4 2 4 3 3" xfId="33238" xr:uid="{00000000-0005-0000-0000-0000BC230000}"/>
    <cellStyle name="Normal 13 4 2 4 3 4" xfId="23669" xr:uid="{00000000-0005-0000-0000-0000BD230000}"/>
    <cellStyle name="Normal 13 4 2 4 4" xfId="4992" xr:uid="{00000000-0005-0000-0000-0000BE230000}"/>
    <cellStyle name="Normal 13 4 2 4 4 2" xfId="52833" xr:uid="{00000000-0005-0000-0000-0000BF230000}"/>
    <cellStyle name="Normal 13 4 2 4 4 3" xfId="36733" xr:uid="{00000000-0005-0000-0000-0000C0230000}"/>
    <cellStyle name="Normal 13 4 2 4 4 4" xfId="17597" xr:uid="{00000000-0005-0000-0000-0000C1230000}"/>
    <cellStyle name="Normal 13 4 2 4 5" xfId="43266" xr:uid="{00000000-0005-0000-0000-0000C2230000}"/>
    <cellStyle name="Normal 13 4 2 4 6" xfId="27166" xr:uid="{00000000-0005-0000-0000-0000C3230000}"/>
    <cellStyle name="Normal 13 4 2 4 7" xfId="14102" xr:uid="{00000000-0005-0000-0000-0000C4230000}"/>
    <cellStyle name="Normal 13 4 2 5" xfId="3982" xr:uid="{00000000-0005-0000-0000-0000C5230000}"/>
    <cellStyle name="Normal 13 4 2 5 2" xfId="35723" xr:uid="{00000000-0005-0000-0000-0000C6230000}"/>
    <cellStyle name="Normal 13 4 2 5 2 2" xfId="51823" xr:uid="{00000000-0005-0000-0000-0000C7230000}"/>
    <cellStyle name="Normal 13 4 2 5 3" xfId="42256" xr:uid="{00000000-0005-0000-0000-0000C8230000}"/>
    <cellStyle name="Normal 13 4 2 5 4" xfId="26156" xr:uid="{00000000-0005-0000-0000-0000C9230000}"/>
    <cellStyle name="Normal 13 4 2 5 5" xfId="16587" xr:uid="{00000000-0005-0000-0000-0000CA230000}"/>
    <cellStyle name="Normal 13 4 2 6" xfId="7018" xr:uid="{00000000-0005-0000-0000-0000CB230000}"/>
    <cellStyle name="Normal 13 4 2 6 2" xfId="38759" xr:uid="{00000000-0005-0000-0000-0000CC230000}"/>
    <cellStyle name="Normal 13 4 2 6 2 2" xfId="54859" xr:uid="{00000000-0005-0000-0000-0000CD230000}"/>
    <cellStyle name="Normal 13 4 2 6 3" xfId="45292" xr:uid="{00000000-0005-0000-0000-0000CE230000}"/>
    <cellStyle name="Normal 13 4 2 6 4" xfId="29192" xr:uid="{00000000-0005-0000-0000-0000CF230000}"/>
    <cellStyle name="Normal 13 4 2 6 5" xfId="19623" xr:uid="{00000000-0005-0000-0000-0000D0230000}"/>
    <cellStyle name="Normal 13 4 2 7" xfId="10054" xr:uid="{00000000-0005-0000-0000-0000D1230000}"/>
    <cellStyle name="Normal 13 4 2 7 2" xfId="48328" xr:uid="{00000000-0005-0000-0000-0000D2230000}"/>
    <cellStyle name="Normal 13 4 2 7 3" xfId="32228" xr:uid="{00000000-0005-0000-0000-0000D3230000}"/>
    <cellStyle name="Normal 13 4 2 7 4" xfId="22659" xr:uid="{00000000-0005-0000-0000-0000D4230000}"/>
    <cellStyle name="Normal 13 4 2 8" xfId="3425" xr:uid="{00000000-0005-0000-0000-0000D5230000}"/>
    <cellStyle name="Normal 13 4 2 8 2" xfId="51266" xr:uid="{00000000-0005-0000-0000-0000D6230000}"/>
    <cellStyle name="Normal 13 4 2 8 3" xfId="35166" xr:uid="{00000000-0005-0000-0000-0000D7230000}"/>
    <cellStyle name="Normal 13 4 2 8 4" xfId="16030" xr:uid="{00000000-0005-0000-0000-0000D8230000}"/>
    <cellStyle name="Normal 13 4 2 9" xfId="41699" xr:uid="{00000000-0005-0000-0000-0000D9230000}"/>
    <cellStyle name="Normal 13 4 3" xfId="538" xr:uid="{00000000-0005-0000-0000-0000DA230000}"/>
    <cellStyle name="Normal 13 4 3 2" xfId="2568" xr:uid="{00000000-0005-0000-0000-0000DB230000}"/>
    <cellStyle name="Normal 13 4 3 2 2" xfId="9100" xr:uid="{00000000-0005-0000-0000-0000DC230000}"/>
    <cellStyle name="Normal 13 4 3 2 2 2" xfId="40841" xr:uid="{00000000-0005-0000-0000-0000DD230000}"/>
    <cellStyle name="Normal 13 4 3 2 2 2 2" xfId="56941" xr:uid="{00000000-0005-0000-0000-0000DE230000}"/>
    <cellStyle name="Normal 13 4 3 2 2 3" xfId="47374" xr:uid="{00000000-0005-0000-0000-0000DF230000}"/>
    <cellStyle name="Normal 13 4 3 2 2 4" xfId="31274" xr:uid="{00000000-0005-0000-0000-0000E0230000}"/>
    <cellStyle name="Normal 13 4 3 2 2 5" xfId="21705" xr:uid="{00000000-0005-0000-0000-0000E1230000}"/>
    <cellStyle name="Normal 13 4 3 2 3" xfId="12136" xr:uid="{00000000-0005-0000-0000-0000E2230000}"/>
    <cellStyle name="Normal 13 4 3 2 3 2" xfId="50410" xr:uid="{00000000-0005-0000-0000-0000E3230000}"/>
    <cellStyle name="Normal 13 4 3 2 3 3" xfId="34310" xr:uid="{00000000-0005-0000-0000-0000E4230000}"/>
    <cellStyle name="Normal 13 4 3 2 3 4" xfId="24741" xr:uid="{00000000-0005-0000-0000-0000E5230000}"/>
    <cellStyle name="Normal 13 4 3 2 4" xfId="6064" xr:uid="{00000000-0005-0000-0000-0000E6230000}"/>
    <cellStyle name="Normal 13 4 3 2 4 2" xfId="53905" xr:uid="{00000000-0005-0000-0000-0000E7230000}"/>
    <cellStyle name="Normal 13 4 3 2 4 3" xfId="37805" xr:uid="{00000000-0005-0000-0000-0000E8230000}"/>
    <cellStyle name="Normal 13 4 3 2 4 4" xfId="18669" xr:uid="{00000000-0005-0000-0000-0000E9230000}"/>
    <cellStyle name="Normal 13 4 3 2 5" xfId="44338" xr:uid="{00000000-0005-0000-0000-0000EA230000}"/>
    <cellStyle name="Normal 13 4 3 2 6" xfId="28238" xr:uid="{00000000-0005-0000-0000-0000EB230000}"/>
    <cellStyle name="Normal 13 4 3 2 7" xfId="15174" xr:uid="{00000000-0005-0000-0000-0000EC230000}"/>
    <cellStyle name="Normal 13 4 3 3" xfId="1317" xr:uid="{00000000-0005-0000-0000-0000ED230000}"/>
    <cellStyle name="Normal 13 4 3 3 2" xfId="7851" xr:uid="{00000000-0005-0000-0000-0000EE230000}"/>
    <cellStyle name="Normal 13 4 3 3 2 2" xfId="39592" xr:uid="{00000000-0005-0000-0000-0000EF230000}"/>
    <cellStyle name="Normal 13 4 3 3 2 2 2" xfId="55692" xr:uid="{00000000-0005-0000-0000-0000F0230000}"/>
    <cellStyle name="Normal 13 4 3 3 2 3" xfId="46125" xr:uid="{00000000-0005-0000-0000-0000F1230000}"/>
    <cellStyle name="Normal 13 4 3 3 2 4" xfId="30025" xr:uid="{00000000-0005-0000-0000-0000F2230000}"/>
    <cellStyle name="Normal 13 4 3 3 2 5" xfId="20456" xr:uid="{00000000-0005-0000-0000-0000F3230000}"/>
    <cellStyle name="Normal 13 4 3 3 3" xfId="10887" xr:uid="{00000000-0005-0000-0000-0000F4230000}"/>
    <cellStyle name="Normal 13 4 3 3 3 2" xfId="49161" xr:uid="{00000000-0005-0000-0000-0000F5230000}"/>
    <cellStyle name="Normal 13 4 3 3 3 3" xfId="33061" xr:uid="{00000000-0005-0000-0000-0000F6230000}"/>
    <cellStyle name="Normal 13 4 3 3 3 4" xfId="23492" xr:uid="{00000000-0005-0000-0000-0000F7230000}"/>
    <cellStyle name="Normal 13 4 3 3 4" xfId="4815" xr:uid="{00000000-0005-0000-0000-0000F8230000}"/>
    <cellStyle name="Normal 13 4 3 3 4 2" xfId="52656" xr:uid="{00000000-0005-0000-0000-0000F9230000}"/>
    <cellStyle name="Normal 13 4 3 3 4 3" xfId="36556" xr:uid="{00000000-0005-0000-0000-0000FA230000}"/>
    <cellStyle name="Normal 13 4 3 3 4 4" xfId="17420" xr:uid="{00000000-0005-0000-0000-0000FB230000}"/>
    <cellStyle name="Normal 13 4 3 3 5" xfId="43089" xr:uid="{00000000-0005-0000-0000-0000FC230000}"/>
    <cellStyle name="Normal 13 4 3 3 6" xfId="26989" xr:uid="{00000000-0005-0000-0000-0000FD230000}"/>
    <cellStyle name="Normal 13 4 3 3 7" xfId="13925" xr:uid="{00000000-0005-0000-0000-0000FE230000}"/>
    <cellStyle name="Normal 13 4 3 4" xfId="6841" xr:uid="{00000000-0005-0000-0000-0000FF230000}"/>
    <cellStyle name="Normal 13 4 3 4 2" xfId="38582" xr:uid="{00000000-0005-0000-0000-000000240000}"/>
    <cellStyle name="Normal 13 4 3 4 2 2" xfId="54682" xr:uid="{00000000-0005-0000-0000-000001240000}"/>
    <cellStyle name="Normal 13 4 3 4 3" xfId="45115" xr:uid="{00000000-0005-0000-0000-000002240000}"/>
    <cellStyle name="Normal 13 4 3 4 4" xfId="29015" xr:uid="{00000000-0005-0000-0000-000003240000}"/>
    <cellStyle name="Normal 13 4 3 4 5" xfId="19446" xr:uid="{00000000-0005-0000-0000-000004240000}"/>
    <cellStyle name="Normal 13 4 3 5" xfId="9877" xr:uid="{00000000-0005-0000-0000-000005240000}"/>
    <cellStyle name="Normal 13 4 3 5 2" xfId="48151" xr:uid="{00000000-0005-0000-0000-000006240000}"/>
    <cellStyle name="Normal 13 4 3 5 3" xfId="32051" xr:uid="{00000000-0005-0000-0000-000007240000}"/>
    <cellStyle name="Normal 13 4 3 5 4" xfId="22482" xr:uid="{00000000-0005-0000-0000-000008240000}"/>
    <cellStyle name="Normal 13 4 3 6" xfId="3805" xr:uid="{00000000-0005-0000-0000-000009240000}"/>
    <cellStyle name="Normal 13 4 3 6 2" xfId="51646" xr:uid="{00000000-0005-0000-0000-00000A240000}"/>
    <cellStyle name="Normal 13 4 3 6 3" xfId="35546" xr:uid="{00000000-0005-0000-0000-00000B240000}"/>
    <cellStyle name="Normal 13 4 3 6 4" xfId="16410" xr:uid="{00000000-0005-0000-0000-00000C240000}"/>
    <cellStyle name="Normal 13 4 3 7" xfId="42079" xr:uid="{00000000-0005-0000-0000-00000D240000}"/>
    <cellStyle name="Normal 13 4 3 8" xfId="25979" xr:uid="{00000000-0005-0000-0000-00000E240000}"/>
    <cellStyle name="Normal 13 4 3 9" xfId="12915" xr:uid="{00000000-0005-0000-0000-00000F240000}"/>
    <cellStyle name="Normal 13 4 4" xfId="832" xr:uid="{00000000-0005-0000-0000-000010240000}"/>
    <cellStyle name="Normal 13 4 4 2" xfId="2860" xr:uid="{00000000-0005-0000-0000-000011240000}"/>
    <cellStyle name="Normal 13 4 4 2 2" xfId="9392" xr:uid="{00000000-0005-0000-0000-000012240000}"/>
    <cellStyle name="Normal 13 4 4 2 2 2" xfId="41133" xr:uid="{00000000-0005-0000-0000-000013240000}"/>
    <cellStyle name="Normal 13 4 4 2 2 2 2" xfId="57233" xr:uid="{00000000-0005-0000-0000-000014240000}"/>
    <cellStyle name="Normal 13 4 4 2 2 3" xfId="47666" xr:uid="{00000000-0005-0000-0000-000015240000}"/>
    <cellStyle name="Normal 13 4 4 2 2 4" xfId="31566" xr:uid="{00000000-0005-0000-0000-000016240000}"/>
    <cellStyle name="Normal 13 4 4 2 2 5" xfId="21997" xr:uid="{00000000-0005-0000-0000-000017240000}"/>
    <cellStyle name="Normal 13 4 4 2 3" xfId="12428" xr:uid="{00000000-0005-0000-0000-000018240000}"/>
    <cellStyle name="Normal 13 4 4 2 3 2" xfId="50702" xr:uid="{00000000-0005-0000-0000-000019240000}"/>
    <cellStyle name="Normal 13 4 4 2 3 3" xfId="34602" xr:uid="{00000000-0005-0000-0000-00001A240000}"/>
    <cellStyle name="Normal 13 4 4 2 3 4" xfId="25033" xr:uid="{00000000-0005-0000-0000-00001B240000}"/>
    <cellStyle name="Normal 13 4 4 2 4" xfId="6356" xr:uid="{00000000-0005-0000-0000-00001C240000}"/>
    <cellStyle name="Normal 13 4 4 2 4 2" xfId="54197" xr:uid="{00000000-0005-0000-0000-00001D240000}"/>
    <cellStyle name="Normal 13 4 4 2 4 3" xfId="38097" xr:uid="{00000000-0005-0000-0000-00001E240000}"/>
    <cellStyle name="Normal 13 4 4 2 4 4" xfId="18961" xr:uid="{00000000-0005-0000-0000-00001F240000}"/>
    <cellStyle name="Normal 13 4 4 2 5" xfId="44630" xr:uid="{00000000-0005-0000-0000-000020240000}"/>
    <cellStyle name="Normal 13 4 4 2 6" xfId="28530" xr:uid="{00000000-0005-0000-0000-000021240000}"/>
    <cellStyle name="Normal 13 4 4 2 7" xfId="15466" xr:uid="{00000000-0005-0000-0000-000022240000}"/>
    <cellStyle name="Normal 13 4 4 3" xfId="1842" xr:uid="{00000000-0005-0000-0000-000023240000}"/>
    <cellStyle name="Normal 13 4 4 3 2" xfId="8376" xr:uid="{00000000-0005-0000-0000-000024240000}"/>
    <cellStyle name="Normal 13 4 4 3 2 2" xfId="40117" xr:uid="{00000000-0005-0000-0000-000025240000}"/>
    <cellStyle name="Normal 13 4 4 3 2 2 2" xfId="56217" xr:uid="{00000000-0005-0000-0000-000026240000}"/>
    <cellStyle name="Normal 13 4 4 3 2 3" xfId="46650" xr:uid="{00000000-0005-0000-0000-000027240000}"/>
    <cellStyle name="Normal 13 4 4 3 2 4" xfId="30550" xr:uid="{00000000-0005-0000-0000-000028240000}"/>
    <cellStyle name="Normal 13 4 4 3 2 5" xfId="20981" xr:uid="{00000000-0005-0000-0000-000029240000}"/>
    <cellStyle name="Normal 13 4 4 3 3" xfId="11412" xr:uid="{00000000-0005-0000-0000-00002A240000}"/>
    <cellStyle name="Normal 13 4 4 3 3 2" xfId="49686" xr:uid="{00000000-0005-0000-0000-00002B240000}"/>
    <cellStyle name="Normal 13 4 4 3 3 3" xfId="33586" xr:uid="{00000000-0005-0000-0000-00002C240000}"/>
    <cellStyle name="Normal 13 4 4 3 3 4" xfId="24017" xr:uid="{00000000-0005-0000-0000-00002D240000}"/>
    <cellStyle name="Normal 13 4 4 3 4" xfId="5340" xr:uid="{00000000-0005-0000-0000-00002E240000}"/>
    <cellStyle name="Normal 13 4 4 3 4 2" xfId="53181" xr:uid="{00000000-0005-0000-0000-00002F240000}"/>
    <cellStyle name="Normal 13 4 4 3 4 3" xfId="37081" xr:uid="{00000000-0005-0000-0000-000030240000}"/>
    <cellStyle name="Normal 13 4 4 3 4 4" xfId="17945" xr:uid="{00000000-0005-0000-0000-000031240000}"/>
    <cellStyle name="Normal 13 4 4 3 5" xfId="43614" xr:uid="{00000000-0005-0000-0000-000032240000}"/>
    <cellStyle name="Normal 13 4 4 3 6" xfId="27514" xr:uid="{00000000-0005-0000-0000-000033240000}"/>
    <cellStyle name="Normal 13 4 4 3 7" xfId="14450" xr:uid="{00000000-0005-0000-0000-000034240000}"/>
    <cellStyle name="Normal 13 4 4 4" xfId="7366" xr:uid="{00000000-0005-0000-0000-000035240000}"/>
    <cellStyle name="Normal 13 4 4 4 2" xfId="39107" xr:uid="{00000000-0005-0000-0000-000036240000}"/>
    <cellStyle name="Normal 13 4 4 4 2 2" xfId="55207" xr:uid="{00000000-0005-0000-0000-000037240000}"/>
    <cellStyle name="Normal 13 4 4 4 3" xfId="45640" xr:uid="{00000000-0005-0000-0000-000038240000}"/>
    <cellStyle name="Normal 13 4 4 4 4" xfId="29540" xr:uid="{00000000-0005-0000-0000-000039240000}"/>
    <cellStyle name="Normal 13 4 4 4 5" xfId="19971" xr:uid="{00000000-0005-0000-0000-00003A240000}"/>
    <cellStyle name="Normal 13 4 4 5" xfId="10402" xr:uid="{00000000-0005-0000-0000-00003B240000}"/>
    <cellStyle name="Normal 13 4 4 5 2" xfId="48676" xr:uid="{00000000-0005-0000-0000-00003C240000}"/>
    <cellStyle name="Normal 13 4 4 5 3" xfId="32576" xr:uid="{00000000-0005-0000-0000-00003D240000}"/>
    <cellStyle name="Normal 13 4 4 5 4" xfId="23007" xr:uid="{00000000-0005-0000-0000-00003E240000}"/>
    <cellStyle name="Normal 13 4 4 6" xfId="4330" xr:uid="{00000000-0005-0000-0000-00003F240000}"/>
    <cellStyle name="Normal 13 4 4 6 2" xfId="52171" xr:uid="{00000000-0005-0000-0000-000040240000}"/>
    <cellStyle name="Normal 13 4 4 6 3" xfId="36071" xr:uid="{00000000-0005-0000-0000-000041240000}"/>
    <cellStyle name="Normal 13 4 4 6 4" xfId="16935" xr:uid="{00000000-0005-0000-0000-000042240000}"/>
    <cellStyle name="Normal 13 4 4 7" xfId="42604" xr:uid="{00000000-0005-0000-0000-000043240000}"/>
    <cellStyle name="Normal 13 4 4 8" xfId="26504" xr:uid="{00000000-0005-0000-0000-000044240000}"/>
    <cellStyle name="Normal 13 4 4 9" xfId="13440" xr:uid="{00000000-0005-0000-0000-000045240000}"/>
    <cellStyle name="Normal 13 4 5" xfId="2105" xr:uid="{00000000-0005-0000-0000-000046240000}"/>
    <cellStyle name="Normal 13 4 5 2" xfId="8639" xr:uid="{00000000-0005-0000-0000-000047240000}"/>
    <cellStyle name="Normal 13 4 5 2 2" xfId="40380" xr:uid="{00000000-0005-0000-0000-000048240000}"/>
    <cellStyle name="Normal 13 4 5 2 2 2" xfId="56480" xr:uid="{00000000-0005-0000-0000-000049240000}"/>
    <cellStyle name="Normal 13 4 5 2 3" xfId="46913" xr:uid="{00000000-0005-0000-0000-00004A240000}"/>
    <cellStyle name="Normal 13 4 5 2 4" xfId="30813" xr:uid="{00000000-0005-0000-0000-00004B240000}"/>
    <cellStyle name="Normal 13 4 5 2 5" xfId="21244" xr:uid="{00000000-0005-0000-0000-00004C240000}"/>
    <cellStyle name="Normal 13 4 5 3" xfId="11675" xr:uid="{00000000-0005-0000-0000-00004D240000}"/>
    <cellStyle name="Normal 13 4 5 3 2" xfId="49949" xr:uid="{00000000-0005-0000-0000-00004E240000}"/>
    <cellStyle name="Normal 13 4 5 3 3" xfId="33849" xr:uid="{00000000-0005-0000-0000-00004F240000}"/>
    <cellStyle name="Normal 13 4 5 3 4" xfId="24280" xr:uid="{00000000-0005-0000-0000-000050240000}"/>
    <cellStyle name="Normal 13 4 5 4" xfId="5603" xr:uid="{00000000-0005-0000-0000-000051240000}"/>
    <cellStyle name="Normal 13 4 5 4 2" xfId="53444" xr:uid="{00000000-0005-0000-0000-000052240000}"/>
    <cellStyle name="Normal 13 4 5 4 3" xfId="37344" xr:uid="{00000000-0005-0000-0000-000053240000}"/>
    <cellStyle name="Normal 13 4 5 4 4" xfId="18208" xr:uid="{00000000-0005-0000-0000-000054240000}"/>
    <cellStyle name="Normal 13 4 5 5" xfId="43877" xr:uid="{00000000-0005-0000-0000-000055240000}"/>
    <cellStyle name="Normal 13 4 5 6" xfId="27777" xr:uid="{00000000-0005-0000-0000-000056240000}"/>
    <cellStyle name="Normal 13 4 5 7" xfId="14713" xr:uid="{00000000-0005-0000-0000-000057240000}"/>
    <cellStyle name="Normal 13 4 6" xfId="1159" xr:uid="{00000000-0005-0000-0000-000058240000}"/>
    <cellStyle name="Normal 13 4 6 2" xfId="7693" xr:uid="{00000000-0005-0000-0000-000059240000}"/>
    <cellStyle name="Normal 13 4 6 2 2" xfId="39434" xr:uid="{00000000-0005-0000-0000-00005A240000}"/>
    <cellStyle name="Normal 13 4 6 2 2 2" xfId="55534" xr:uid="{00000000-0005-0000-0000-00005B240000}"/>
    <cellStyle name="Normal 13 4 6 2 3" xfId="45967" xr:uid="{00000000-0005-0000-0000-00005C240000}"/>
    <cellStyle name="Normal 13 4 6 2 4" xfId="29867" xr:uid="{00000000-0005-0000-0000-00005D240000}"/>
    <cellStyle name="Normal 13 4 6 2 5" xfId="20298" xr:uid="{00000000-0005-0000-0000-00005E240000}"/>
    <cellStyle name="Normal 13 4 6 3" xfId="10729" xr:uid="{00000000-0005-0000-0000-00005F240000}"/>
    <cellStyle name="Normal 13 4 6 3 2" xfId="49003" xr:uid="{00000000-0005-0000-0000-000060240000}"/>
    <cellStyle name="Normal 13 4 6 3 3" xfId="32903" xr:uid="{00000000-0005-0000-0000-000061240000}"/>
    <cellStyle name="Normal 13 4 6 3 4" xfId="23334" xr:uid="{00000000-0005-0000-0000-000062240000}"/>
    <cellStyle name="Normal 13 4 6 4" xfId="4657" xr:uid="{00000000-0005-0000-0000-000063240000}"/>
    <cellStyle name="Normal 13 4 6 4 2" xfId="52498" xr:uid="{00000000-0005-0000-0000-000064240000}"/>
    <cellStyle name="Normal 13 4 6 4 3" xfId="36398" xr:uid="{00000000-0005-0000-0000-000065240000}"/>
    <cellStyle name="Normal 13 4 6 4 4" xfId="17262" xr:uid="{00000000-0005-0000-0000-000066240000}"/>
    <cellStyle name="Normal 13 4 6 5" xfId="42931" xr:uid="{00000000-0005-0000-0000-000067240000}"/>
    <cellStyle name="Normal 13 4 6 6" xfId="26831" xr:uid="{00000000-0005-0000-0000-000068240000}"/>
    <cellStyle name="Normal 13 4 6 7" xfId="13767" xr:uid="{00000000-0005-0000-0000-000069240000}"/>
    <cellStyle name="Normal 13 4 7" xfId="3647" xr:uid="{00000000-0005-0000-0000-00006A240000}"/>
    <cellStyle name="Normal 13 4 7 2" xfId="35388" xr:uid="{00000000-0005-0000-0000-00006B240000}"/>
    <cellStyle name="Normal 13 4 7 2 2" xfId="51488" xr:uid="{00000000-0005-0000-0000-00006C240000}"/>
    <cellStyle name="Normal 13 4 7 3" xfId="41921" xr:uid="{00000000-0005-0000-0000-00006D240000}"/>
    <cellStyle name="Normal 13 4 7 4" xfId="25821" xr:uid="{00000000-0005-0000-0000-00006E240000}"/>
    <cellStyle name="Normal 13 4 7 5" xfId="16252" xr:uid="{00000000-0005-0000-0000-00006F240000}"/>
    <cellStyle name="Normal 13 4 8" xfId="6683" xr:uid="{00000000-0005-0000-0000-000070240000}"/>
    <cellStyle name="Normal 13 4 8 2" xfId="38424" xr:uid="{00000000-0005-0000-0000-000071240000}"/>
    <cellStyle name="Normal 13 4 8 2 2" xfId="54524" xr:uid="{00000000-0005-0000-0000-000072240000}"/>
    <cellStyle name="Normal 13 4 8 3" xfId="44957" xr:uid="{00000000-0005-0000-0000-000073240000}"/>
    <cellStyle name="Normal 13 4 8 4" xfId="28857" xr:uid="{00000000-0005-0000-0000-000074240000}"/>
    <cellStyle name="Normal 13 4 8 5" xfId="19288" xr:uid="{00000000-0005-0000-0000-000075240000}"/>
    <cellStyle name="Normal 13 4 9" xfId="9719" xr:uid="{00000000-0005-0000-0000-000076240000}"/>
    <cellStyle name="Normal 13 4 9 2" xfId="47993" xr:uid="{00000000-0005-0000-0000-000077240000}"/>
    <cellStyle name="Normal 13 4 9 3" xfId="31893" xr:uid="{00000000-0005-0000-0000-000078240000}"/>
    <cellStyle name="Normal 13 4 9 4" xfId="22324" xr:uid="{00000000-0005-0000-0000-000079240000}"/>
    <cellStyle name="Normal 13 5" xfId="157" xr:uid="{00000000-0005-0000-0000-00007A240000}"/>
    <cellStyle name="Normal 13 5 10" xfId="3204" xr:uid="{00000000-0005-0000-0000-00007B240000}"/>
    <cellStyle name="Normal 13 5 10 2" xfId="51046" xr:uid="{00000000-0005-0000-0000-00007C240000}"/>
    <cellStyle name="Normal 13 5 10 3" xfId="34946" xr:uid="{00000000-0005-0000-0000-00007D240000}"/>
    <cellStyle name="Normal 13 5 10 4" xfId="15810" xr:uid="{00000000-0005-0000-0000-00007E240000}"/>
    <cellStyle name="Normal 13 5 11" xfId="41479" xr:uid="{00000000-0005-0000-0000-00007F240000}"/>
    <cellStyle name="Normal 13 5 12" xfId="25379" xr:uid="{00000000-0005-0000-0000-000080240000}"/>
    <cellStyle name="Normal 13 5 13" xfId="12774" xr:uid="{00000000-0005-0000-0000-000081240000}"/>
    <cellStyle name="Normal 13 5 2" xfId="334" xr:uid="{00000000-0005-0000-0000-000082240000}"/>
    <cellStyle name="Normal 13 5 2 10" xfId="13163" xr:uid="{00000000-0005-0000-0000-000083240000}"/>
    <cellStyle name="Normal 13 5 2 2" xfId="2353" xr:uid="{00000000-0005-0000-0000-000084240000}"/>
    <cellStyle name="Normal 13 5 2 2 2" xfId="8887" xr:uid="{00000000-0005-0000-0000-000085240000}"/>
    <cellStyle name="Normal 13 5 2 2 2 2" xfId="40628" xr:uid="{00000000-0005-0000-0000-000086240000}"/>
    <cellStyle name="Normal 13 5 2 2 2 2 2" xfId="56728" xr:uid="{00000000-0005-0000-0000-000087240000}"/>
    <cellStyle name="Normal 13 5 2 2 2 3" xfId="47161" xr:uid="{00000000-0005-0000-0000-000088240000}"/>
    <cellStyle name="Normal 13 5 2 2 2 4" xfId="31061" xr:uid="{00000000-0005-0000-0000-000089240000}"/>
    <cellStyle name="Normal 13 5 2 2 2 5" xfId="21492" xr:uid="{00000000-0005-0000-0000-00008A240000}"/>
    <cellStyle name="Normal 13 5 2 2 3" xfId="11923" xr:uid="{00000000-0005-0000-0000-00008B240000}"/>
    <cellStyle name="Normal 13 5 2 2 3 2" xfId="50197" xr:uid="{00000000-0005-0000-0000-00008C240000}"/>
    <cellStyle name="Normal 13 5 2 2 3 3" xfId="34097" xr:uid="{00000000-0005-0000-0000-00008D240000}"/>
    <cellStyle name="Normal 13 5 2 2 3 4" xfId="24528" xr:uid="{00000000-0005-0000-0000-00008E240000}"/>
    <cellStyle name="Normal 13 5 2 2 4" xfId="5851" xr:uid="{00000000-0005-0000-0000-00008F240000}"/>
    <cellStyle name="Normal 13 5 2 2 4 2" xfId="53692" xr:uid="{00000000-0005-0000-0000-000090240000}"/>
    <cellStyle name="Normal 13 5 2 2 4 3" xfId="37592" xr:uid="{00000000-0005-0000-0000-000091240000}"/>
    <cellStyle name="Normal 13 5 2 2 4 4" xfId="18456" xr:uid="{00000000-0005-0000-0000-000092240000}"/>
    <cellStyle name="Normal 13 5 2 2 5" xfId="44125" xr:uid="{00000000-0005-0000-0000-000093240000}"/>
    <cellStyle name="Normal 13 5 2 2 6" xfId="28025" xr:uid="{00000000-0005-0000-0000-000094240000}"/>
    <cellStyle name="Normal 13 5 2 2 7" xfId="14961" xr:uid="{00000000-0005-0000-0000-000095240000}"/>
    <cellStyle name="Normal 13 5 2 3" xfId="1565" xr:uid="{00000000-0005-0000-0000-000096240000}"/>
    <cellStyle name="Normal 13 5 2 3 2" xfId="8099" xr:uid="{00000000-0005-0000-0000-000097240000}"/>
    <cellStyle name="Normal 13 5 2 3 2 2" xfId="39840" xr:uid="{00000000-0005-0000-0000-000098240000}"/>
    <cellStyle name="Normal 13 5 2 3 2 2 2" xfId="55940" xr:uid="{00000000-0005-0000-0000-000099240000}"/>
    <cellStyle name="Normal 13 5 2 3 2 3" xfId="46373" xr:uid="{00000000-0005-0000-0000-00009A240000}"/>
    <cellStyle name="Normal 13 5 2 3 2 4" xfId="30273" xr:uid="{00000000-0005-0000-0000-00009B240000}"/>
    <cellStyle name="Normal 13 5 2 3 2 5" xfId="20704" xr:uid="{00000000-0005-0000-0000-00009C240000}"/>
    <cellStyle name="Normal 13 5 2 3 3" xfId="11135" xr:uid="{00000000-0005-0000-0000-00009D240000}"/>
    <cellStyle name="Normal 13 5 2 3 3 2" xfId="49409" xr:uid="{00000000-0005-0000-0000-00009E240000}"/>
    <cellStyle name="Normal 13 5 2 3 3 3" xfId="33309" xr:uid="{00000000-0005-0000-0000-00009F240000}"/>
    <cellStyle name="Normal 13 5 2 3 3 4" xfId="23740" xr:uid="{00000000-0005-0000-0000-0000A0240000}"/>
    <cellStyle name="Normal 13 5 2 3 4" xfId="5063" xr:uid="{00000000-0005-0000-0000-0000A1240000}"/>
    <cellStyle name="Normal 13 5 2 3 4 2" xfId="52904" xr:uid="{00000000-0005-0000-0000-0000A2240000}"/>
    <cellStyle name="Normal 13 5 2 3 4 3" xfId="36804" xr:uid="{00000000-0005-0000-0000-0000A3240000}"/>
    <cellStyle name="Normal 13 5 2 3 4 4" xfId="17668" xr:uid="{00000000-0005-0000-0000-0000A4240000}"/>
    <cellStyle name="Normal 13 5 2 3 5" xfId="43337" xr:uid="{00000000-0005-0000-0000-0000A5240000}"/>
    <cellStyle name="Normal 13 5 2 3 6" xfId="27237" xr:uid="{00000000-0005-0000-0000-0000A6240000}"/>
    <cellStyle name="Normal 13 5 2 3 7" xfId="14173" xr:uid="{00000000-0005-0000-0000-0000A7240000}"/>
    <cellStyle name="Normal 13 5 2 4" xfId="4053" xr:uid="{00000000-0005-0000-0000-0000A8240000}"/>
    <cellStyle name="Normal 13 5 2 4 2" xfId="35794" xr:uid="{00000000-0005-0000-0000-0000A9240000}"/>
    <cellStyle name="Normal 13 5 2 4 2 2" xfId="51894" xr:uid="{00000000-0005-0000-0000-0000AA240000}"/>
    <cellStyle name="Normal 13 5 2 4 3" xfId="42327" xr:uid="{00000000-0005-0000-0000-0000AB240000}"/>
    <cellStyle name="Normal 13 5 2 4 4" xfId="26227" xr:uid="{00000000-0005-0000-0000-0000AC240000}"/>
    <cellStyle name="Normal 13 5 2 4 5" xfId="16658" xr:uid="{00000000-0005-0000-0000-0000AD240000}"/>
    <cellStyle name="Normal 13 5 2 5" xfId="7089" xr:uid="{00000000-0005-0000-0000-0000AE240000}"/>
    <cellStyle name="Normal 13 5 2 5 2" xfId="38830" xr:uid="{00000000-0005-0000-0000-0000AF240000}"/>
    <cellStyle name="Normal 13 5 2 5 2 2" xfId="54930" xr:uid="{00000000-0005-0000-0000-0000B0240000}"/>
    <cellStyle name="Normal 13 5 2 5 3" xfId="45363" xr:uid="{00000000-0005-0000-0000-0000B1240000}"/>
    <cellStyle name="Normal 13 5 2 5 4" xfId="29263" xr:uid="{00000000-0005-0000-0000-0000B2240000}"/>
    <cellStyle name="Normal 13 5 2 5 5" xfId="19694" xr:uid="{00000000-0005-0000-0000-0000B3240000}"/>
    <cellStyle name="Normal 13 5 2 6" xfId="10125" xr:uid="{00000000-0005-0000-0000-0000B4240000}"/>
    <cellStyle name="Normal 13 5 2 6 2" xfId="48399" xr:uid="{00000000-0005-0000-0000-0000B5240000}"/>
    <cellStyle name="Normal 13 5 2 6 3" xfId="32299" xr:uid="{00000000-0005-0000-0000-0000B6240000}"/>
    <cellStyle name="Normal 13 5 2 6 4" xfId="22730" xr:uid="{00000000-0005-0000-0000-0000B7240000}"/>
    <cellStyle name="Normal 13 5 2 7" xfId="3442" xr:uid="{00000000-0005-0000-0000-0000B8240000}"/>
    <cellStyle name="Normal 13 5 2 7 2" xfId="51283" xr:uid="{00000000-0005-0000-0000-0000B9240000}"/>
    <cellStyle name="Normal 13 5 2 7 3" xfId="35183" xr:uid="{00000000-0005-0000-0000-0000BA240000}"/>
    <cellStyle name="Normal 13 5 2 7 4" xfId="16047" xr:uid="{00000000-0005-0000-0000-0000BB240000}"/>
    <cellStyle name="Normal 13 5 2 8" xfId="41716" xr:uid="{00000000-0005-0000-0000-0000BC240000}"/>
    <cellStyle name="Normal 13 5 2 9" xfId="25616" xr:uid="{00000000-0005-0000-0000-0000BD240000}"/>
    <cellStyle name="Normal 13 5 3" xfId="592" xr:uid="{00000000-0005-0000-0000-0000BE240000}"/>
    <cellStyle name="Normal 13 5 3 2" xfId="2620" xr:uid="{00000000-0005-0000-0000-0000BF240000}"/>
    <cellStyle name="Normal 13 5 3 2 2" xfId="9152" xr:uid="{00000000-0005-0000-0000-0000C0240000}"/>
    <cellStyle name="Normal 13 5 3 2 2 2" xfId="40893" xr:uid="{00000000-0005-0000-0000-0000C1240000}"/>
    <cellStyle name="Normal 13 5 3 2 2 2 2" xfId="56993" xr:uid="{00000000-0005-0000-0000-0000C2240000}"/>
    <cellStyle name="Normal 13 5 3 2 2 3" xfId="47426" xr:uid="{00000000-0005-0000-0000-0000C3240000}"/>
    <cellStyle name="Normal 13 5 3 2 2 4" xfId="31326" xr:uid="{00000000-0005-0000-0000-0000C4240000}"/>
    <cellStyle name="Normal 13 5 3 2 2 5" xfId="21757" xr:uid="{00000000-0005-0000-0000-0000C5240000}"/>
    <cellStyle name="Normal 13 5 3 2 3" xfId="12188" xr:uid="{00000000-0005-0000-0000-0000C6240000}"/>
    <cellStyle name="Normal 13 5 3 2 3 2" xfId="50462" xr:uid="{00000000-0005-0000-0000-0000C7240000}"/>
    <cellStyle name="Normal 13 5 3 2 3 3" xfId="34362" xr:uid="{00000000-0005-0000-0000-0000C8240000}"/>
    <cellStyle name="Normal 13 5 3 2 3 4" xfId="24793" xr:uid="{00000000-0005-0000-0000-0000C9240000}"/>
    <cellStyle name="Normal 13 5 3 2 4" xfId="6116" xr:uid="{00000000-0005-0000-0000-0000CA240000}"/>
    <cellStyle name="Normal 13 5 3 2 4 2" xfId="53957" xr:uid="{00000000-0005-0000-0000-0000CB240000}"/>
    <cellStyle name="Normal 13 5 3 2 4 3" xfId="37857" xr:uid="{00000000-0005-0000-0000-0000CC240000}"/>
    <cellStyle name="Normal 13 5 3 2 4 4" xfId="18721" xr:uid="{00000000-0005-0000-0000-0000CD240000}"/>
    <cellStyle name="Normal 13 5 3 2 5" xfId="44390" xr:uid="{00000000-0005-0000-0000-0000CE240000}"/>
    <cellStyle name="Normal 13 5 3 2 6" xfId="28290" xr:uid="{00000000-0005-0000-0000-0000CF240000}"/>
    <cellStyle name="Normal 13 5 3 2 7" xfId="15226" xr:uid="{00000000-0005-0000-0000-0000D0240000}"/>
    <cellStyle name="Normal 13 5 3 3" xfId="1388" xr:uid="{00000000-0005-0000-0000-0000D1240000}"/>
    <cellStyle name="Normal 13 5 3 3 2" xfId="7922" xr:uid="{00000000-0005-0000-0000-0000D2240000}"/>
    <cellStyle name="Normal 13 5 3 3 2 2" xfId="39663" xr:uid="{00000000-0005-0000-0000-0000D3240000}"/>
    <cellStyle name="Normal 13 5 3 3 2 2 2" xfId="55763" xr:uid="{00000000-0005-0000-0000-0000D4240000}"/>
    <cellStyle name="Normal 13 5 3 3 2 3" xfId="46196" xr:uid="{00000000-0005-0000-0000-0000D5240000}"/>
    <cellStyle name="Normal 13 5 3 3 2 4" xfId="30096" xr:uid="{00000000-0005-0000-0000-0000D6240000}"/>
    <cellStyle name="Normal 13 5 3 3 2 5" xfId="20527" xr:uid="{00000000-0005-0000-0000-0000D7240000}"/>
    <cellStyle name="Normal 13 5 3 3 3" xfId="10958" xr:uid="{00000000-0005-0000-0000-0000D8240000}"/>
    <cellStyle name="Normal 13 5 3 3 3 2" xfId="49232" xr:uid="{00000000-0005-0000-0000-0000D9240000}"/>
    <cellStyle name="Normal 13 5 3 3 3 3" xfId="33132" xr:uid="{00000000-0005-0000-0000-0000DA240000}"/>
    <cellStyle name="Normal 13 5 3 3 3 4" xfId="23563" xr:uid="{00000000-0005-0000-0000-0000DB240000}"/>
    <cellStyle name="Normal 13 5 3 3 4" xfId="4886" xr:uid="{00000000-0005-0000-0000-0000DC240000}"/>
    <cellStyle name="Normal 13 5 3 3 4 2" xfId="52727" xr:uid="{00000000-0005-0000-0000-0000DD240000}"/>
    <cellStyle name="Normal 13 5 3 3 4 3" xfId="36627" xr:uid="{00000000-0005-0000-0000-0000DE240000}"/>
    <cellStyle name="Normal 13 5 3 3 4 4" xfId="17491" xr:uid="{00000000-0005-0000-0000-0000DF240000}"/>
    <cellStyle name="Normal 13 5 3 3 5" xfId="43160" xr:uid="{00000000-0005-0000-0000-0000E0240000}"/>
    <cellStyle name="Normal 13 5 3 3 6" xfId="27060" xr:uid="{00000000-0005-0000-0000-0000E1240000}"/>
    <cellStyle name="Normal 13 5 3 3 7" xfId="13996" xr:uid="{00000000-0005-0000-0000-0000E2240000}"/>
    <cellStyle name="Normal 13 5 3 4" xfId="6912" xr:uid="{00000000-0005-0000-0000-0000E3240000}"/>
    <cellStyle name="Normal 13 5 3 4 2" xfId="38653" xr:uid="{00000000-0005-0000-0000-0000E4240000}"/>
    <cellStyle name="Normal 13 5 3 4 2 2" xfId="54753" xr:uid="{00000000-0005-0000-0000-0000E5240000}"/>
    <cellStyle name="Normal 13 5 3 4 3" xfId="45186" xr:uid="{00000000-0005-0000-0000-0000E6240000}"/>
    <cellStyle name="Normal 13 5 3 4 4" xfId="29086" xr:uid="{00000000-0005-0000-0000-0000E7240000}"/>
    <cellStyle name="Normal 13 5 3 4 5" xfId="19517" xr:uid="{00000000-0005-0000-0000-0000E8240000}"/>
    <cellStyle name="Normal 13 5 3 5" xfId="9948" xr:uid="{00000000-0005-0000-0000-0000E9240000}"/>
    <cellStyle name="Normal 13 5 3 5 2" xfId="48222" xr:uid="{00000000-0005-0000-0000-0000EA240000}"/>
    <cellStyle name="Normal 13 5 3 5 3" xfId="32122" xr:uid="{00000000-0005-0000-0000-0000EB240000}"/>
    <cellStyle name="Normal 13 5 3 5 4" xfId="22553" xr:uid="{00000000-0005-0000-0000-0000EC240000}"/>
    <cellStyle name="Normal 13 5 3 6" xfId="3876" xr:uid="{00000000-0005-0000-0000-0000ED240000}"/>
    <cellStyle name="Normal 13 5 3 6 2" xfId="51717" xr:uid="{00000000-0005-0000-0000-0000EE240000}"/>
    <cellStyle name="Normal 13 5 3 6 3" xfId="35617" xr:uid="{00000000-0005-0000-0000-0000EF240000}"/>
    <cellStyle name="Normal 13 5 3 6 4" xfId="16481" xr:uid="{00000000-0005-0000-0000-0000F0240000}"/>
    <cellStyle name="Normal 13 5 3 7" xfId="42150" xr:uid="{00000000-0005-0000-0000-0000F1240000}"/>
    <cellStyle name="Normal 13 5 3 8" xfId="26050" xr:uid="{00000000-0005-0000-0000-0000F2240000}"/>
    <cellStyle name="Normal 13 5 3 9" xfId="12986" xr:uid="{00000000-0005-0000-0000-0000F3240000}"/>
    <cellStyle name="Normal 13 5 4" xfId="849" xr:uid="{00000000-0005-0000-0000-0000F4240000}"/>
    <cellStyle name="Normal 13 5 4 2" xfId="2877" xr:uid="{00000000-0005-0000-0000-0000F5240000}"/>
    <cellStyle name="Normal 13 5 4 2 2" xfId="9409" xr:uid="{00000000-0005-0000-0000-0000F6240000}"/>
    <cellStyle name="Normal 13 5 4 2 2 2" xfId="41150" xr:uid="{00000000-0005-0000-0000-0000F7240000}"/>
    <cellStyle name="Normal 13 5 4 2 2 2 2" xfId="57250" xr:uid="{00000000-0005-0000-0000-0000F8240000}"/>
    <cellStyle name="Normal 13 5 4 2 2 3" xfId="47683" xr:uid="{00000000-0005-0000-0000-0000F9240000}"/>
    <cellStyle name="Normal 13 5 4 2 2 4" xfId="31583" xr:uid="{00000000-0005-0000-0000-0000FA240000}"/>
    <cellStyle name="Normal 13 5 4 2 2 5" xfId="22014" xr:uid="{00000000-0005-0000-0000-0000FB240000}"/>
    <cellStyle name="Normal 13 5 4 2 3" xfId="12445" xr:uid="{00000000-0005-0000-0000-0000FC240000}"/>
    <cellStyle name="Normal 13 5 4 2 3 2" xfId="50719" xr:uid="{00000000-0005-0000-0000-0000FD240000}"/>
    <cellStyle name="Normal 13 5 4 2 3 3" xfId="34619" xr:uid="{00000000-0005-0000-0000-0000FE240000}"/>
    <cellStyle name="Normal 13 5 4 2 3 4" xfId="25050" xr:uid="{00000000-0005-0000-0000-0000FF240000}"/>
    <cellStyle name="Normal 13 5 4 2 4" xfId="6373" xr:uid="{00000000-0005-0000-0000-000000250000}"/>
    <cellStyle name="Normal 13 5 4 2 4 2" xfId="54214" xr:uid="{00000000-0005-0000-0000-000001250000}"/>
    <cellStyle name="Normal 13 5 4 2 4 3" xfId="38114" xr:uid="{00000000-0005-0000-0000-000002250000}"/>
    <cellStyle name="Normal 13 5 4 2 4 4" xfId="18978" xr:uid="{00000000-0005-0000-0000-000003250000}"/>
    <cellStyle name="Normal 13 5 4 2 5" xfId="44647" xr:uid="{00000000-0005-0000-0000-000004250000}"/>
    <cellStyle name="Normal 13 5 4 2 6" xfId="28547" xr:uid="{00000000-0005-0000-0000-000005250000}"/>
    <cellStyle name="Normal 13 5 4 2 7" xfId="15483" xr:uid="{00000000-0005-0000-0000-000006250000}"/>
    <cellStyle name="Normal 13 5 4 3" xfId="1859" xr:uid="{00000000-0005-0000-0000-000007250000}"/>
    <cellStyle name="Normal 13 5 4 3 2" xfId="8393" xr:uid="{00000000-0005-0000-0000-000008250000}"/>
    <cellStyle name="Normal 13 5 4 3 2 2" xfId="40134" xr:uid="{00000000-0005-0000-0000-000009250000}"/>
    <cellStyle name="Normal 13 5 4 3 2 2 2" xfId="56234" xr:uid="{00000000-0005-0000-0000-00000A250000}"/>
    <cellStyle name="Normal 13 5 4 3 2 3" xfId="46667" xr:uid="{00000000-0005-0000-0000-00000B250000}"/>
    <cellStyle name="Normal 13 5 4 3 2 4" xfId="30567" xr:uid="{00000000-0005-0000-0000-00000C250000}"/>
    <cellStyle name="Normal 13 5 4 3 2 5" xfId="20998" xr:uid="{00000000-0005-0000-0000-00000D250000}"/>
    <cellStyle name="Normal 13 5 4 3 3" xfId="11429" xr:uid="{00000000-0005-0000-0000-00000E250000}"/>
    <cellStyle name="Normal 13 5 4 3 3 2" xfId="49703" xr:uid="{00000000-0005-0000-0000-00000F250000}"/>
    <cellStyle name="Normal 13 5 4 3 3 3" xfId="33603" xr:uid="{00000000-0005-0000-0000-000010250000}"/>
    <cellStyle name="Normal 13 5 4 3 3 4" xfId="24034" xr:uid="{00000000-0005-0000-0000-000011250000}"/>
    <cellStyle name="Normal 13 5 4 3 4" xfId="5357" xr:uid="{00000000-0005-0000-0000-000012250000}"/>
    <cellStyle name="Normal 13 5 4 3 4 2" xfId="53198" xr:uid="{00000000-0005-0000-0000-000013250000}"/>
    <cellStyle name="Normal 13 5 4 3 4 3" xfId="37098" xr:uid="{00000000-0005-0000-0000-000014250000}"/>
    <cellStyle name="Normal 13 5 4 3 4 4" xfId="17962" xr:uid="{00000000-0005-0000-0000-000015250000}"/>
    <cellStyle name="Normal 13 5 4 3 5" xfId="43631" xr:uid="{00000000-0005-0000-0000-000016250000}"/>
    <cellStyle name="Normal 13 5 4 3 6" xfId="27531" xr:uid="{00000000-0005-0000-0000-000017250000}"/>
    <cellStyle name="Normal 13 5 4 3 7" xfId="14467" xr:uid="{00000000-0005-0000-0000-000018250000}"/>
    <cellStyle name="Normal 13 5 4 4" xfId="7383" xr:uid="{00000000-0005-0000-0000-000019250000}"/>
    <cellStyle name="Normal 13 5 4 4 2" xfId="39124" xr:uid="{00000000-0005-0000-0000-00001A250000}"/>
    <cellStyle name="Normal 13 5 4 4 2 2" xfId="55224" xr:uid="{00000000-0005-0000-0000-00001B250000}"/>
    <cellStyle name="Normal 13 5 4 4 3" xfId="45657" xr:uid="{00000000-0005-0000-0000-00001C250000}"/>
    <cellStyle name="Normal 13 5 4 4 4" xfId="29557" xr:uid="{00000000-0005-0000-0000-00001D250000}"/>
    <cellStyle name="Normal 13 5 4 4 5" xfId="19988" xr:uid="{00000000-0005-0000-0000-00001E250000}"/>
    <cellStyle name="Normal 13 5 4 5" xfId="10419" xr:uid="{00000000-0005-0000-0000-00001F250000}"/>
    <cellStyle name="Normal 13 5 4 5 2" xfId="48693" xr:uid="{00000000-0005-0000-0000-000020250000}"/>
    <cellStyle name="Normal 13 5 4 5 3" xfId="32593" xr:uid="{00000000-0005-0000-0000-000021250000}"/>
    <cellStyle name="Normal 13 5 4 5 4" xfId="23024" xr:uid="{00000000-0005-0000-0000-000022250000}"/>
    <cellStyle name="Normal 13 5 4 6" xfId="4347" xr:uid="{00000000-0005-0000-0000-000023250000}"/>
    <cellStyle name="Normal 13 5 4 6 2" xfId="52188" xr:uid="{00000000-0005-0000-0000-000024250000}"/>
    <cellStyle name="Normal 13 5 4 6 3" xfId="36088" xr:uid="{00000000-0005-0000-0000-000025250000}"/>
    <cellStyle name="Normal 13 5 4 6 4" xfId="16952" xr:uid="{00000000-0005-0000-0000-000026250000}"/>
    <cellStyle name="Normal 13 5 4 7" xfId="42621" xr:uid="{00000000-0005-0000-0000-000027250000}"/>
    <cellStyle name="Normal 13 5 4 8" xfId="26521" xr:uid="{00000000-0005-0000-0000-000028250000}"/>
    <cellStyle name="Normal 13 5 4 9" xfId="13457" xr:uid="{00000000-0005-0000-0000-000029250000}"/>
    <cellStyle name="Normal 13 5 5" xfId="2176" xr:uid="{00000000-0005-0000-0000-00002A250000}"/>
    <cellStyle name="Normal 13 5 5 2" xfId="8710" xr:uid="{00000000-0005-0000-0000-00002B250000}"/>
    <cellStyle name="Normal 13 5 5 2 2" xfId="40451" xr:uid="{00000000-0005-0000-0000-00002C250000}"/>
    <cellStyle name="Normal 13 5 5 2 2 2" xfId="56551" xr:uid="{00000000-0005-0000-0000-00002D250000}"/>
    <cellStyle name="Normal 13 5 5 2 3" xfId="46984" xr:uid="{00000000-0005-0000-0000-00002E250000}"/>
    <cellStyle name="Normal 13 5 5 2 4" xfId="30884" xr:uid="{00000000-0005-0000-0000-00002F250000}"/>
    <cellStyle name="Normal 13 5 5 2 5" xfId="21315" xr:uid="{00000000-0005-0000-0000-000030250000}"/>
    <cellStyle name="Normal 13 5 5 3" xfId="11746" xr:uid="{00000000-0005-0000-0000-000031250000}"/>
    <cellStyle name="Normal 13 5 5 3 2" xfId="50020" xr:uid="{00000000-0005-0000-0000-000032250000}"/>
    <cellStyle name="Normal 13 5 5 3 3" xfId="33920" xr:uid="{00000000-0005-0000-0000-000033250000}"/>
    <cellStyle name="Normal 13 5 5 3 4" xfId="24351" xr:uid="{00000000-0005-0000-0000-000034250000}"/>
    <cellStyle name="Normal 13 5 5 4" xfId="5674" xr:uid="{00000000-0005-0000-0000-000035250000}"/>
    <cellStyle name="Normal 13 5 5 4 2" xfId="53515" xr:uid="{00000000-0005-0000-0000-000036250000}"/>
    <cellStyle name="Normal 13 5 5 4 3" xfId="37415" xr:uid="{00000000-0005-0000-0000-000037250000}"/>
    <cellStyle name="Normal 13 5 5 4 4" xfId="18279" xr:uid="{00000000-0005-0000-0000-000038250000}"/>
    <cellStyle name="Normal 13 5 5 5" xfId="43948" xr:uid="{00000000-0005-0000-0000-000039250000}"/>
    <cellStyle name="Normal 13 5 5 6" xfId="27848" xr:uid="{00000000-0005-0000-0000-00003A250000}"/>
    <cellStyle name="Normal 13 5 5 7" xfId="14784" xr:uid="{00000000-0005-0000-0000-00003B250000}"/>
    <cellStyle name="Normal 13 5 6" xfId="1176" xr:uid="{00000000-0005-0000-0000-00003C250000}"/>
    <cellStyle name="Normal 13 5 6 2" xfId="7710" xr:uid="{00000000-0005-0000-0000-00003D250000}"/>
    <cellStyle name="Normal 13 5 6 2 2" xfId="39451" xr:uid="{00000000-0005-0000-0000-00003E250000}"/>
    <cellStyle name="Normal 13 5 6 2 2 2" xfId="55551" xr:uid="{00000000-0005-0000-0000-00003F250000}"/>
    <cellStyle name="Normal 13 5 6 2 3" xfId="45984" xr:uid="{00000000-0005-0000-0000-000040250000}"/>
    <cellStyle name="Normal 13 5 6 2 4" xfId="29884" xr:uid="{00000000-0005-0000-0000-000041250000}"/>
    <cellStyle name="Normal 13 5 6 2 5" xfId="20315" xr:uid="{00000000-0005-0000-0000-000042250000}"/>
    <cellStyle name="Normal 13 5 6 3" xfId="10746" xr:uid="{00000000-0005-0000-0000-000043250000}"/>
    <cellStyle name="Normal 13 5 6 3 2" xfId="49020" xr:uid="{00000000-0005-0000-0000-000044250000}"/>
    <cellStyle name="Normal 13 5 6 3 3" xfId="32920" xr:uid="{00000000-0005-0000-0000-000045250000}"/>
    <cellStyle name="Normal 13 5 6 3 4" xfId="23351" xr:uid="{00000000-0005-0000-0000-000046250000}"/>
    <cellStyle name="Normal 13 5 6 4" xfId="4674" xr:uid="{00000000-0005-0000-0000-000047250000}"/>
    <cellStyle name="Normal 13 5 6 4 2" xfId="52515" xr:uid="{00000000-0005-0000-0000-000048250000}"/>
    <cellStyle name="Normal 13 5 6 4 3" xfId="36415" xr:uid="{00000000-0005-0000-0000-000049250000}"/>
    <cellStyle name="Normal 13 5 6 4 4" xfId="17279" xr:uid="{00000000-0005-0000-0000-00004A250000}"/>
    <cellStyle name="Normal 13 5 6 5" xfId="42948" xr:uid="{00000000-0005-0000-0000-00004B250000}"/>
    <cellStyle name="Normal 13 5 6 6" xfId="26848" xr:uid="{00000000-0005-0000-0000-00004C250000}"/>
    <cellStyle name="Normal 13 5 6 7" xfId="13784" xr:uid="{00000000-0005-0000-0000-00004D250000}"/>
    <cellStyle name="Normal 13 5 7" xfId="3664" xr:uid="{00000000-0005-0000-0000-00004E250000}"/>
    <cellStyle name="Normal 13 5 7 2" xfId="35405" xr:uid="{00000000-0005-0000-0000-00004F250000}"/>
    <cellStyle name="Normal 13 5 7 2 2" xfId="51505" xr:uid="{00000000-0005-0000-0000-000050250000}"/>
    <cellStyle name="Normal 13 5 7 3" xfId="41938" xr:uid="{00000000-0005-0000-0000-000051250000}"/>
    <cellStyle name="Normal 13 5 7 4" xfId="25838" xr:uid="{00000000-0005-0000-0000-000052250000}"/>
    <cellStyle name="Normal 13 5 7 5" xfId="16269" xr:uid="{00000000-0005-0000-0000-000053250000}"/>
    <cellStyle name="Normal 13 5 8" xfId="6700" xr:uid="{00000000-0005-0000-0000-000054250000}"/>
    <cellStyle name="Normal 13 5 8 2" xfId="38441" xr:uid="{00000000-0005-0000-0000-000055250000}"/>
    <cellStyle name="Normal 13 5 8 2 2" xfId="54541" xr:uid="{00000000-0005-0000-0000-000056250000}"/>
    <cellStyle name="Normal 13 5 8 3" xfId="44974" xr:uid="{00000000-0005-0000-0000-000057250000}"/>
    <cellStyle name="Normal 13 5 8 4" xfId="28874" xr:uid="{00000000-0005-0000-0000-000058250000}"/>
    <cellStyle name="Normal 13 5 8 5" xfId="19305" xr:uid="{00000000-0005-0000-0000-000059250000}"/>
    <cellStyle name="Normal 13 5 9" xfId="9736" xr:uid="{00000000-0005-0000-0000-00005A250000}"/>
    <cellStyle name="Normal 13 5 9 2" xfId="48010" xr:uid="{00000000-0005-0000-0000-00005B250000}"/>
    <cellStyle name="Normal 13 5 9 3" xfId="31910" xr:uid="{00000000-0005-0000-0000-00005C250000}"/>
    <cellStyle name="Normal 13 5 9 4" xfId="22341" xr:uid="{00000000-0005-0000-0000-00005D250000}"/>
    <cellStyle name="Normal 13 6" xfId="228" xr:uid="{00000000-0005-0000-0000-00005E250000}"/>
    <cellStyle name="Normal 13 6 10" xfId="41496" xr:uid="{00000000-0005-0000-0000-00005F250000}"/>
    <cellStyle name="Normal 13 6 11" xfId="25396" xr:uid="{00000000-0005-0000-0000-000060250000}"/>
    <cellStyle name="Normal 13 6 12" xfId="12791" xr:uid="{00000000-0005-0000-0000-000061250000}"/>
    <cellStyle name="Normal 13 6 2" xfId="609" xr:uid="{00000000-0005-0000-0000-000062250000}"/>
    <cellStyle name="Normal 13 6 2 10" xfId="13057" xr:uid="{00000000-0005-0000-0000-000063250000}"/>
    <cellStyle name="Normal 13 6 2 2" xfId="2637" xr:uid="{00000000-0005-0000-0000-000064250000}"/>
    <cellStyle name="Normal 13 6 2 2 2" xfId="9169" xr:uid="{00000000-0005-0000-0000-000065250000}"/>
    <cellStyle name="Normal 13 6 2 2 2 2" xfId="40910" xr:uid="{00000000-0005-0000-0000-000066250000}"/>
    <cellStyle name="Normal 13 6 2 2 2 2 2" xfId="57010" xr:uid="{00000000-0005-0000-0000-000067250000}"/>
    <cellStyle name="Normal 13 6 2 2 2 3" xfId="47443" xr:uid="{00000000-0005-0000-0000-000068250000}"/>
    <cellStyle name="Normal 13 6 2 2 2 4" xfId="31343" xr:uid="{00000000-0005-0000-0000-000069250000}"/>
    <cellStyle name="Normal 13 6 2 2 2 5" xfId="21774" xr:uid="{00000000-0005-0000-0000-00006A250000}"/>
    <cellStyle name="Normal 13 6 2 2 3" xfId="12205" xr:uid="{00000000-0005-0000-0000-00006B250000}"/>
    <cellStyle name="Normal 13 6 2 2 3 2" xfId="50479" xr:uid="{00000000-0005-0000-0000-00006C250000}"/>
    <cellStyle name="Normal 13 6 2 2 3 3" xfId="34379" xr:uid="{00000000-0005-0000-0000-00006D250000}"/>
    <cellStyle name="Normal 13 6 2 2 3 4" xfId="24810" xr:uid="{00000000-0005-0000-0000-00006E250000}"/>
    <cellStyle name="Normal 13 6 2 2 4" xfId="6133" xr:uid="{00000000-0005-0000-0000-00006F250000}"/>
    <cellStyle name="Normal 13 6 2 2 4 2" xfId="53974" xr:uid="{00000000-0005-0000-0000-000070250000}"/>
    <cellStyle name="Normal 13 6 2 2 4 3" xfId="37874" xr:uid="{00000000-0005-0000-0000-000071250000}"/>
    <cellStyle name="Normal 13 6 2 2 4 4" xfId="18738" xr:uid="{00000000-0005-0000-0000-000072250000}"/>
    <cellStyle name="Normal 13 6 2 2 5" xfId="44407" xr:uid="{00000000-0005-0000-0000-000073250000}"/>
    <cellStyle name="Normal 13 6 2 2 6" xfId="28307" xr:uid="{00000000-0005-0000-0000-000074250000}"/>
    <cellStyle name="Normal 13 6 2 2 7" xfId="15243" xr:uid="{00000000-0005-0000-0000-000075250000}"/>
    <cellStyle name="Normal 13 6 2 3" xfId="1459" xr:uid="{00000000-0005-0000-0000-000076250000}"/>
    <cellStyle name="Normal 13 6 2 3 2" xfId="7993" xr:uid="{00000000-0005-0000-0000-000077250000}"/>
    <cellStyle name="Normal 13 6 2 3 2 2" xfId="39734" xr:uid="{00000000-0005-0000-0000-000078250000}"/>
    <cellStyle name="Normal 13 6 2 3 2 2 2" xfId="55834" xr:uid="{00000000-0005-0000-0000-000079250000}"/>
    <cellStyle name="Normal 13 6 2 3 2 3" xfId="46267" xr:uid="{00000000-0005-0000-0000-00007A250000}"/>
    <cellStyle name="Normal 13 6 2 3 2 4" xfId="30167" xr:uid="{00000000-0005-0000-0000-00007B250000}"/>
    <cellStyle name="Normal 13 6 2 3 2 5" xfId="20598" xr:uid="{00000000-0005-0000-0000-00007C250000}"/>
    <cellStyle name="Normal 13 6 2 3 3" xfId="11029" xr:uid="{00000000-0005-0000-0000-00007D250000}"/>
    <cellStyle name="Normal 13 6 2 3 3 2" xfId="49303" xr:uid="{00000000-0005-0000-0000-00007E250000}"/>
    <cellStyle name="Normal 13 6 2 3 3 3" xfId="33203" xr:uid="{00000000-0005-0000-0000-00007F250000}"/>
    <cellStyle name="Normal 13 6 2 3 3 4" xfId="23634" xr:uid="{00000000-0005-0000-0000-000080250000}"/>
    <cellStyle name="Normal 13 6 2 3 4" xfId="4957" xr:uid="{00000000-0005-0000-0000-000081250000}"/>
    <cellStyle name="Normal 13 6 2 3 4 2" xfId="52798" xr:uid="{00000000-0005-0000-0000-000082250000}"/>
    <cellStyle name="Normal 13 6 2 3 4 3" xfId="36698" xr:uid="{00000000-0005-0000-0000-000083250000}"/>
    <cellStyle name="Normal 13 6 2 3 4 4" xfId="17562" xr:uid="{00000000-0005-0000-0000-000084250000}"/>
    <cellStyle name="Normal 13 6 2 3 5" xfId="43231" xr:uid="{00000000-0005-0000-0000-000085250000}"/>
    <cellStyle name="Normal 13 6 2 3 6" xfId="27131" xr:uid="{00000000-0005-0000-0000-000086250000}"/>
    <cellStyle name="Normal 13 6 2 3 7" xfId="14067" xr:uid="{00000000-0005-0000-0000-000087250000}"/>
    <cellStyle name="Normal 13 6 2 4" xfId="3947" xr:uid="{00000000-0005-0000-0000-000088250000}"/>
    <cellStyle name="Normal 13 6 2 4 2" xfId="35688" xr:uid="{00000000-0005-0000-0000-000089250000}"/>
    <cellStyle name="Normal 13 6 2 4 2 2" xfId="51788" xr:uid="{00000000-0005-0000-0000-00008A250000}"/>
    <cellStyle name="Normal 13 6 2 4 3" xfId="42221" xr:uid="{00000000-0005-0000-0000-00008B250000}"/>
    <cellStyle name="Normal 13 6 2 4 4" xfId="26121" xr:uid="{00000000-0005-0000-0000-00008C250000}"/>
    <cellStyle name="Normal 13 6 2 4 5" xfId="16552" xr:uid="{00000000-0005-0000-0000-00008D250000}"/>
    <cellStyle name="Normal 13 6 2 5" xfId="6983" xr:uid="{00000000-0005-0000-0000-00008E250000}"/>
    <cellStyle name="Normal 13 6 2 5 2" xfId="38724" xr:uid="{00000000-0005-0000-0000-00008F250000}"/>
    <cellStyle name="Normal 13 6 2 5 2 2" xfId="54824" xr:uid="{00000000-0005-0000-0000-000090250000}"/>
    <cellStyle name="Normal 13 6 2 5 3" xfId="45257" xr:uid="{00000000-0005-0000-0000-000091250000}"/>
    <cellStyle name="Normal 13 6 2 5 4" xfId="29157" xr:uid="{00000000-0005-0000-0000-000092250000}"/>
    <cellStyle name="Normal 13 6 2 5 5" xfId="19588" xr:uid="{00000000-0005-0000-0000-000093250000}"/>
    <cellStyle name="Normal 13 6 2 6" xfId="10019" xr:uid="{00000000-0005-0000-0000-000094250000}"/>
    <cellStyle name="Normal 13 6 2 6 2" xfId="48293" xr:uid="{00000000-0005-0000-0000-000095250000}"/>
    <cellStyle name="Normal 13 6 2 6 3" xfId="32193" xr:uid="{00000000-0005-0000-0000-000096250000}"/>
    <cellStyle name="Normal 13 6 2 6 4" xfId="22624" xr:uid="{00000000-0005-0000-0000-000097250000}"/>
    <cellStyle name="Normal 13 6 2 7" xfId="3459" xr:uid="{00000000-0005-0000-0000-000098250000}"/>
    <cellStyle name="Normal 13 6 2 7 2" xfId="51300" xr:uid="{00000000-0005-0000-0000-000099250000}"/>
    <cellStyle name="Normal 13 6 2 7 3" xfId="35200" xr:uid="{00000000-0005-0000-0000-00009A250000}"/>
    <cellStyle name="Normal 13 6 2 7 4" xfId="16064" xr:uid="{00000000-0005-0000-0000-00009B250000}"/>
    <cellStyle name="Normal 13 6 2 8" xfId="41733" xr:uid="{00000000-0005-0000-0000-00009C250000}"/>
    <cellStyle name="Normal 13 6 2 9" xfId="25633" xr:uid="{00000000-0005-0000-0000-00009D250000}"/>
    <cellStyle name="Normal 13 6 3" xfId="866" xr:uid="{00000000-0005-0000-0000-00009E250000}"/>
    <cellStyle name="Normal 13 6 3 2" xfId="2894" xr:uid="{00000000-0005-0000-0000-00009F250000}"/>
    <cellStyle name="Normal 13 6 3 2 2" xfId="9426" xr:uid="{00000000-0005-0000-0000-0000A0250000}"/>
    <cellStyle name="Normal 13 6 3 2 2 2" xfId="41167" xr:uid="{00000000-0005-0000-0000-0000A1250000}"/>
    <cellStyle name="Normal 13 6 3 2 2 2 2" xfId="57267" xr:uid="{00000000-0005-0000-0000-0000A2250000}"/>
    <cellStyle name="Normal 13 6 3 2 2 3" xfId="47700" xr:uid="{00000000-0005-0000-0000-0000A3250000}"/>
    <cellStyle name="Normal 13 6 3 2 2 4" xfId="31600" xr:uid="{00000000-0005-0000-0000-0000A4250000}"/>
    <cellStyle name="Normal 13 6 3 2 2 5" xfId="22031" xr:uid="{00000000-0005-0000-0000-0000A5250000}"/>
    <cellStyle name="Normal 13 6 3 2 3" xfId="12462" xr:uid="{00000000-0005-0000-0000-0000A6250000}"/>
    <cellStyle name="Normal 13 6 3 2 3 2" xfId="50736" xr:uid="{00000000-0005-0000-0000-0000A7250000}"/>
    <cellStyle name="Normal 13 6 3 2 3 3" xfId="34636" xr:uid="{00000000-0005-0000-0000-0000A8250000}"/>
    <cellStyle name="Normal 13 6 3 2 3 4" xfId="25067" xr:uid="{00000000-0005-0000-0000-0000A9250000}"/>
    <cellStyle name="Normal 13 6 3 2 4" xfId="6390" xr:uid="{00000000-0005-0000-0000-0000AA250000}"/>
    <cellStyle name="Normal 13 6 3 2 4 2" xfId="54231" xr:uid="{00000000-0005-0000-0000-0000AB250000}"/>
    <cellStyle name="Normal 13 6 3 2 4 3" xfId="38131" xr:uid="{00000000-0005-0000-0000-0000AC250000}"/>
    <cellStyle name="Normal 13 6 3 2 4 4" xfId="18995" xr:uid="{00000000-0005-0000-0000-0000AD250000}"/>
    <cellStyle name="Normal 13 6 3 2 5" xfId="44664" xr:uid="{00000000-0005-0000-0000-0000AE250000}"/>
    <cellStyle name="Normal 13 6 3 2 6" xfId="28564" xr:uid="{00000000-0005-0000-0000-0000AF250000}"/>
    <cellStyle name="Normal 13 6 3 2 7" xfId="15500" xr:uid="{00000000-0005-0000-0000-0000B0250000}"/>
    <cellStyle name="Normal 13 6 3 3" xfId="1876" xr:uid="{00000000-0005-0000-0000-0000B1250000}"/>
    <cellStyle name="Normal 13 6 3 3 2" xfId="8410" xr:uid="{00000000-0005-0000-0000-0000B2250000}"/>
    <cellStyle name="Normal 13 6 3 3 2 2" xfId="40151" xr:uid="{00000000-0005-0000-0000-0000B3250000}"/>
    <cellStyle name="Normal 13 6 3 3 2 2 2" xfId="56251" xr:uid="{00000000-0005-0000-0000-0000B4250000}"/>
    <cellStyle name="Normal 13 6 3 3 2 3" xfId="46684" xr:uid="{00000000-0005-0000-0000-0000B5250000}"/>
    <cellStyle name="Normal 13 6 3 3 2 4" xfId="30584" xr:uid="{00000000-0005-0000-0000-0000B6250000}"/>
    <cellStyle name="Normal 13 6 3 3 2 5" xfId="21015" xr:uid="{00000000-0005-0000-0000-0000B7250000}"/>
    <cellStyle name="Normal 13 6 3 3 3" xfId="11446" xr:uid="{00000000-0005-0000-0000-0000B8250000}"/>
    <cellStyle name="Normal 13 6 3 3 3 2" xfId="49720" xr:uid="{00000000-0005-0000-0000-0000B9250000}"/>
    <cellStyle name="Normal 13 6 3 3 3 3" xfId="33620" xr:uid="{00000000-0005-0000-0000-0000BA250000}"/>
    <cellStyle name="Normal 13 6 3 3 3 4" xfId="24051" xr:uid="{00000000-0005-0000-0000-0000BB250000}"/>
    <cellStyle name="Normal 13 6 3 3 4" xfId="5374" xr:uid="{00000000-0005-0000-0000-0000BC250000}"/>
    <cellStyle name="Normal 13 6 3 3 4 2" xfId="53215" xr:uid="{00000000-0005-0000-0000-0000BD250000}"/>
    <cellStyle name="Normal 13 6 3 3 4 3" xfId="37115" xr:uid="{00000000-0005-0000-0000-0000BE250000}"/>
    <cellStyle name="Normal 13 6 3 3 4 4" xfId="17979" xr:uid="{00000000-0005-0000-0000-0000BF250000}"/>
    <cellStyle name="Normal 13 6 3 3 5" xfId="43648" xr:uid="{00000000-0005-0000-0000-0000C0250000}"/>
    <cellStyle name="Normal 13 6 3 3 6" xfId="27548" xr:uid="{00000000-0005-0000-0000-0000C1250000}"/>
    <cellStyle name="Normal 13 6 3 3 7" xfId="14484" xr:uid="{00000000-0005-0000-0000-0000C2250000}"/>
    <cellStyle name="Normal 13 6 3 4" xfId="7400" xr:uid="{00000000-0005-0000-0000-0000C3250000}"/>
    <cellStyle name="Normal 13 6 3 4 2" xfId="39141" xr:uid="{00000000-0005-0000-0000-0000C4250000}"/>
    <cellStyle name="Normal 13 6 3 4 2 2" xfId="55241" xr:uid="{00000000-0005-0000-0000-0000C5250000}"/>
    <cellStyle name="Normal 13 6 3 4 3" xfId="45674" xr:uid="{00000000-0005-0000-0000-0000C6250000}"/>
    <cellStyle name="Normal 13 6 3 4 4" xfId="29574" xr:uid="{00000000-0005-0000-0000-0000C7250000}"/>
    <cellStyle name="Normal 13 6 3 4 5" xfId="20005" xr:uid="{00000000-0005-0000-0000-0000C8250000}"/>
    <cellStyle name="Normal 13 6 3 5" xfId="10436" xr:uid="{00000000-0005-0000-0000-0000C9250000}"/>
    <cellStyle name="Normal 13 6 3 5 2" xfId="48710" xr:uid="{00000000-0005-0000-0000-0000CA250000}"/>
    <cellStyle name="Normal 13 6 3 5 3" xfId="32610" xr:uid="{00000000-0005-0000-0000-0000CB250000}"/>
    <cellStyle name="Normal 13 6 3 5 4" xfId="23041" xr:uid="{00000000-0005-0000-0000-0000CC250000}"/>
    <cellStyle name="Normal 13 6 3 6" xfId="4364" xr:uid="{00000000-0005-0000-0000-0000CD250000}"/>
    <cellStyle name="Normal 13 6 3 6 2" xfId="52205" xr:uid="{00000000-0005-0000-0000-0000CE250000}"/>
    <cellStyle name="Normal 13 6 3 6 3" xfId="36105" xr:uid="{00000000-0005-0000-0000-0000CF250000}"/>
    <cellStyle name="Normal 13 6 3 6 4" xfId="16969" xr:uid="{00000000-0005-0000-0000-0000D0250000}"/>
    <cellStyle name="Normal 13 6 3 7" xfId="42638" xr:uid="{00000000-0005-0000-0000-0000D1250000}"/>
    <cellStyle name="Normal 13 6 3 8" xfId="26538" xr:uid="{00000000-0005-0000-0000-0000D2250000}"/>
    <cellStyle name="Normal 13 6 3 9" xfId="13474" xr:uid="{00000000-0005-0000-0000-0000D3250000}"/>
    <cellStyle name="Normal 13 6 4" xfId="2247" xr:uid="{00000000-0005-0000-0000-0000D4250000}"/>
    <cellStyle name="Normal 13 6 4 2" xfId="8781" xr:uid="{00000000-0005-0000-0000-0000D5250000}"/>
    <cellStyle name="Normal 13 6 4 2 2" xfId="40522" xr:uid="{00000000-0005-0000-0000-0000D6250000}"/>
    <cellStyle name="Normal 13 6 4 2 2 2" xfId="56622" xr:uid="{00000000-0005-0000-0000-0000D7250000}"/>
    <cellStyle name="Normal 13 6 4 2 3" xfId="47055" xr:uid="{00000000-0005-0000-0000-0000D8250000}"/>
    <cellStyle name="Normal 13 6 4 2 4" xfId="30955" xr:uid="{00000000-0005-0000-0000-0000D9250000}"/>
    <cellStyle name="Normal 13 6 4 2 5" xfId="21386" xr:uid="{00000000-0005-0000-0000-0000DA250000}"/>
    <cellStyle name="Normal 13 6 4 3" xfId="11817" xr:uid="{00000000-0005-0000-0000-0000DB250000}"/>
    <cellStyle name="Normal 13 6 4 3 2" xfId="50091" xr:uid="{00000000-0005-0000-0000-0000DC250000}"/>
    <cellStyle name="Normal 13 6 4 3 3" xfId="33991" xr:uid="{00000000-0005-0000-0000-0000DD250000}"/>
    <cellStyle name="Normal 13 6 4 3 4" xfId="24422" xr:uid="{00000000-0005-0000-0000-0000DE250000}"/>
    <cellStyle name="Normal 13 6 4 4" xfId="5745" xr:uid="{00000000-0005-0000-0000-0000DF250000}"/>
    <cellStyle name="Normal 13 6 4 4 2" xfId="53586" xr:uid="{00000000-0005-0000-0000-0000E0250000}"/>
    <cellStyle name="Normal 13 6 4 4 3" xfId="37486" xr:uid="{00000000-0005-0000-0000-0000E1250000}"/>
    <cellStyle name="Normal 13 6 4 4 4" xfId="18350" xr:uid="{00000000-0005-0000-0000-0000E2250000}"/>
    <cellStyle name="Normal 13 6 4 5" xfId="44019" xr:uid="{00000000-0005-0000-0000-0000E3250000}"/>
    <cellStyle name="Normal 13 6 4 6" xfId="27919" xr:uid="{00000000-0005-0000-0000-0000E4250000}"/>
    <cellStyle name="Normal 13 6 4 7" xfId="14855" xr:uid="{00000000-0005-0000-0000-0000E5250000}"/>
    <cellStyle name="Normal 13 6 5" xfId="1193" xr:uid="{00000000-0005-0000-0000-0000E6250000}"/>
    <cellStyle name="Normal 13 6 5 2" xfId="7727" xr:uid="{00000000-0005-0000-0000-0000E7250000}"/>
    <cellStyle name="Normal 13 6 5 2 2" xfId="39468" xr:uid="{00000000-0005-0000-0000-0000E8250000}"/>
    <cellStyle name="Normal 13 6 5 2 2 2" xfId="55568" xr:uid="{00000000-0005-0000-0000-0000E9250000}"/>
    <cellStyle name="Normal 13 6 5 2 3" xfId="46001" xr:uid="{00000000-0005-0000-0000-0000EA250000}"/>
    <cellStyle name="Normal 13 6 5 2 4" xfId="29901" xr:uid="{00000000-0005-0000-0000-0000EB250000}"/>
    <cellStyle name="Normal 13 6 5 2 5" xfId="20332" xr:uid="{00000000-0005-0000-0000-0000EC250000}"/>
    <cellStyle name="Normal 13 6 5 3" xfId="10763" xr:uid="{00000000-0005-0000-0000-0000ED250000}"/>
    <cellStyle name="Normal 13 6 5 3 2" xfId="49037" xr:uid="{00000000-0005-0000-0000-0000EE250000}"/>
    <cellStyle name="Normal 13 6 5 3 3" xfId="32937" xr:uid="{00000000-0005-0000-0000-0000EF250000}"/>
    <cellStyle name="Normal 13 6 5 3 4" xfId="23368" xr:uid="{00000000-0005-0000-0000-0000F0250000}"/>
    <cellStyle name="Normal 13 6 5 4" xfId="4691" xr:uid="{00000000-0005-0000-0000-0000F1250000}"/>
    <cellStyle name="Normal 13 6 5 4 2" xfId="52532" xr:uid="{00000000-0005-0000-0000-0000F2250000}"/>
    <cellStyle name="Normal 13 6 5 4 3" xfId="36432" xr:uid="{00000000-0005-0000-0000-0000F3250000}"/>
    <cellStyle name="Normal 13 6 5 4 4" xfId="17296" xr:uid="{00000000-0005-0000-0000-0000F4250000}"/>
    <cellStyle name="Normal 13 6 5 5" xfId="42965" xr:uid="{00000000-0005-0000-0000-0000F5250000}"/>
    <cellStyle name="Normal 13 6 5 6" xfId="26865" xr:uid="{00000000-0005-0000-0000-0000F6250000}"/>
    <cellStyle name="Normal 13 6 5 7" xfId="13801" xr:uid="{00000000-0005-0000-0000-0000F7250000}"/>
    <cellStyle name="Normal 13 6 6" xfId="3681" xr:uid="{00000000-0005-0000-0000-0000F8250000}"/>
    <cellStyle name="Normal 13 6 6 2" xfId="35422" xr:uid="{00000000-0005-0000-0000-0000F9250000}"/>
    <cellStyle name="Normal 13 6 6 2 2" xfId="51522" xr:uid="{00000000-0005-0000-0000-0000FA250000}"/>
    <cellStyle name="Normal 13 6 6 3" xfId="41955" xr:uid="{00000000-0005-0000-0000-0000FB250000}"/>
    <cellStyle name="Normal 13 6 6 4" xfId="25855" xr:uid="{00000000-0005-0000-0000-0000FC250000}"/>
    <cellStyle name="Normal 13 6 6 5" xfId="16286" xr:uid="{00000000-0005-0000-0000-0000FD250000}"/>
    <cellStyle name="Normal 13 6 7" xfId="6717" xr:uid="{00000000-0005-0000-0000-0000FE250000}"/>
    <cellStyle name="Normal 13 6 7 2" xfId="38458" xr:uid="{00000000-0005-0000-0000-0000FF250000}"/>
    <cellStyle name="Normal 13 6 7 2 2" xfId="54558" xr:uid="{00000000-0005-0000-0000-000000260000}"/>
    <cellStyle name="Normal 13 6 7 3" xfId="44991" xr:uid="{00000000-0005-0000-0000-000001260000}"/>
    <cellStyle name="Normal 13 6 7 4" xfId="28891" xr:uid="{00000000-0005-0000-0000-000002260000}"/>
    <cellStyle name="Normal 13 6 7 5" xfId="19322" xr:uid="{00000000-0005-0000-0000-000003260000}"/>
    <cellStyle name="Normal 13 6 8" xfId="9753" xr:uid="{00000000-0005-0000-0000-000004260000}"/>
    <cellStyle name="Normal 13 6 8 2" xfId="48027" xr:uid="{00000000-0005-0000-0000-000005260000}"/>
    <cellStyle name="Normal 13 6 8 3" xfId="31927" xr:uid="{00000000-0005-0000-0000-000006260000}"/>
    <cellStyle name="Normal 13 6 8 4" xfId="22358" xr:uid="{00000000-0005-0000-0000-000007260000}"/>
    <cellStyle name="Normal 13 6 9" xfId="3221" xr:uid="{00000000-0005-0000-0000-000008260000}"/>
    <cellStyle name="Normal 13 6 9 2" xfId="51063" xr:uid="{00000000-0005-0000-0000-000009260000}"/>
    <cellStyle name="Normal 13 6 9 3" xfId="34963" xr:uid="{00000000-0005-0000-0000-00000A260000}"/>
    <cellStyle name="Normal 13 6 9 4" xfId="15827" xr:uid="{00000000-0005-0000-0000-00000B260000}"/>
    <cellStyle name="Normal 13 7" xfId="45" xr:uid="{00000000-0005-0000-0000-00000C260000}"/>
    <cellStyle name="Normal 13 7 10" xfId="41513" xr:uid="{00000000-0005-0000-0000-00000D260000}"/>
    <cellStyle name="Normal 13 7 11" xfId="25413" xr:uid="{00000000-0005-0000-0000-00000E260000}"/>
    <cellStyle name="Normal 13 7 12" xfId="12808" xr:uid="{00000000-0005-0000-0000-00000F260000}"/>
    <cellStyle name="Normal 13 7 2" xfId="883" xr:uid="{00000000-0005-0000-0000-000010260000}"/>
    <cellStyle name="Normal 13 7 2 10" xfId="13491" xr:uid="{00000000-0005-0000-0000-000011260000}"/>
    <cellStyle name="Normal 13 7 2 2" xfId="2911" xr:uid="{00000000-0005-0000-0000-000012260000}"/>
    <cellStyle name="Normal 13 7 2 2 2" xfId="9443" xr:uid="{00000000-0005-0000-0000-000013260000}"/>
    <cellStyle name="Normal 13 7 2 2 2 2" xfId="41184" xr:uid="{00000000-0005-0000-0000-000014260000}"/>
    <cellStyle name="Normal 13 7 2 2 2 2 2" xfId="57284" xr:uid="{00000000-0005-0000-0000-000015260000}"/>
    <cellStyle name="Normal 13 7 2 2 2 3" xfId="47717" xr:uid="{00000000-0005-0000-0000-000016260000}"/>
    <cellStyle name="Normal 13 7 2 2 2 4" xfId="31617" xr:uid="{00000000-0005-0000-0000-000017260000}"/>
    <cellStyle name="Normal 13 7 2 2 2 5" xfId="22048" xr:uid="{00000000-0005-0000-0000-000018260000}"/>
    <cellStyle name="Normal 13 7 2 2 3" xfId="12479" xr:uid="{00000000-0005-0000-0000-000019260000}"/>
    <cellStyle name="Normal 13 7 2 2 3 2" xfId="50753" xr:uid="{00000000-0005-0000-0000-00001A260000}"/>
    <cellStyle name="Normal 13 7 2 2 3 3" xfId="34653" xr:uid="{00000000-0005-0000-0000-00001B260000}"/>
    <cellStyle name="Normal 13 7 2 2 3 4" xfId="25084" xr:uid="{00000000-0005-0000-0000-00001C260000}"/>
    <cellStyle name="Normal 13 7 2 2 4" xfId="6407" xr:uid="{00000000-0005-0000-0000-00001D260000}"/>
    <cellStyle name="Normal 13 7 2 2 4 2" xfId="54248" xr:uid="{00000000-0005-0000-0000-00001E260000}"/>
    <cellStyle name="Normal 13 7 2 2 4 3" xfId="38148" xr:uid="{00000000-0005-0000-0000-00001F260000}"/>
    <cellStyle name="Normal 13 7 2 2 4 4" xfId="19012" xr:uid="{00000000-0005-0000-0000-000020260000}"/>
    <cellStyle name="Normal 13 7 2 2 5" xfId="44681" xr:uid="{00000000-0005-0000-0000-000021260000}"/>
    <cellStyle name="Normal 13 7 2 2 6" xfId="28581" xr:uid="{00000000-0005-0000-0000-000022260000}"/>
    <cellStyle name="Normal 13 7 2 2 7" xfId="15517" xr:uid="{00000000-0005-0000-0000-000023260000}"/>
    <cellStyle name="Normal 13 7 2 3" xfId="1893" xr:uid="{00000000-0005-0000-0000-000024260000}"/>
    <cellStyle name="Normal 13 7 2 3 2" xfId="8427" xr:uid="{00000000-0005-0000-0000-000025260000}"/>
    <cellStyle name="Normal 13 7 2 3 2 2" xfId="40168" xr:uid="{00000000-0005-0000-0000-000026260000}"/>
    <cellStyle name="Normal 13 7 2 3 2 2 2" xfId="56268" xr:uid="{00000000-0005-0000-0000-000027260000}"/>
    <cellStyle name="Normal 13 7 2 3 2 3" xfId="46701" xr:uid="{00000000-0005-0000-0000-000028260000}"/>
    <cellStyle name="Normal 13 7 2 3 2 4" xfId="30601" xr:uid="{00000000-0005-0000-0000-000029260000}"/>
    <cellStyle name="Normal 13 7 2 3 2 5" xfId="21032" xr:uid="{00000000-0005-0000-0000-00002A260000}"/>
    <cellStyle name="Normal 13 7 2 3 3" xfId="11463" xr:uid="{00000000-0005-0000-0000-00002B260000}"/>
    <cellStyle name="Normal 13 7 2 3 3 2" xfId="49737" xr:uid="{00000000-0005-0000-0000-00002C260000}"/>
    <cellStyle name="Normal 13 7 2 3 3 3" xfId="33637" xr:uid="{00000000-0005-0000-0000-00002D260000}"/>
    <cellStyle name="Normal 13 7 2 3 3 4" xfId="24068" xr:uid="{00000000-0005-0000-0000-00002E260000}"/>
    <cellStyle name="Normal 13 7 2 3 4" xfId="5391" xr:uid="{00000000-0005-0000-0000-00002F260000}"/>
    <cellStyle name="Normal 13 7 2 3 4 2" xfId="53232" xr:uid="{00000000-0005-0000-0000-000030260000}"/>
    <cellStyle name="Normal 13 7 2 3 4 3" xfId="37132" xr:uid="{00000000-0005-0000-0000-000031260000}"/>
    <cellStyle name="Normal 13 7 2 3 4 4" xfId="17996" xr:uid="{00000000-0005-0000-0000-000032260000}"/>
    <cellStyle name="Normal 13 7 2 3 5" xfId="43665" xr:uid="{00000000-0005-0000-0000-000033260000}"/>
    <cellStyle name="Normal 13 7 2 3 6" xfId="27565" xr:uid="{00000000-0005-0000-0000-000034260000}"/>
    <cellStyle name="Normal 13 7 2 3 7" xfId="14501" xr:uid="{00000000-0005-0000-0000-000035260000}"/>
    <cellStyle name="Normal 13 7 2 4" xfId="4381" xr:uid="{00000000-0005-0000-0000-000036260000}"/>
    <cellStyle name="Normal 13 7 2 4 2" xfId="36122" xr:uid="{00000000-0005-0000-0000-000037260000}"/>
    <cellStyle name="Normal 13 7 2 4 2 2" xfId="52222" xr:uid="{00000000-0005-0000-0000-000038260000}"/>
    <cellStyle name="Normal 13 7 2 4 3" xfId="42655" xr:uid="{00000000-0005-0000-0000-000039260000}"/>
    <cellStyle name="Normal 13 7 2 4 4" xfId="26555" xr:uid="{00000000-0005-0000-0000-00003A260000}"/>
    <cellStyle name="Normal 13 7 2 4 5" xfId="16986" xr:uid="{00000000-0005-0000-0000-00003B260000}"/>
    <cellStyle name="Normal 13 7 2 5" xfId="7417" xr:uid="{00000000-0005-0000-0000-00003C260000}"/>
    <cellStyle name="Normal 13 7 2 5 2" xfId="39158" xr:uid="{00000000-0005-0000-0000-00003D260000}"/>
    <cellStyle name="Normal 13 7 2 5 2 2" xfId="55258" xr:uid="{00000000-0005-0000-0000-00003E260000}"/>
    <cellStyle name="Normal 13 7 2 5 3" xfId="45691" xr:uid="{00000000-0005-0000-0000-00003F260000}"/>
    <cellStyle name="Normal 13 7 2 5 4" xfId="29591" xr:uid="{00000000-0005-0000-0000-000040260000}"/>
    <cellStyle name="Normal 13 7 2 5 5" xfId="20022" xr:uid="{00000000-0005-0000-0000-000041260000}"/>
    <cellStyle name="Normal 13 7 2 6" xfId="10453" xr:uid="{00000000-0005-0000-0000-000042260000}"/>
    <cellStyle name="Normal 13 7 2 6 2" xfId="48727" xr:uid="{00000000-0005-0000-0000-000043260000}"/>
    <cellStyle name="Normal 13 7 2 6 3" xfId="32627" xr:uid="{00000000-0005-0000-0000-000044260000}"/>
    <cellStyle name="Normal 13 7 2 6 4" xfId="23058" xr:uid="{00000000-0005-0000-0000-000045260000}"/>
    <cellStyle name="Normal 13 7 2 7" xfId="3476" xr:uid="{00000000-0005-0000-0000-000046260000}"/>
    <cellStyle name="Normal 13 7 2 7 2" xfId="51317" xr:uid="{00000000-0005-0000-0000-000047260000}"/>
    <cellStyle name="Normal 13 7 2 7 3" xfId="35217" xr:uid="{00000000-0005-0000-0000-000048260000}"/>
    <cellStyle name="Normal 13 7 2 7 4" xfId="16081" xr:uid="{00000000-0005-0000-0000-000049260000}"/>
    <cellStyle name="Normal 13 7 2 8" xfId="41750" xr:uid="{00000000-0005-0000-0000-00004A260000}"/>
    <cellStyle name="Normal 13 7 2 9" xfId="25650" xr:uid="{00000000-0005-0000-0000-00004B260000}"/>
    <cellStyle name="Normal 13 7 3" xfId="661" xr:uid="{00000000-0005-0000-0000-00004C260000}"/>
    <cellStyle name="Normal 13 7 3 2" xfId="2689" xr:uid="{00000000-0005-0000-0000-00004D260000}"/>
    <cellStyle name="Normal 13 7 3 2 2" xfId="9221" xr:uid="{00000000-0005-0000-0000-00004E260000}"/>
    <cellStyle name="Normal 13 7 3 2 2 2" xfId="40962" xr:uid="{00000000-0005-0000-0000-00004F260000}"/>
    <cellStyle name="Normal 13 7 3 2 2 2 2" xfId="57062" xr:uid="{00000000-0005-0000-0000-000050260000}"/>
    <cellStyle name="Normal 13 7 3 2 2 3" xfId="47495" xr:uid="{00000000-0005-0000-0000-000051260000}"/>
    <cellStyle name="Normal 13 7 3 2 2 4" xfId="31395" xr:uid="{00000000-0005-0000-0000-000052260000}"/>
    <cellStyle name="Normal 13 7 3 2 2 5" xfId="21826" xr:uid="{00000000-0005-0000-0000-000053260000}"/>
    <cellStyle name="Normal 13 7 3 2 3" xfId="12257" xr:uid="{00000000-0005-0000-0000-000054260000}"/>
    <cellStyle name="Normal 13 7 3 2 3 2" xfId="50531" xr:uid="{00000000-0005-0000-0000-000055260000}"/>
    <cellStyle name="Normal 13 7 3 2 3 3" xfId="34431" xr:uid="{00000000-0005-0000-0000-000056260000}"/>
    <cellStyle name="Normal 13 7 3 2 3 4" xfId="24862" xr:uid="{00000000-0005-0000-0000-000057260000}"/>
    <cellStyle name="Normal 13 7 3 2 4" xfId="6185" xr:uid="{00000000-0005-0000-0000-000058260000}"/>
    <cellStyle name="Normal 13 7 3 2 4 2" xfId="54026" xr:uid="{00000000-0005-0000-0000-000059260000}"/>
    <cellStyle name="Normal 13 7 3 2 4 3" xfId="37926" xr:uid="{00000000-0005-0000-0000-00005A260000}"/>
    <cellStyle name="Normal 13 7 3 2 4 4" xfId="18790" xr:uid="{00000000-0005-0000-0000-00005B260000}"/>
    <cellStyle name="Normal 13 7 3 2 5" xfId="44459" xr:uid="{00000000-0005-0000-0000-00005C260000}"/>
    <cellStyle name="Normal 13 7 3 2 6" xfId="28359" xr:uid="{00000000-0005-0000-0000-00005D260000}"/>
    <cellStyle name="Normal 13 7 3 2 7" xfId="15295" xr:uid="{00000000-0005-0000-0000-00005E260000}"/>
    <cellStyle name="Normal 13 7 3 3" xfId="1671" xr:uid="{00000000-0005-0000-0000-00005F260000}"/>
    <cellStyle name="Normal 13 7 3 3 2" xfId="8205" xr:uid="{00000000-0005-0000-0000-000060260000}"/>
    <cellStyle name="Normal 13 7 3 3 2 2" xfId="39946" xr:uid="{00000000-0005-0000-0000-000061260000}"/>
    <cellStyle name="Normal 13 7 3 3 2 2 2" xfId="56046" xr:uid="{00000000-0005-0000-0000-000062260000}"/>
    <cellStyle name="Normal 13 7 3 3 2 3" xfId="46479" xr:uid="{00000000-0005-0000-0000-000063260000}"/>
    <cellStyle name="Normal 13 7 3 3 2 4" xfId="30379" xr:uid="{00000000-0005-0000-0000-000064260000}"/>
    <cellStyle name="Normal 13 7 3 3 2 5" xfId="20810" xr:uid="{00000000-0005-0000-0000-000065260000}"/>
    <cellStyle name="Normal 13 7 3 3 3" xfId="11241" xr:uid="{00000000-0005-0000-0000-000066260000}"/>
    <cellStyle name="Normal 13 7 3 3 3 2" xfId="49515" xr:uid="{00000000-0005-0000-0000-000067260000}"/>
    <cellStyle name="Normal 13 7 3 3 3 3" xfId="33415" xr:uid="{00000000-0005-0000-0000-000068260000}"/>
    <cellStyle name="Normal 13 7 3 3 3 4" xfId="23846" xr:uid="{00000000-0005-0000-0000-000069260000}"/>
    <cellStyle name="Normal 13 7 3 3 4" xfId="5169" xr:uid="{00000000-0005-0000-0000-00006A260000}"/>
    <cellStyle name="Normal 13 7 3 3 4 2" xfId="53010" xr:uid="{00000000-0005-0000-0000-00006B260000}"/>
    <cellStyle name="Normal 13 7 3 3 4 3" xfId="36910" xr:uid="{00000000-0005-0000-0000-00006C260000}"/>
    <cellStyle name="Normal 13 7 3 3 4 4" xfId="17774" xr:uid="{00000000-0005-0000-0000-00006D260000}"/>
    <cellStyle name="Normal 13 7 3 3 5" xfId="43443" xr:uid="{00000000-0005-0000-0000-00006E260000}"/>
    <cellStyle name="Normal 13 7 3 3 6" xfId="27343" xr:uid="{00000000-0005-0000-0000-00006F260000}"/>
    <cellStyle name="Normal 13 7 3 3 7" xfId="14279" xr:uid="{00000000-0005-0000-0000-000070260000}"/>
    <cellStyle name="Normal 13 7 3 4" xfId="7195" xr:uid="{00000000-0005-0000-0000-000071260000}"/>
    <cellStyle name="Normal 13 7 3 4 2" xfId="38936" xr:uid="{00000000-0005-0000-0000-000072260000}"/>
    <cellStyle name="Normal 13 7 3 4 2 2" xfId="55036" xr:uid="{00000000-0005-0000-0000-000073260000}"/>
    <cellStyle name="Normal 13 7 3 4 3" xfId="45469" xr:uid="{00000000-0005-0000-0000-000074260000}"/>
    <cellStyle name="Normal 13 7 3 4 4" xfId="29369" xr:uid="{00000000-0005-0000-0000-000075260000}"/>
    <cellStyle name="Normal 13 7 3 4 5" xfId="19800" xr:uid="{00000000-0005-0000-0000-000076260000}"/>
    <cellStyle name="Normal 13 7 3 5" xfId="10231" xr:uid="{00000000-0005-0000-0000-000077260000}"/>
    <cellStyle name="Normal 13 7 3 5 2" xfId="48505" xr:uid="{00000000-0005-0000-0000-000078260000}"/>
    <cellStyle name="Normal 13 7 3 5 3" xfId="32405" xr:uid="{00000000-0005-0000-0000-000079260000}"/>
    <cellStyle name="Normal 13 7 3 5 4" xfId="22836" xr:uid="{00000000-0005-0000-0000-00007A260000}"/>
    <cellStyle name="Normal 13 7 3 6" xfId="4159" xr:uid="{00000000-0005-0000-0000-00007B260000}"/>
    <cellStyle name="Normal 13 7 3 6 2" xfId="52000" xr:uid="{00000000-0005-0000-0000-00007C260000}"/>
    <cellStyle name="Normal 13 7 3 6 3" xfId="35900" xr:uid="{00000000-0005-0000-0000-00007D260000}"/>
    <cellStyle name="Normal 13 7 3 6 4" xfId="16764" xr:uid="{00000000-0005-0000-0000-00007E260000}"/>
    <cellStyle name="Normal 13 7 3 7" xfId="42433" xr:uid="{00000000-0005-0000-0000-00007F260000}"/>
    <cellStyle name="Normal 13 7 3 8" xfId="26333" xr:uid="{00000000-0005-0000-0000-000080260000}"/>
    <cellStyle name="Normal 13 7 3 9" xfId="13269" xr:uid="{00000000-0005-0000-0000-000081260000}"/>
    <cellStyle name="Normal 13 7 4" xfId="2461" xr:uid="{00000000-0005-0000-0000-000082260000}"/>
    <cellStyle name="Normal 13 7 4 2" xfId="8993" xr:uid="{00000000-0005-0000-0000-000083260000}"/>
    <cellStyle name="Normal 13 7 4 2 2" xfId="40734" xr:uid="{00000000-0005-0000-0000-000084260000}"/>
    <cellStyle name="Normal 13 7 4 2 2 2" xfId="56834" xr:uid="{00000000-0005-0000-0000-000085260000}"/>
    <cellStyle name="Normal 13 7 4 2 3" xfId="47267" xr:uid="{00000000-0005-0000-0000-000086260000}"/>
    <cellStyle name="Normal 13 7 4 2 4" xfId="31167" xr:uid="{00000000-0005-0000-0000-000087260000}"/>
    <cellStyle name="Normal 13 7 4 2 5" xfId="21598" xr:uid="{00000000-0005-0000-0000-000088260000}"/>
    <cellStyle name="Normal 13 7 4 3" xfId="12029" xr:uid="{00000000-0005-0000-0000-000089260000}"/>
    <cellStyle name="Normal 13 7 4 3 2" xfId="50303" xr:uid="{00000000-0005-0000-0000-00008A260000}"/>
    <cellStyle name="Normal 13 7 4 3 3" xfId="34203" xr:uid="{00000000-0005-0000-0000-00008B260000}"/>
    <cellStyle name="Normal 13 7 4 3 4" xfId="24634" xr:uid="{00000000-0005-0000-0000-00008C260000}"/>
    <cellStyle name="Normal 13 7 4 4" xfId="5957" xr:uid="{00000000-0005-0000-0000-00008D260000}"/>
    <cellStyle name="Normal 13 7 4 4 2" xfId="53798" xr:uid="{00000000-0005-0000-0000-00008E260000}"/>
    <cellStyle name="Normal 13 7 4 4 3" xfId="37698" xr:uid="{00000000-0005-0000-0000-00008F260000}"/>
    <cellStyle name="Normal 13 7 4 4 4" xfId="18562" xr:uid="{00000000-0005-0000-0000-000090260000}"/>
    <cellStyle name="Normal 13 7 4 5" xfId="44231" xr:uid="{00000000-0005-0000-0000-000091260000}"/>
    <cellStyle name="Normal 13 7 4 6" xfId="28131" xr:uid="{00000000-0005-0000-0000-000092260000}"/>
    <cellStyle name="Normal 13 7 4 7" xfId="15067" xr:uid="{00000000-0005-0000-0000-000093260000}"/>
    <cellStyle name="Normal 13 7 5" xfId="1210" xr:uid="{00000000-0005-0000-0000-000094260000}"/>
    <cellStyle name="Normal 13 7 5 2" xfId="7744" xr:uid="{00000000-0005-0000-0000-000095260000}"/>
    <cellStyle name="Normal 13 7 5 2 2" xfId="39485" xr:uid="{00000000-0005-0000-0000-000096260000}"/>
    <cellStyle name="Normal 13 7 5 2 2 2" xfId="55585" xr:uid="{00000000-0005-0000-0000-000097260000}"/>
    <cellStyle name="Normal 13 7 5 2 3" xfId="46018" xr:uid="{00000000-0005-0000-0000-000098260000}"/>
    <cellStyle name="Normal 13 7 5 2 4" xfId="29918" xr:uid="{00000000-0005-0000-0000-000099260000}"/>
    <cellStyle name="Normal 13 7 5 2 5" xfId="20349" xr:uid="{00000000-0005-0000-0000-00009A260000}"/>
    <cellStyle name="Normal 13 7 5 3" xfId="10780" xr:uid="{00000000-0005-0000-0000-00009B260000}"/>
    <cellStyle name="Normal 13 7 5 3 2" xfId="49054" xr:uid="{00000000-0005-0000-0000-00009C260000}"/>
    <cellStyle name="Normal 13 7 5 3 3" xfId="32954" xr:uid="{00000000-0005-0000-0000-00009D260000}"/>
    <cellStyle name="Normal 13 7 5 3 4" xfId="23385" xr:uid="{00000000-0005-0000-0000-00009E260000}"/>
    <cellStyle name="Normal 13 7 5 4" xfId="4708" xr:uid="{00000000-0005-0000-0000-00009F260000}"/>
    <cellStyle name="Normal 13 7 5 4 2" xfId="52549" xr:uid="{00000000-0005-0000-0000-0000A0260000}"/>
    <cellStyle name="Normal 13 7 5 4 3" xfId="36449" xr:uid="{00000000-0005-0000-0000-0000A1260000}"/>
    <cellStyle name="Normal 13 7 5 4 4" xfId="17313" xr:uid="{00000000-0005-0000-0000-0000A2260000}"/>
    <cellStyle name="Normal 13 7 5 5" xfId="42982" xr:uid="{00000000-0005-0000-0000-0000A3260000}"/>
    <cellStyle name="Normal 13 7 5 6" xfId="26882" xr:uid="{00000000-0005-0000-0000-0000A4260000}"/>
    <cellStyle name="Normal 13 7 5 7" xfId="13818" xr:uid="{00000000-0005-0000-0000-0000A5260000}"/>
    <cellStyle name="Normal 13 7 6" xfId="3698" xr:uid="{00000000-0005-0000-0000-0000A6260000}"/>
    <cellStyle name="Normal 13 7 6 2" xfId="35439" xr:uid="{00000000-0005-0000-0000-0000A7260000}"/>
    <cellStyle name="Normal 13 7 6 2 2" xfId="51539" xr:uid="{00000000-0005-0000-0000-0000A8260000}"/>
    <cellStyle name="Normal 13 7 6 3" xfId="41972" xr:uid="{00000000-0005-0000-0000-0000A9260000}"/>
    <cellStyle name="Normal 13 7 6 4" xfId="25872" xr:uid="{00000000-0005-0000-0000-0000AA260000}"/>
    <cellStyle name="Normal 13 7 6 5" xfId="16303" xr:uid="{00000000-0005-0000-0000-0000AB260000}"/>
    <cellStyle name="Normal 13 7 7" xfId="6734" xr:uid="{00000000-0005-0000-0000-0000AC260000}"/>
    <cellStyle name="Normal 13 7 7 2" xfId="38475" xr:uid="{00000000-0005-0000-0000-0000AD260000}"/>
    <cellStyle name="Normal 13 7 7 2 2" xfId="54575" xr:uid="{00000000-0005-0000-0000-0000AE260000}"/>
    <cellStyle name="Normal 13 7 7 3" xfId="45008" xr:uid="{00000000-0005-0000-0000-0000AF260000}"/>
    <cellStyle name="Normal 13 7 7 4" xfId="28908" xr:uid="{00000000-0005-0000-0000-0000B0260000}"/>
    <cellStyle name="Normal 13 7 7 5" xfId="19339" xr:uid="{00000000-0005-0000-0000-0000B1260000}"/>
    <cellStyle name="Normal 13 7 8" xfId="9770" xr:uid="{00000000-0005-0000-0000-0000B2260000}"/>
    <cellStyle name="Normal 13 7 8 2" xfId="48044" xr:uid="{00000000-0005-0000-0000-0000B3260000}"/>
    <cellStyle name="Normal 13 7 8 3" xfId="31944" xr:uid="{00000000-0005-0000-0000-0000B4260000}"/>
    <cellStyle name="Normal 13 7 8 4" xfId="22375" xr:uid="{00000000-0005-0000-0000-0000B5260000}"/>
    <cellStyle name="Normal 13 7 9" xfId="3238" xr:uid="{00000000-0005-0000-0000-0000B6260000}"/>
    <cellStyle name="Normal 13 7 9 2" xfId="51080" xr:uid="{00000000-0005-0000-0000-0000B7260000}"/>
    <cellStyle name="Normal 13 7 9 3" xfId="34980" xr:uid="{00000000-0005-0000-0000-0000B8260000}"/>
    <cellStyle name="Normal 13 7 9 4" xfId="15844" xr:uid="{00000000-0005-0000-0000-0000B9260000}"/>
    <cellStyle name="Normal 13 8" xfId="447" xr:uid="{00000000-0005-0000-0000-0000BA260000}"/>
    <cellStyle name="Normal 13 8 10" xfId="41530" xr:uid="{00000000-0005-0000-0000-0000BB260000}"/>
    <cellStyle name="Normal 13 8 11" xfId="25430" xr:uid="{00000000-0005-0000-0000-0000BC260000}"/>
    <cellStyle name="Normal 13 8 12" xfId="12825" xr:uid="{00000000-0005-0000-0000-0000BD260000}"/>
    <cellStyle name="Normal 13 8 2" xfId="900" xr:uid="{00000000-0005-0000-0000-0000BE260000}"/>
    <cellStyle name="Normal 13 8 2 10" xfId="13508" xr:uid="{00000000-0005-0000-0000-0000BF260000}"/>
    <cellStyle name="Normal 13 8 2 2" xfId="2928" xr:uid="{00000000-0005-0000-0000-0000C0260000}"/>
    <cellStyle name="Normal 13 8 2 2 2" xfId="9460" xr:uid="{00000000-0005-0000-0000-0000C1260000}"/>
    <cellStyle name="Normal 13 8 2 2 2 2" xfId="41201" xr:uid="{00000000-0005-0000-0000-0000C2260000}"/>
    <cellStyle name="Normal 13 8 2 2 2 2 2" xfId="57301" xr:uid="{00000000-0005-0000-0000-0000C3260000}"/>
    <cellStyle name="Normal 13 8 2 2 2 3" xfId="47734" xr:uid="{00000000-0005-0000-0000-0000C4260000}"/>
    <cellStyle name="Normal 13 8 2 2 2 4" xfId="31634" xr:uid="{00000000-0005-0000-0000-0000C5260000}"/>
    <cellStyle name="Normal 13 8 2 2 2 5" xfId="22065" xr:uid="{00000000-0005-0000-0000-0000C6260000}"/>
    <cellStyle name="Normal 13 8 2 2 3" xfId="12496" xr:uid="{00000000-0005-0000-0000-0000C7260000}"/>
    <cellStyle name="Normal 13 8 2 2 3 2" xfId="50770" xr:uid="{00000000-0005-0000-0000-0000C8260000}"/>
    <cellStyle name="Normal 13 8 2 2 3 3" xfId="34670" xr:uid="{00000000-0005-0000-0000-0000C9260000}"/>
    <cellStyle name="Normal 13 8 2 2 3 4" xfId="25101" xr:uid="{00000000-0005-0000-0000-0000CA260000}"/>
    <cellStyle name="Normal 13 8 2 2 4" xfId="6424" xr:uid="{00000000-0005-0000-0000-0000CB260000}"/>
    <cellStyle name="Normal 13 8 2 2 4 2" xfId="54265" xr:uid="{00000000-0005-0000-0000-0000CC260000}"/>
    <cellStyle name="Normal 13 8 2 2 4 3" xfId="38165" xr:uid="{00000000-0005-0000-0000-0000CD260000}"/>
    <cellStyle name="Normal 13 8 2 2 4 4" xfId="19029" xr:uid="{00000000-0005-0000-0000-0000CE260000}"/>
    <cellStyle name="Normal 13 8 2 2 5" xfId="44698" xr:uid="{00000000-0005-0000-0000-0000CF260000}"/>
    <cellStyle name="Normal 13 8 2 2 6" xfId="28598" xr:uid="{00000000-0005-0000-0000-0000D0260000}"/>
    <cellStyle name="Normal 13 8 2 2 7" xfId="15534" xr:uid="{00000000-0005-0000-0000-0000D1260000}"/>
    <cellStyle name="Normal 13 8 2 3" xfId="1910" xr:uid="{00000000-0005-0000-0000-0000D2260000}"/>
    <cellStyle name="Normal 13 8 2 3 2" xfId="8444" xr:uid="{00000000-0005-0000-0000-0000D3260000}"/>
    <cellStyle name="Normal 13 8 2 3 2 2" xfId="40185" xr:uid="{00000000-0005-0000-0000-0000D4260000}"/>
    <cellStyle name="Normal 13 8 2 3 2 2 2" xfId="56285" xr:uid="{00000000-0005-0000-0000-0000D5260000}"/>
    <cellStyle name="Normal 13 8 2 3 2 3" xfId="46718" xr:uid="{00000000-0005-0000-0000-0000D6260000}"/>
    <cellStyle name="Normal 13 8 2 3 2 4" xfId="30618" xr:uid="{00000000-0005-0000-0000-0000D7260000}"/>
    <cellStyle name="Normal 13 8 2 3 2 5" xfId="21049" xr:uid="{00000000-0005-0000-0000-0000D8260000}"/>
    <cellStyle name="Normal 13 8 2 3 3" xfId="11480" xr:uid="{00000000-0005-0000-0000-0000D9260000}"/>
    <cellStyle name="Normal 13 8 2 3 3 2" xfId="49754" xr:uid="{00000000-0005-0000-0000-0000DA260000}"/>
    <cellStyle name="Normal 13 8 2 3 3 3" xfId="33654" xr:uid="{00000000-0005-0000-0000-0000DB260000}"/>
    <cellStyle name="Normal 13 8 2 3 3 4" xfId="24085" xr:uid="{00000000-0005-0000-0000-0000DC260000}"/>
    <cellStyle name="Normal 13 8 2 3 4" xfId="5408" xr:uid="{00000000-0005-0000-0000-0000DD260000}"/>
    <cellStyle name="Normal 13 8 2 3 4 2" xfId="53249" xr:uid="{00000000-0005-0000-0000-0000DE260000}"/>
    <cellStyle name="Normal 13 8 2 3 4 3" xfId="37149" xr:uid="{00000000-0005-0000-0000-0000DF260000}"/>
    <cellStyle name="Normal 13 8 2 3 4 4" xfId="18013" xr:uid="{00000000-0005-0000-0000-0000E0260000}"/>
    <cellStyle name="Normal 13 8 2 3 5" xfId="43682" xr:uid="{00000000-0005-0000-0000-0000E1260000}"/>
    <cellStyle name="Normal 13 8 2 3 6" xfId="27582" xr:uid="{00000000-0005-0000-0000-0000E2260000}"/>
    <cellStyle name="Normal 13 8 2 3 7" xfId="14518" xr:uid="{00000000-0005-0000-0000-0000E3260000}"/>
    <cellStyle name="Normal 13 8 2 4" xfId="4398" xr:uid="{00000000-0005-0000-0000-0000E4260000}"/>
    <cellStyle name="Normal 13 8 2 4 2" xfId="36139" xr:uid="{00000000-0005-0000-0000-0000E5260000}"/>
    <cellStyle name="Normal 13 8 2 4 2 2" xfId="52239" xr:uid="{00000000-0005-0000-0000-0000E6260000}"/>
    <cellStyle name="Normal 13 8 2 4 3" xfId="42672" xr:uid="{00000000-0005-0000-0000-0000E7260000}"/>
    <cellStyle name="Normal 13 8 2 4 4" xfId="26572" xr:uid="{00000000-0005-0000-0000-0000E8260000}"/>
    <cellStyle name="Normal 13 8 2 4 5" xfId="17003" xr:uid="{00000000-0005-0000-0000-0000E9260000}"/>
    <cellStyle name="Normal 13 8 2 5" xfId="7434" xr:uid="{00000000-0005-0000-0000-0000EA260000}"/>
    <cellStyle name="Normal 13 8 2 5 2" xfId="39175" xr:uid="{00000000-0005-0000-0000-0000EB260000}"/>
    <cellStyle name="Normal 13 8 2 5 2 2" xfId="55275" xr:uid="{00000000-0005-0000-0000-0000EC260000}"/>
    <cellStyle name="Normal 13 8 2 5 3" xfId="45708" xr:uid="{00000000-0005-0000-0000-0000ED260000}"/>
    <cellStyle name="Normal 13 8 2 5 4" xfId="29608" xr:uid="{00000000-0005-0000-0000-0000EE260000}"/>
    <cellStyle name="Normal 13 8 2 5 5" xfId="20039" xr:uid="{00000000-0005-0000-0000-0000EF260000}"/>
    <cellStyle name="Normal 13 8 2 6" xfId="10470" xr:uid="{00000000-0005-0000-0000-0000F0260000}"/>
    <cellStyle name="Normal 13 8 2 6 2" xfId="48744" xr:uid="{00000000-0005-0000-0000-0000F1260000}"/>
    <cellStyle name="Normal 13 8 2 6 3" xfId="32644" xr:uid="{00000000-0005-0000-0000-0000F2260000}"/>
    <cellStyle name="Normal 13 8 2 6 4" xfId="23075" xr:uid="{00000000-0005-0000-0000-0000F3260000}"/>
    <cellStyle name="Normal 13 8 2 7" xfId="3493" xr:uid="{00000000-0005-0000-0000-0000F4260000}"/>
    <cellStyle name="Normal 13 8 2 7 2" xfId="51334" xr:uid="{00000000-0005-0000-0000-0000F5260000}"/>
    <cellStyle name="Normal 13 8 2 7 3" xfId="35234" xr:uid="{00000000-0005-0000-0000-0000F6260000}"/>
    <cellStyle name="Normal 13 8 2 7 4" xfId="16098" xr:uid="{00000000-0005-0000-0000-0000F7260000}"/>
    <cellStyle name="Normal 13 8 2 8" xfId="41767" xr:uid="{00000000-0005-0000-0000-0000F8260000}"/>
    <cellStyle name="Normal 13 8 2 9" xfId="25667" xr:uid="{00000000-0005-0000-0000-0000F9260000}"/>
    <cellStyle name="Normal 13 8 3" xfId="678" xr:uid="{00000000-0005-0000-0000-0000FA260000}"/>
    <cellStyle name="Normal 13 8 3 2" xfId="2706" xr:uid="{00000000-0005-0000-0000-0000FB260000}"/>
    <cellStyle name="Normal 13 8 3 2 2" xfId="9238" xr:uid="{00000000-0005-0000-0000-0000FC260000}"/>
    <cellStyle name="Normal 13 8 3 2 2 2" xfId="40979" xr:uid="{00000000-0005-0000-0000-0000FD260000}"/>
    <cellStyle name="Normal 13 8 3 2 2 2 2" xfId="57079" xr:uid="{00000000-0005-0000-0000-0000FE260000}"/>
    <cellStyle name="Normal 13 8 3 2 2 3" xfId="47512" xr:uid="{00000000-0005-0000-0000-0000FF260000}"/>
    <cellStyle name="Normal 13 8 3 2 2 4" xfId="31412" xr:uid="{00000000-0005-0000-0000-000000270000}"/>
    <cellStyle name="Normal 13 8 3 2 2 5" xfId="21843" xr:uid="{00000000-0005-0000-0000-000001270000}"/>
    <cellStyle name="Normal 13 8 3 2 3" xfId="12274" xr:uid="{00000000-0005-0000-0000-000002270000}"/>
    <cellStyle name="Normal 13 8 3 2 3 2" xfId="50548" xr:uid="{00000000-0005-0000-0000-000003270000}"/>
    <cellStyle name="Normal 13 8 3 2 3 3" xfId="34448" xr:uid="{00000000-0005-0000-0000-000004270000}"/>
    <cellStyle name="Normal 13 8 3 2 3 4" xfId="24879" xr:uid="{00000000-0005-0000-0000-000005270000}"/>
    <cellStyle name="Normal 13 8 3 2 4" xfId="6202" xr:uid="{00000000-0005-0000-0000-000006270000}"/>
    <cellStyle name="Normal 13 8 3 2 4 2" xfId="54043" xr:uid="{00000000-0005-0000-0000-000007270000}"/>
    <cellStyle name="Normal 13 8 3 2 4 3" xfId="37943" xr:uid="{00000000-0005-0000-0000-000008270000}"/>
    <cellStyle name="Normal 13 8 3 2 4 4" xfId="18807" xr:uid="{00000000-0005-0000-0000-000009270000}"/>
    <cellStyle name="Normal 13 8 3 2 5" xfId="44476" xr:uid="{00000000-0005-0000-0000-00000A270000}"/>
    <cellStyle name="Normal 13 8 3 2 6" xfId="28376" xr:uid="{00000000-0005-0000-0000-00000B270000}"/>
    <cellStyle name="Normal 13 8 3 2 7" xfId="15312" xr:uid="{00000000-0005-0000-0000-00000C270000}"/>
    <cellStyle name="Normal 13 8 3 3" xfId="1688" xr:uid="{00000000-0005-0000-0000-00000D270000}"/>
    <cellStyle name="Normal 13 8 3 3 2" xfId="8222" xr:uid="{00000000-0005-0000-0000-00000E270000}"/>
    <cellStyle name="Normal 13 8 3 3 2 2" xfId="39963" xr:uid="{00000000-0005-0000-0000-00000F270000}"/>
    <cellStyle name="Normal 13 8 3 3 2 2 2" xfId="56063" xr:uid="{00000000-0005-0000-0000-000010270000}"/>
    <cellStyle name="Normal 13 8 3 3 2 3" xfId="46496" xr:uid="{00000000-0005-0000-0000-000011270000}"/>
    <cellStyle name="Normal 13 8 3 3 2 4" xfId="30396" xr:uid="{00000000-0005-0000-0000-000012270000}"/>
    <cellStyle name="Normal 13 8 3 3 2 5" xfId="20827" xr:uid="{00000000-0005-0000-0000-000013270000}"/>
    <cellStyle name="Normal 13 8 3 3 3" xfId="11258" xr:uid="{00000000-0005-0000-0000-000014270000}"/>
    <cellStyle name="Normal 13 8 3 3 3 2" xfId="49532" xr:uid="{00000000-0005-0000-0000-000015270000}"/>
    <cellStyle name="Normal 13 8 3 3 3 3" xfId="33432" xr:uid="{00000000-0005-0000-0000-000016270000}"/>
    <cellStyle name="Normal 13 8 3 3 3 4" xfId="23863" xr:uid="{00000000-0005-0000-0000-000017270000}"/>
    <cellStyle name="Normal 13 8 3 3 4" xfId="5186" xr:uid="{00000000-0005-0000-0000-000018270000}"/>
    <cellStyle name="Normal 13 8 3 3 4 2" xfId="53027" xr:uid="{00000000-0005-0000-0000-000019270000}"/>
    <cellStyle name="Normal 13 8 3 3 4 3" xfId="36927" xr:uid="{00000000-0005-0000-0000-00001A270000}"/>
    <cellStyle name="Normal 13 8 3 3 4 4" xfId="17791" xr:uid="{00000000-0005-0000-0000-00001B270000}"/>
    <cellStyle name="Normal 13 8 3 3 5" xfId="43460" xr:uid="{00000000-0005-0000-0000-00001C270000}"/>
    <cellStyle name="Normal 13 8 3 3 6" xfId="27360" xr:uid="{00000000-0005-0000-0000-00001D270000}"/>
    <cellStyle name="Normal 13 8 3 3 7" xfId="14296" xr:uid="{00000000-0005-0000-0000-00001E270000}"/>
    <cellStyle name="Normal 13 8 3 4" xfId="7212" xr:uid="{00000000-0005-0000-0000-00001F270000}"/>
    <cellStyle name="Normal 13 8 3 4 2" xfId="38953" xr:uid="{00000000-0005-0000-0000-000020270000}"/>
    <cellStyle name="Normal 13 8 3 4 2 2" xfId="55053" xr:uid="{00000000-0005-0000-0000-000021270000}"/>
    <cellStyle name="Normal 13 8 3 4 3" xfId="45486" xr:uid="{00000000-0005-0000-0000-000022270000}"/>
    <cellStyle name="Normal 13 8 3 4 4" xfId="29386" xr:uid="{00000000-0005-0000-0000-000023270000}"/>
    <cellStyle name="Normal 13 8 3 4 5" xfId="19817" xr:uid="{00000000-0005-0000-0000-000024270000}"/>
    <cellStyle name="Normal 13 8 3 5" xfId="10248" xr:uid="{00000000-0005-0000-0000-000025270000}"/>
    <cellStyle name="Normal 13 8 3 5 2" xfId="48522" xr:uid="{00000000-0005-0000-0000-000026270000}"/>
    <cellStyle name="Normal 13 8 3 5 3" xfId="32422" xr:uid="{00000000-0005-0000-0000-000027270000}"/>
    <cellStyle name="Normal 13 8 3 5 4" xfId="22853" xr:uid="{00000000-0005-0000-0000-000028270000}"/>
    <cellStyle name="Normal 13 8 3 6" xfId="4176" xr:uid="{00000000-0005-0000-0000-000029270000}"/>
    <cellStyle name="Normal 13 8 3 6 2" xfId="52017" xr:uid="{00000000-0005-0000-0000-00002A270000}"/>
    <cellStyle name="Normal 13 8 3 6 3" xfId="35917" xr:uid="{00000000-0005-0000-0000-00002B270000}"/>
    <cellStyle name="Normal 13 8 3 6 4" xfId="16781" xr:uid="{00000000-0005-0000-0000-00002C270000}"/>
    <cellStyle name="Normal 13 8 3 7" xfId="42450" xr:uid="{00000000-0005-0000-0000-00002D270000}"/>
    <cellStyle name="Normal 13 8 3 8" xfId="26350" xr:uid="{00000000-0005-0000-0000-00002E270000}"/>
    <cellStyle name="Normal 13 8 3 9" xfId="13286" xr:uid="{00000000-0005-0000-0000-00002F270000}"/>
    <cellStyle name="Normal 13 8 4" xfId="2478" xr:uid="{00000000-0005-0000-0000-000030270000}"/>
    <cellStyle name="Normal 13 8 4 2" xfId="9010" xr:uid="{00000000-0005-0000-0000-000031270000}"/>
    <cellStyle name="Normal 13 8 4 2 2" xfId="40751" xr:uid="{00000000-0005-0000-0000-000032270000}"/>
    <cellStyle name="Normal 13 8 4 2 2 2" xfId="56851" xr:uid="{00000000-0005-0000-0000-000033270000}"/>
    <cellStyle name="Normal 13 8 4 2 3" xfId="47284" xr:uid="{00000000-0005-0000-0000-000034270000}"/>
    <cellStyle name="Normal 13 8 4 2 4" xfId="31184" xr:uid="{00000000-0005-0000-0000-000035270000}"/>
    <cellStyle name="Normal 13 8 4 2 5" xfId="21615" xr:uid="{00000000-0005-0000-0000-000036270000}"/>
    <cellStyle name="Normal 13 8 4 3" xfId="12046" xr:uid="{00000000-0005-0000-0000-000037270000}"/>
    <cellStyle name="Normal 13 8 4 3 2" xfId="50320" xr:uid="{00000000-0005-0000-0000-000038270000}"/>
    <cellStyle name="Normal 13 8 4 3 3" xfId="34220" xr:uid="{00000000-0005-0000-0000-000039270000}"/>
    <cellStyle name="Normal 13 8 4 3 4" xfId="24651" xr:uid="{00000000-0005-0000-0000-00003A270000}"/>
    <cellStyle name="Normal 13 8 4 4" xfId="5974" xr:uid="{00000000-0005-0000-0000-00003B270000}"/>
    <cellStyle name="Normal 13 8 4 4 2" xfId="53815" xr:uid="{00000000-0005-0000-0000-00003C270000}"/>
    <cellStyle name="Normal 13 8 4 4 3" xfId="37715" xr:uid="{00000000-0005-0000-0000-00003D270000}"/>
    <cellStyle name="Normal 13 8 4 4 4" xfId="18579" xr:uid="{00000000-0005-0000-0000-00003E270000}"/>
    <cellStyle name="Normal 13 8 4 5" xfId="44248" xr:uid="{00000000-0005-0000-0000-00003F270000}"/>
    <cellStyle name="Normal 13 8 4 6" xfId="28148" xr:uid="{00000000-0005-0000-0000-000040270000}"/>
    <cellStyle name="Normal 13 8 4 7" xfId="15084" xr:uid="{00000000-0005-0000-0000-000041270000}"/>
    <cellStyle name="Normal 13 8 5" xfId="1227" xr:uid="{00000000-0005-0000-0000-000042270000}"/>
    <cellStyle name="Normal 13 8 5 2" xfId="7761" xr:uid="{00000000-0005-0000-0000-000043270000}"/>
    <cellStyle name="Normal 13 8 5 2 2" xfId="39502" xr:uid="{00000000-0005-0000-0000-000044270000}"/>
    <cellStyle name="Normal 13 8 5 2 2 2" xfId="55602" xr:uid="{00000000-0005-0000-0000-000045270000}"/>
    <cellStyle name="Normal 13 8 5 2 3" xfId="46035" xr:uid="{00000000-0005-0000-0000-000046270000}"/>
    <cellStyle name="Normal 13 8 5 2 4" xfId="29935" xr:uid="{00000000-0005-0000-0000-000047270000}"/>
    <cellStyle name="Normal 13 8 5 2 5" xfId="20366" xr:uid="{00000000-0005-0000-0000-000048270000}"/>
    <cellStyle name="Normal 13 8 5 3" xfId="10797" xr:uid="{00000000-0005-0000-0000-000049270000}"/>
    <cellStyle name="Normal 13 8 5 3 2" xfId="49071" xr:uid="{00000000-0005-0000-0000-00004A270000}"/>
    <cellStyle name="Normal 13 8 5 3 3" xfId="32971" xr:uid="{00000000-0005-0000-0000-00004B270000}"/>
    <cellStyle name="Normal 13 8 5 3 4" xfId="23402" xr:uid="{00000000-0005-0000-0000-00004C270000}"/>
    <cellStyle name="Normal 13 8 5 4" xfId="4725" xr:uid="{00000000-0005-0000-0000-00004D270000}"/>
    <cellStyle name="Normal 13 8 5 4 2" xfId="52566" xr:uid="{00000000-0005-0000-0000-00004E270000}"/>
    <cellStyle name="Normal 13 8 5 4 3" xfId="36466" xr:uid="{00000000-0005-0000-0000-00004F270000}"/>
    <cellStyle name="Normal 13 8 5 4 4" xfId="17330" xr:uid="{00000000-0005-0000-0000-000050270000}"/>
    <cellStyle name="Normal 13 8 5 5" xfId="42999" xr:uid="{00000000-0005-0000-0000-000051270000}"/>
    <cellStyle name="Normal 13 8 5 6" xfId="26899" xr:uid="{00000000-0005-0000-0000-000052270000}"/>
    <cellStyle name="Normal 13 8 5 7" xfId="13835" xr:uid="{00000000-0005-0000-0000-000053270000}"/>
    <cellStyle name="Normal 13 8 6" xfId="3715" xr:uid="{00000000-0005-0000-0000-000054270000}"/>
    <cellStyle name="Normal 13 8 6 2" xfId="35456" xr:uid="{00000000-0005-0000-0000-000055270000}"/>
    <cellStyle name="Normal 13 8 6 2 2" xfId="51556" xr:uid="{00000000-0005-0000-0000-000056270000}"/>
    <cellStyle name="Normal 13 8 6 3" xfId="41989" xr:uid="{00000000-0005-0000-0000-000057270000}"/>
    <cellStyle name="Normal 13 8 6 4" xfId="25889" xr:uid="{00000000-0005-0000-0000-000058270000}"/>
    <cellStyle name="Normal 13 8 6 5" xfId="16320" xr:uid="{00000000-0005-0000-0000-000059270000}"/>
    <cellStyle name="Normal 13 8 7" xfId="6751" xr:uid="{00000000-0005-0000-0000-00005A270000}"/>
    <cellStyle name="Normal 13 8 7 2" xfId="38492" xr:uid="{00000000-0005-0000-0000-00005B270000}"/>
    <cellStyle name="Normal 13 8 7 2 2" xfId="54592" xr:uid="{00000000-0005-0000-0000-00005C270000}"/>
    <cellStyle name="Normal 13 8 7 3" xfId="45025" xr:uid="{00000000-0005-0000-0000-00005D270000}"/>
    <cellStyle name="Normal 13 8 7 4" xfId="28925" xr:uid="{00000000-0005-0000-0000-00005E270000}"/>
    <cellStyle name="Normal 13 8 7 5" xfId="19356" xr:uid="{00000000-0005-0000-0000-00005F270000}"/>
    <cellStyle name="Normal 13 8 8" xfId="9787" xr:uid="{00000000-0005-0000-0000-000060270000}"/>
    <cellStyle name="Normal 13 8 8 2" xfId="48061" xr:uid="{00000000-0005-0000-0000-000061270000}"/>
    <cellStyle name="Normal 13 8 8 3" xfId="31961" xr:uid="{00000000-0005-0000-0000-000062270000}"/>
    <cellStyle name="Normal 13 8 8 4" xfId="22392" xr:uid="{00000000-0005-0000-0000-000063270000}"/>
    <cellStyle name="Normal 13 8 9" xfId="3255" xr:uid="{00000000-0005-0000-0000-000064270000}"/>
    <cellStyle name="Normal 13 8 9 2" xfId="51097" xr:uid="{00000000-0005-0000-0000-000065270000}"/>
    <cellStyle name="Normal 13 8 9 3" xfId="34997" xr:uid="{00000000-0005-0000-0000-000066270000}"/>
    <cellStyle name="Normal 13 8 9 4" xfId="15861" xr:uid="{00000000-0005-0000-0000-000067270000}"/>
    <cellStyle name="Normal 13 9" xfId="464" xr:uid="{00000000-0005-0000-0000-000068270000}"/>
    <cellStyle name="Normal 13 9 10" xfId="41547" xr:uid="{00000000-0005-0000-0000-000069270000}"/>
    <cellStyle name="Normal 13 9 11" xfId="25447" xr:uid="{00000000-0005-0000-0000-00006A270000}"/>
    <cellStyle name="Normal 13 9 12" xfId="12842" xr:uid="{00000000-0005-0000-0000-00006B270000}"/>
    <cellStyle name="Normal 13 9 2" xfId="917" xr:uid="{00000000-0005-0000-0000-00006C270000}"/>
    <cellStyle name="Normal 13 9 2 10" xfId="13525" xr:uid="{00000000-0005-0000-0000-00006D270000}"/>
    <cellStyle name="Normal 13 9 2 2" xfId="2945" xr:uid="{00000000-0005-0000-0000-00006E270000}"/>
    <cellStyle name="Normal 13 9 2 2 2" xfId="9477" xr:uid="{00000000-0005-0000-0000-00006F270000}"/>
    <cellStyle name="Normal 13 9 2 2 2 2" xfId="41218" xr:uid="{00000000-0005-0000-0000-000070270000}"/>
    <cellStyle name="Normal 13 9 2 2 2 2 2" xfId="57318" xr:uid="{00000000-0005-0000-0000-000071270000}"/>
    <cellStyle name="Normal 13 9 2 2 2 3" xfId="47751" xr:uid="{00000000-0005-0000-0000-000072270000}"/>
    <cellStyle name="Normal 13 9 2 2 2 4" xfId="31651" xr:uid="{00000000-0005-0000-0000-000073270000}"/>
    <cellStyle name="Normal 13 9 2 2 2 5" xfId="22082" xr:uid="{00000000-0005-0000-0000-000074270000}"/>
    <cellStyle name="Normal 13 9 2 2 3" xfId="12513" xr:uid="{00000000-0005-0000-0000-000075270000}"/>
    <cellStyle name="Normal 13 9 2 2 3 2" xfId="50787" xr:uid="{00000000-0005-0000-0000-000076270000}"/>
    <cellStyle name="Normal 13 9 2 2 3 3" xfId="34687" xr:uid="{00000000-0005-0000-0000-000077270000}"/>
    <cellStyle name="Normal 13 9 2 2 3 4" xfId="25118" xr:uid="{00000000-0005-0000-0000-000078270000}"/>
    <cellStyle name="Normal 13 9 2 2 4" xfId="6441" xr:uid="{00000000-0005-0000-0000-000079270000}"/>
    <cellStyle name="Normal 13 9 2 2 4 2" xfId="54282" xr:uid="{00000000-0005-0000-0000-00007A270000}"/>
    <cellStyle name="Normal 13 9 2 2 4 3" xfId="38182" xr:uid="{00000000-0005-0000-0000-00007B270000}"/>
    <cellStyle name="Normal 13 9 2 2 4 4" xfId="19046" xr:uid="{00000000-0005-0000-0000-00007C270000}"/>
    <cellStyle name="Normal 13 9 2 2 5" xfId="44715" xr:uid="{00000000-0005-0000-0000-00007D270000}"/>
    <cellStyle name="Normal 13 9 2 2 6" xfId="28615" xr:uid="{00000000-0005-0000-0000-00007E270000}"/>
    <cellStyle name="Normal 13 9 2 2 7" xfId="15551" xr:uid="{00000000-0005-0000-0000-00007F270000}"/>
    <cellStyle name="Normal 13 9 2 3" xfId="1927" xr:uid="{00000000-0005-0000-0000-000080270000}"/>
    <cellStyle name="Normal 13 9 2 3 2" xfId="8461" xr:uid="{00000000-0005-0000-0000-000081270000}"/>
    <cellStyle name="Normal 13 9 2 3 2 2" xfId="40202" xr:uid="{00000000-0005-0000-0000-000082270000}"/>
    <cellStyle name="Normal 13 9 2 3 2 2 2" xfId="56302" xr:uid="{00000000-0005-0000-0000-000083270000}"/>
    <cellStyle name="Normal 13 9 2 3 2 3" xfId="46735" xr:uid="{00000000-0005-0000-0000-000084270000}"/>
    <cellStyle name="Normal 13 9 2 3 2 4" xfId="30635" xr:uid="{00000000-0005-0000-0000-000085270000}"/>
    <cellStyle name="Normal 13 9 2 3 2 5" xfId="21066" xr:uid="{00000000-0005-0000-0000-000086270000}"/>
    <cellStyle name="Normal 13 9 2 3 3" xfId="11497" xr:uid="{00000000-0005-0000-0000-000087270000}"/>
    <cellStyle name="Normal 13 9 2 3 3 2" xfId="49771" xr:uid="{00000000-0005-0000-0000-000088270000}"/>
    <cellStyle name="Normal 13 9 2 3 3 3" xfId="33671" xr:uid="{00000000-0005-0000-0000-000089270000}"/>
    <cellStyle name="Normal 13 9 2 3 3 4" xfId="24102" xr:uid="{00000000-0005-0000-0000-00008A270000}"/>
    <cellStyle name="Normal 13 9 2 3 4" xfId="5425" xr:uid="{00000000-0005-0000-0000-00008B270000}"/>
    <cellStyle name="Normal 13 9 2 3 4 2" xfId="53266" xr:uid="{00000000-0005-0000-0000-00008C270000}"/>
    <cellStyle name="Normal 13 9 2 3 4 3" xfId="37166" xr:uid="{00000000-0005-0000-0000-00008D270000}"/>
    <cellStyle name="Normal 13 9 2 3 4 4" xfId="18030" xr:uid="{00000000-0005-0000-0000-00008E270000}"/>
    <cellStyle name="Normal 13 9 2 3 5" xfId="43699" xr:uid="{00000000-0005-0000-0000-00008F270000}"/>
    <cellStyle name="Normal 13 9 2 3 6" xfId="27599" xr:uid="{00000000-0005-0000-0000-000090270000}"/>
    <cellStyle name="Normal 13 9 2 3 7" xfId="14535" xr:uid="{00000000-0005-0000-0000-000091270000}"/>
    <cellStyle name="Normal 13 9 2 4" xfId="4415" xr:uid="{00000000-0005-0000-0000-000092270000}"/>
    <cellStyle name="Normal 13 9 2 4 2" xfId="36156" xr:uid="{00000000-0005-0000-0000-000093270000}"/>
    <cellStyle name="Normal 13 9 2 4 2 2" xfId="52256" xr:uid="{00000000-0005-0000-0000-000094270000}"/>
    <cellStyle name="Normal 13 9 2 4 3" xfId="42689" xr:uid="{00000000-0005-0000-0000-000095270000}"/>
    <cellStyle name="Normal 13 9 2 4 4" xfId="26589" xr:uid="{00000000-0005-0000-0000-000096270000}"/>
    <cellStyle name="Normal 13 9 2 4 5" xfId="17020" xr:uid="{00000000-0005-0000-0000-000097270000}"/>
    <cellStyle name="Normal 13 9 2 5" xfId="7451" xr:uid="{00000000-0005-0000-0000-000098270000}"/>
    <cellStyle name="Normal 13 9 2 5 2" xfId="39192" xr:uid="{00000000-0005-0000-0000-000099270000}"/>
    <cellStyle name="Normal 13 9 2 5 2 2" xfId="55292" xr:uid="{00000000-0005-0000-0000-00009A270000}"/>
    <cellStyle name="Normal 13 9 2 5 3" xfId="45725" xr:uid="{00000000-0005-0000-0000-00009B270000}"/>
    <cellStyle name="Normal 13 9 2 5 4" xfId="29625" xr:uid="{00000000-0005-0000-0000-00009C270000}"/>
    <cellStyle name="Normal 13 9 2 5 5" xfId="20056" xr:uid="{00000000-0005-0000-0000-00009D270000}"/>
    <cellStyle name="Normal 13 9 2 6" xfId="10487" xr:uid="{00000000-0005-0000-0000-00009E270000}"/>
    <cellStyle name="Normal 13 9 2 6 2" xfId="48761" xr:uid="{00000000-0005-0000-0000-00009F270000}"/>
    <cellStyle name="Normal 13 9 2 6 3" xfId="32661" xr:uid="{00000000-0005-0000-0000-0000A0270000}"/>
    <cellStyle name="Normal 13 9 2 6 4" xfId="23092" xr:uid="{00000000-0005-0000-0000-0000A1270000}"/>
    <cellStyle name="Normal 13 9 2 7" xfId="3510" xr:uid="{00000000-0005-0000-0000-0000A2270000}"/>
    <cellStyle name="Normal 13 9 2 7 2" xfId="51351" xr:uid="{00000000-0005-0000-0000-0000A3270000}"/>
    <cellStyle name="Normal 13 9 2 7 3" xfId="35251" xr:uid="{00000000-0005-0000-0000-0000A4270000}"/>
    <cellStyle name="Normal 13 9 2 7 4" xfId="16115" xr:uid="{00000000-0005-0000-0000-0000A5270000}"/>
    <cellStyle name="Normal 13 9 2 8" xfId="41784" xr:uid="{00000000-0005-0000-0000-0000A6270000}"/>
    <cellStyle name="Normal 13 9 2 9" xfId="25684" xr:uid="{00000000-0005-0000-0000-0000A7270000}"/>
    <cellStyle name="Normal 13 9 3" xfId="695" xr:uid="{00000000-0005-0000-0000-0000A8270000}"/>
    <cellStyle name="Normal 13 9 3 2" xfId="2723" xr:uid="{00000000-0005-0000-0000-0000A9270000}"/>
    <cellStyle name="Normal 13 9 3 2 2" xfId="9255" xr:uid="{00000000-0005-0000-0000-0000AA270000}"/>
    <cellStyle name="Normal 13 9 3 2 2 2" xfId="40996" xr:uid="{00000000-0005-0000-0000-0000AB270000}"/>
    <cellStyle name="Normal 13 9 3 2 2 2 2" xfId="57096" xr:uid="{00000000-0005-0000-0000-0000AC270000}"/>
    <cellStyle name="Normal 13 9 3 2 2 3" xfId="47529" xr:uid="{00000000-0005-0000-0000-0000AD270000}"/>
    <cellStyle name="Normal 13 9 3 2 2 4" xfId="31429" xr:uid="{00000000-0005-0000-0000-0000AE270000}"/>
    <cellStyle name="Normal 13 9 3 2 2 5" xfId="21860" xr:uid="{00000000-0005-0000-0000-0000AF270000}"/>
    <cellStyle name="Normal 13 9 3 2 3" xfId="12291" xr:uid="{00000000-0005-0000-0000-0000B0270000}"/>
    <cellStyle name="Normal 13 9 3 2 3 2" xfId="50565" xr:uid="{00000000-0005-0000-0000-0000B1270000}"/>
    <cellStyle name="Normal 13 9 3 2 3 3" xfId="34465" xr:uid="{00000000-0005-0000-0000-0000B2270000}"/>
    <cellStyle name="Normal 13 9 3 2 3 4" xfId="24896" xr:uid="{00000000-0005-0000-0000-0000B3270000}"/>
    <cellStyle name="Normal 13 9 3 2 4" xfId="6219" xr:uid="{00000000-0005-0000-0000-0000B4270000}"/>
    <cellStyle name="Normal 13 9 3 2 4 2" xfId="54060" xr:uid="{00000000-0005-0000-0000-0000B5270000}"/>
    <cellStyle name="Normal 13 9 3 2 4 3" xfId="37960" xr:uid="{00000000-0005-0000-0000-0000B6270000}"/>
    <cellStyle name="Normal 13 9 3 2 4 4" xfId="18824" xr:uid="{00000000-0005-0000-0000-0000B7270000}"/>
    <cellStyle name="Normal 13 9 3 2 5" xfId="44493" xr:uid="{00000000-0005-0000-0000-0000B8270000}"/>
    <cellStyle name="Normal 13 9 3 2 6" xfId="28393" xr:uid="{00000000-0005-0000-0000-0000B9270000}"/>
    <cellStyle name="Normal 13 9 3 2 7" xfId="15329" xr:uid="{00000000-0005-0000-0000-0000BA270000}"/>
    <cellStyle name="Normal 13 9 3 3" xfId="1705" xr:uid="{00000000-0005-0000-0000-0000BB270000}"/>
    <cellStyle name="Normal 13 9 3 3 2" xfId="8239" xr:uid="{00000000-0005-0000-0000-0000BC270000}"/>
    <cellStyle name="Normal 13 9 3 3 2 2" xfId="39980" xr:uid="{00000000-0005-0000-0000-0000BD270000}"/>
    <cellStyle name="Normal 13 9 3 3 2 2 2" xfId="56080" xr:uid="{00000000-0005-0000-0000-0000BE270000}"/>
    <cellStyle name="Normal 13 9 3 3 2 3" xfId="46513" xr:uid="{00000000-0005-0000-0000-0000BF270000}"/>
    <cellStyle name="Normal 13 9 3 3 2 4" xfId="30413" xr:uid="{00000000-0005-0000-0000-0000C0270000}"/>
    <cellStyle name="Normal 13 9 3 3 2 5" xfId="20844" xr:uid="{00000000-0005-0000-0000-0000C1270000}"/>
    <cellStyle name="Normal 13 9 3 3 3" xfId="11275" xr:uid="{00000000-0005-0000-0000-0000C2270000}"/>
    <cellStyle name="Normal 13 9 3 3 3 2" xfId="49549" xr:uid="{00000000-0005-0000-0000-0000C3270000}"/>
    <cellStyle name="Normal 13 9 3 3 3 3" xfId="33449" xr:uid="{00000000-0005-0000-0000-0000C4270000}"/>
    <cellStyle name="Normal 13 9 3 3 3 4" xfId="23880" xr:uid="{00000000-0005-0000-0000-0000C5270000}"/>
    <cellStyle name="Normal 13 9 3 3 4" xfId="5203" xr:uid="{00000000-0005-0000-0000-0000C6270000}"/>
    <cellStyle name="Normal 13 9 3 3 4 2" xfId="53044" xr:uid="{00000000-0005-0000-0000-0000C7270000}"/>
    <cellStyle name="Normal 13 9 3 3 4 3" xfId="36944" xr:uid="{00000000-0005-0000-0000-0000C8270000}"/>
    <cellStyle name="Normal 13 9 3 3 4 4" xfId="17808" xr:uid="{00000000-0005-0000-0000-0000C9270000}"/>
    <cellStyle name="Normal 13 9 3 3 5" xfId="43477" xr:uid="{00000000-0005-0000-0000-0000CA270000}"/>
    <cellStyle name="Normal 13 9 3 3 6" xfId="27377" xr:uid="{00000000-0005-0000-0000-0000CB270000}"/>
    <cellStyle name="Normal 13 9 3 3 7" xfId="14313" xr:uid="{00000000-0005-0000-0000-0000CC270000}"/>
    <cellStyle name="Normal 13 9 3 4" xfId="7229" xr:uid="{00000000-0005-0000-0000-0000CD270000}"/>
    <cellStyle name="Normal 13 9 3 4 2" xfId="38970" xr:uid="{00000000-0005-0000-0000-0000CE270000}"/>
    <cellStyle name="Normal 13 9 3 4 2 2" xfId="55070" xr:uid="{00000000-0005-0000-0000-0000CF270000}"/>
    <cellStyle name="Normal 13 9 3 4 3" xfId="45503" xr:uid="{00000000-0005-0000-0000-0000D0270000}"/>
    <cellStyle name="Normal 13 9 3 4 4" xfId="29403" xr:uid="{00000000-0005-0000-0000-0000D1270000}"/>
    <cellStyle name="Normal 13 9 3 4 5" xfId="19834" xr:uid="{00000000-0005-0000-0000-0000D2270000}"/>
    <cellStyle name="Normal 13 9 3 5" xfId="10265" xr:uid="{00000000-0005-0000-0000-0000D3270000}"/>
    <cellStyle name="Normal 13 9 3 5 2" xfId="48539" xr:uid="{00000000-0005-0000-0000-0000D4270000}"/>
    <cellStyle name="Normal 13 9 3 5 3" xfId="32439" xr:uid="{00000000-0005-0000-0000-0000D5270000}"/>
    <cellStyle name="Normal 13 9 3 5 4" xfId="22870" xr:uid="{00000000-0005-0000-0000-0000D6270000}"/>
    <cellStyle name="Normal 13 9 3 6" xfId="4193" xr:uid="{00000000-0005-0000-0000-0000D7270000}"/>
    <cellStyle name="Normal 13 9 3 6 2" xfId="52034" xr:uid="{00000000-0005-0000-0000-0000D8270000}"/>
    <cellStyle name="Normal 13 9 3 6 3" xfId="35934" xr:uid="{00000000-0005-0000-0000-0000D9270000}"/>
    <cellStyle name="Normal 13 9 3 6 4" xfId="16798" xr:uid="{00000000-0005-0000-0000-0000DA270000}"/>
    <cellStyle name="Normal 13 9 3 7" xfId="42467" xr:uid="{00000000-0005-0000-0000-0000DB270000}"/>
    <cellStyle name="Normal 13 9 3 8" xfId="26367" xr:uid="{00000000-0005-0000-0000-0000DC270000}"/>
    <cellStyle name="Normal 13 9 3 9" xfId="13303" xr:uid="{00000000-0005-0000-0000-0000DD270000}"/>
    <cellStyle name="Normal 13 9 4" xfId="2495" xr:uid="{00000000-0005-0000-0000-0000DE270000}"/>
    <cellStyle name="Normal 13 9 4 2" xfId="9027" xr:uid="{00000000-0005-0000-0000-0000DF270000}"/>
    <cellStyle name="Normal 13 9 4 2 2" xfId="40768" xr:uid="{00000000-0005-0000-0000-0000E0270000}"/>
    <cellStyle name="Normal 13 9 4 2 2 2" xfId="56868" xr:uid="{00000000-0005-0000-0000-0000E1270000}"/>
    <cellStyle name="Normal 13 9 4 2 3" xfId="47301" xr:uid="{00000000-0005-0000-0000-0000E2270000}"/>
    <cellStyle name="Normal 13 9 4 2 4" xfId="31201" xr:uid="{00000000-0005-0000-0000-0000E3270000}"/>
    <cellStyle name="Normal 13 9 4 2 5" xfId="21632" xr:uid="{00000000-0005-0000-0000-0000E4270000}"/>
    <cellStyle name="Normal 13 9 4 3" xfId="12063" xr:uid="{00000000-0005-0000-0000-0000E5270000}"/>
    <cellStyle name="Normal 13 9 4 3 2" xfId="50337" xr:uid="{00000000-0005-0000-0000-0000E6270000}"/>
    <cellStyle name="Normal 13 9 4 3 3" xfId="34237" xr:uid="{00000000-0005-0000-0000-0000E7270000}"/>
    <cellStyle name="Normal 13 9 4 3 4" xfId="24668" xr:uid="{00000000-0005-0000-0000-0000E8270000}"/>
    <cellStyle name="Normal 13 9 4 4" xfId="5991" xr:uid="{00000000-0005-0000-0000-0000E9270000}"/>
    <cellStyle name="Normal 13 9 4 4 2" xfId="53832" xr:uid="{00000000-0005-0000-0000-0000EA270000}"/>
    <cellStyle name="Normal 13 9 4 4 3" xfId="37732" xr:uid="{00000000-0005-0000-0000-0000EB270000}"/>
    <cellStyle name="Normal 13 9 4 4 4" xfId="18596" xr:uid="{00000000-0005-0000-0000-0000EC270000}"/>
    <cellStyle name="Normal 13 9 4 5" xfId="44265" xr:uid="{00000000-0005-0000-0000-0000ED270000}"/>
    <cellStyle name="Normal 13 9 4 6" xfId="28165" xr:uid="{00000000-0005-0000-0000-0000EE270000}"/>
    <cellStyle name="Normal 13 9 4 7" xfId="15101" xr:uid="{00000000-0005-0000-0000-0000EF270000}"/>
    <cellStyle name="Normal 13 9 5" xfId="1244" xr:uid="{00000000-0005-0000-0000-0000F0270000}"/>
    <cellStyle name="Normal 13 9 5 2" xfId="7778" xr:uid="{00000000-0005-0000-0000-0000F1270000}"/>
    <cellStyle name="Normal 13 9 5 2 2" xfId="39519" xr:uid="{00000000-0005-0000-0000-0000F2270000}"/>
    <cellStyle name="Normal 13 9 5 2 2 2" xfId="55619" xr:uid="{00000000-0005-0000-0000-0000F3270000}"/>
    <cellStyle name="Normal 13 9 5 2 3" xfId="46052" xr:uid="{00000000-0005-0000-0000-0000F4270000}"/>
    <cellStyle name="Normal 13 9 5 2 4" xfId="29952" xr:uid="{00000000-0005-0000-0000-0000F5270000}"/>
    <cellStyle name="Normal 13 9 5 2 5" xfId="20383" xr:uid="{00000000-0005-0000-0000-0000F6270000}"/>
    <cellStyle name="Normal 13 9 5 3" xfId="10814" xr:uid="{00000000-0005-0000-0000-0000F7270000}"/>
    <cellStyle name="Normal 13 9 5 3 2" xfId="49088" xr:uid="{00000000-0005-0000-0000-0000F8270000}"/>
    <cellStyle name="Normal 13 9 5 3 3" xfId="32988" xr:uid="{00000000-0005-0000-0000-0000F9270000}"/>
    <cellStyle name="Normal 13 9 5 3 4" xfId="23419" xr:uid="{00000000-0005-0000-0000-0000FA270000}"/>
    <cellStyle name="Normal 13 9 5 4" xfId="4742" xr:uid="{00000000-0005-0000-0000-0000FB270000}"/>
    <cellStyle name="Normal 13 9 5 4 2" xfId="52583" xr:uid="{00000000-0005-0000-0000-0000FC270000}"/>
    <cellStyle name="Normal 13 9 5 4 3" xfId="36483" xr:uid="{00000000-0005-0000-0000-0000FD270000}"/>
    <cellStyle name="Normal 13 9 5 4 4" xfId="17347" xr:uid="{00000000-0005-0000-0000-0000FE270000}"/>
    <cellStyle name="Normal 13 9 5 5" xfId="43016" xr:uid="{00000000-0005-0000-0000-0000FF270000}"/>
    <cellStyle name="Normal 13 9 5 6" xfId="26916" xr:uid="{00000000-0005-0000-0000-000000280000}"/>
    <cellStyle name="Normal 13 9 5 7" xfId="13852" xr:uid="{00000000-0005-0000-0000-000001280000}"/>
    <cellStyle name="Normal 13 9 6" xfId="3732" xr:uid="{00000000-0005-0000-0000-000002280000}"/>
    <cellStyle name="Normal 13 9 6 2" xfId="35473" xr:uid="{00000000-0005-0000-0000-000003280000}"/>
    <cellStyle name="Normal 13 9 6 2 2" xfId="51573" xr:uid="{00000000-0005-0000-0000-000004280000}"/>
    <cellStyle name="Normal 13 9 6 3" xfId="42006" xr:uid="{00000000-0005-0000-0000-000005280000}"/>
    <cellStyle name="Normal 13 9 6 4" xfId="25906" xr:uid="{00000000-0005-0000-0000-000006280000}"/>
    <cellStyle name="Normal 13 9 6 5" xfId="16337" xr:uid="{00000000-0005-0000-0000-000007280000}"/>
    <cellStyle name="Normal 13 9 7" xfId="6768" xr:uid="{00000000-0005-0000-0000-000008280000}"/>
    <cellStyle name="Normal 13 9 7 2" xfId="38509" xr:uid="{00000000-0005-0000-0000-000009280000}"/>
    <cellStyle name="Normal 13 9 7 2 2" xfId="54609" xr:uid="{00000000-0005-0000-0000-00000A280000}"/>
    <cellStyle name="Normal 13 9 7 3" xfId="45042" xr:uid="{00000000-0005-0000-0000-00000B280000}"/>
    <cellStyle name="Normal 13 9 7 4" xfId="28942" xr:uid="{00000000-0005-0000-0000-00000C280000}"/>
    <cellStyle name="Normal 13 9 7 5" xfId="19373" xr:uid="{00000000-0005-0000-0000-00000D280000}"/>
    <cellStyle name="Normal 13 9 8" xfId="9804" xr:uid="{00000000-0005-0000-0000-00000E280000}"/>
    <cellStyle name="Normal 13 9 8 2" xfId="48078" xr:uid="{00000000-0005-0000-0000-00000F280000}"/>
    <cellStyle name="Normal 13 9 8 3" xfId="31978" xr:uid="{00000000-0005-0000-0000-000010280000}"/>
    <cellStyle name="Normal 13 9 8 4" xfId="22409" xr:uid="{00000000-0005-0000-0000-000011280000}"/>
    <cellStyle name="Normal 13 9 9" xfId="3272" xr:uid="{00000000-0005-0000-0000-000012280000}"/>
    <cellStyle name="Normal 13 9 9 2" xfId="51114" xr:uid="{00000000-0005-0000-0000-000013280000}"/>
    <cellStyle name="Normal 13 9 9 3" xfId="35014" xr:uid="{00000000-0005-0000-0000-000014280000}"/>
    <cellStyle name="Normal 13 9 9 4" xfId="15878" xr:uid="{00000000-0005-0000-0000-000015280000}"/>
    <cellStyle name="Normal 14" xfId="20" xr:uid="{00000000-0005-0000-0000-000016280000}"/>
    <cellStyle name="Normal 14 10" xfId="482" xr:uid="{00000000-0005-0000-0000-000017280000}"/>
    <cellStyle name="Normal 14 10 10" xfId="41565" xr:uid="{00000000-0005-0000-0000-000018280000}"/>
    <cellStyle name="Normal 14 10 11" xfId="25465" xr:uid="{00000000-0005-0000-0000-000019280000}"/>
    <cellStyle name="Normal 14 10 12" xfId="12860" xr:uid="{00000000-0005-0000-0000-00001A280000}"/>
    <cellStyle name="Normal 14 10 2" xfId="935" xr:uid="{00000000-0005-0000-0000-00001B280000}"/>
    <cellStyle name="Normal 14 10 2 10" xfId="13543" xr:uid="{00000000-0005-0000-0000-00001C280000}"/>
    <cellStyle name="Normal 14 10 2 2" xfId="2963" xr:uid="{00000000-0005-0000-0000-00001D280000}"/>
    <cellStyle name="Normal 14 10 2 2 2" xfId="9495" xr:uid="{00000000-0005-0000-0000-00001E280000}"/>
    <cellStyle name="Normal 14 10 2 2 2 2" xfId="41236" xr:uid="{00000000-0005-0000-0000-00001F280000}"/>
    <cellStyle name="Normal 14 10 2 2 2 2 2" xfId="57336" xr:uid="{00000000-0005-0000-0000-000020280000}"/>
    <cellStyle name="Normal 14 10 2 2 2 3" xfId="47769" xr:uid="{00000000-0005-0000-0000-000021280000}"/>
    <cellStyle name="Normal 14 10 2 2 2 4" xfId="31669" xr:uid="{00000000-0005-0000-0000-000022280000}"/>
    <cellStyle name="Normal 14 10 2 2 2 5" xfId="22100" xr:uid="{00000000-0005-0000-0000-000023280000}"/>
    <cellStyle name="Normal 14 10 2 2 3" xfId="12531" xr:uid="{00000000-0005-0000-0000-000024280000}"/>
    <cellStyle name="Normal 14 10 2 2 3 2" xfId="50805" xr:uid="{00000000-0005-0000-0000-000025280000}"/>
    <cellStyle name="Normal 14 10 2 2 3 3" xfId="34705" xr:uid="{00000000-0005-0000-0000-000026280000}"/>
    <cellStyle name="Normal 14 10 2 2 3 4" xfId="25136" xr:uid="{00000000-0005-0000-0000-000027280000}"/>
    <cellStyle name="Normal 14 10 2 2 4" xfId="6459" xr:uid="{00000000-0005-0000-0000-000028280000}"/>
    <cellStyle name="Normal 14 10 2 2 4 2" xfId="54300" xr:uid="{00000000-0005-0000-0000-000029280000}"/>
    <cellStyle name="Normal 14 10 2 2 4 3" xfId="38200" xr:uid="{00000000-0005-0000-0000-00002A280000}"/>
    <cellStyle name="Normal 14 10 2 2 4 4" xfId="19064" xr:uid="{00000000-0005-0000-0000-00002B280000}"/>
    <cellStyle name="Normal 14 10 2 2 5" xfId="44733" xr:uid="{00000000-0005-0000-0000-00002C280000}"/>
    <cellStyle name="Normal 14 10 2 2 6" xfId="28633" xr:uid="{00000000-0005-0000-0000-00002D280000}"/>
    <cellStyle name="Normal 14 10 2 2 7" xfId="15569" xr:uid="{00000000-0005-0000-0000-00002E280000}"/>
    <cellStyle name="Normal 14 10 2 3" xfId="1945" xr:uid="{00000000-0005-0000-0000-00002F280000}"/>
    <cellStyle name="Normal 14 10 2 3 2" xfId="8479" xr:uid="{00000000-0005-0000-0000-000030280000}"/>
    <cellStyle name="Normal 14 10 2 3 2 2" xfId="40220" xr:uid="{00000000-0005-0000-0000-000031280000}"/>
    <cellStyle name="Normal 14 10 2 3 2 2 2" xfId="56320" xr:uid="{00000000-0005-0000-0000-000032280000}"/>
    <cellStyle name="Normal 14 10 2 3 2 3" xfId="46753" xr:uid="{00000000-0005-0000-0000-000033280000}"/>
    <cellStyle name="Normal 14 10 2 3 2 4" xfId="30653" xr:uid="{00000000-0005-0000-0000-000034280000}"/>
    <cellStyle name="Normal 14 10 2 3 2 5" xfId="21084" xr:uid="{00000000-0005-0000-0000-000035280000}"/>
    <cellStyle name="Normal 14 10 2 3 3" xfId="11515" xr:uid="{00000000-0005-0000-0000-000036280000}"/>
    <cellStyle name="Normal 14 10 2 3 3 2" xfId="49789" xr:uid="{00000000-0005-0000-0000-000037280000}"/>
    <cellStyle name="Normal 14 10 2 3 3 3" xfId="33689" xr:uid="{00000000-0005-0000-0000-000038280000}"/>
    <cellStyle name="Normal 14 10 2 3 3 4" xfId="24120" xr:uid="{00000000-0005-0000-0000-000039280000}"/>
    <cellStyle name="Normal 14 10 2 3 4" xfId="5443" xr:uid="{00000000-0005-0000-0000-00003A280000}"/>
    <cellStyle name="Normal 14 10 2 3 4 2" xfId="53284" xr:uid="{00000000-0005-0000-0000-00003B280000}"/>
    <cellStyle name="Normal 14 10 2 3 4 3" xfId="37184" xr:uid="{00000000-0005-0000-0000-00003C280000}"/>
    <cellStyle name="Normal 14 10 2 3 4 4" xfId="18048" xr:uid="{00000000-0005-0000-0000-00003D280000}"/>
    <cellStyle name="Normal 14 10 2 3 5" xfId="43717" xr:uid="{00000000-0005-0000-0000-00003E280000}"/>
    <cellStyle name="Normal 14 10 2 3 6" xfId="27617" xr:uid="{00000000-0005-0000-0000-00003F280000}"/>
    <cellStyle name="Normal 14 10 2 3 7" xfId="14553" xr:uid="{00000000-0005-0000-0000-000040280000}"/>
    <cellStyle name="Normal 14 10 2 4" xfId="4433" xr:uid="{00000000-0005-0000-0000-000041280000}"/>
    <cellStyle name="Normal 14 10 2 4 2" xfId="36174" xr:uid="{00000000-0005-0000-0000-000042280000}"/>
    <cellStyle name="Normal 14 10 2 4 2 2" xfId="52274" xr:uid="{00000000-0005-0000-0000-000043280000}"/>
    <cellStyle name="Normal 14 10 2 4 3" xfId="42707" xr:uid="{00000000-0005-0000-0000-000044280000}"/>
    <cellStyle name="Normal 14 10 2 4 4" xfId="26607" xr:uid="{00000000-0005-0000-0000-000045280000}"/>
    <cellStyle name="Normal 14 10 2 4 5" xfId="17038" xr:uid="{00000000-0005-0000-0000-000046280000}"/>
    <cellStyle name="Normal 14 10 2 5" xfId="7469" xr:uid="{00000000-0005-0000-0000-000047280000}"/>
    <cellStyle name="Normal 14 10 2 5 2" xfId="39210" xr:uid="{00000000-0005-0000-0000-000048280000}"/>
    <cellStyle name="Normal 14 10 2 5 2 2" xfId="55310" xr:uid="{00000000-0005-0000-0000-000049280000}"/>
    <cellStyle name="Normal 14 10 2 5 3" xfId="45743" xr:uid="{00000000-0005-0000-0000-00004A280000}"/>
    <cellStyle name="Normal 14 10 2 5 4" xfId="29643" xr:uid="{00000000-0005-0000-0000-00004B280000}"/>
    <cellStyle name="Normal 14 10 2 5 5" xfId="20074" xr:uid="{00000000-0005-0000-0000-00004C280000}"/>
    <cellStyle name="Normal 14 10 2 6" xfId="10505" xr:uid="{00000000-0005-0000-0000-00004D280000}"/>
    <cellStyle name="Normal 14 10 2 6 2" xfId="48779" xr:uid="{00000000-0005-0000-0000-00004E280000}"/>
    <cellStyle name="Normal 14 10 2 6 3" xfId="32679" xr:uid="{00000000-0005-0000-0000-00004F280000}"/>
    <cellStyle name="Normal 14 10 2 6 4" xfId="23110" xr:uid="{00000000-0005-0000-0000-000050280000}"/>
    <cellStyle name="Normal 14 10 2 7" xfId="3528" xr:uid="{00000000-0005-0000-0000-000051280000}"/>
    <cellStyle name="Normal 14 10 2 7 2" xfId="51369" xr:uid="{00000000-0005-0000-0000-000052280000}"/>
    <cellStyle name="Normal 14 10 2 7 3" xfId="35269" xr:uid="{00000000-0005-0000-0000-000053280000}"/>
    <cellStyle name="Normal 14 10 2 7 4" xfId="16133" xr:uid="{00000000-0005-0000-0000-000054280000}"/>
    <cellStyle name="Normal 14 10 2 8" xfId="41802" xr:uid="{00000000-0005-0000-0000-000055280000}"/>
    <cellStyle name="Normal 14 10 2 9" xfId="25702" xr:uid="{00000000-0005-0000-0000-000056280000}"/>
    <cellStyle name="Normal 14 10 3" xfId="713" xr:uid="{00000000-0005-0000-0000-000057280000}"/>
    <cellStyle name="Normal 14 10 3 2" xfId="2741" xr:uid="{00000000-0005-0000-0000-000058280000}"/>
    <cellStyle name="Normal 14 10 3 2 2" xfId="9273" xr:uid="{00000000-0005-0000-0000-000059280000}"/>
    <cellStyle name="Normal 14 10 3 2 2 2" xfId="41014" xr:uid="{00000000-0005-0000-0000-00005A280000}"/>
    <cellStyle name="Normal 14 10 3 2 2 2 2" xfId="57114" xr:uid="{00000000-0005-0000-0000-00005B280000}"/>
    <cellStyle name="Normal 14 10 3 2 2 3" xfId="47547" xr:uid="{00000000-0005-0000-0000-00005C280000}"/>
    <cellStyle name="Normal 14 10 3 2 2 4" xfId="31447" xr:uid="{00000000-0005-0000-0000-00005D280000}"/>
    <cellStyle name="Normal 14 10 3 2 2 5" xfId="21878" xr:uid="{00000000-0005-0000-0000-00005E280000}"/>
    <cellStyle name="Normal 14 10 3 2 3" xfId="12309" xr:uid="{00000000-0005-0000-0000-00005F280000}"/>
    <cellStyle name="Normal 14 10 3 2 3 2" xfId="50583" xr:uid="{00000000-0005-0000-0000-000060280000}"/>
    <cellStyle name="Normal 14 10 3 2 3 3" xfId="34483" xr:uid="{00000000-0005-0000-0000-000061280000}"/>
    <cellStyle name="Normal 14 10 3 2 3 4" xfId="24914" xr:uid="{00000000-0005-0000-0000-000062280000}"/>
    <cellStyle name="Normal 14 10 3 2 4" xfId="6237" xr:uid="{00000000-0005-0000-0000-000063280000}"/>
    <cellStyle name="Normal 14 10 3 2 4 2" xfId="54078" xr:uid="{00000000-0005-0000-0000-000064280000}"/>
    <cellStyle name="Normal 14 10 3 2 4 3" xfId="37978" xr:uid="{00000000-0005-0000-0000-000065280000}"/>
    <cellStyle name="Normal 14 10 3 2 4 4" xfId="18842" xr:uid="{00000000-0005-0000-0000-000066280000}"/>
    <cellStyle name="Normal 14 10 3 2 5" xfId="44511" xr:uid="{00000000-0005-0000-0000-000067280000}"/>
    <cellStyle name="Normal 14 10 3 2 6" xfId="28411" xr:uid="{00000000-0005-0000-0000-000068280000}"/>
    <cellStyle name="Normal 14 10 3 2 7" xfId="15347" xr:uid="{00000000-0005-0000-0000-000069280000}"/>
    <cellStyle name="Normal 14 10 3 3" xfId="1723" xr:uid="{00000000-0005-0000-0000-00006A280000}"/>
    <cellStyle name="Normal 14 10 3 3 2" xfId="8257" xr:uid="{00000000-0005-0000-0000-00006B280000}"/>
    <cellStyle name="Normal 14 10 3 3 2 2" xfId="39998" xr:uid="{00000000-0005-0000-0000-00006C280000}"/>
    <cellStyle name="Normal 14 10 3 3 2 2 2" xfId="56098" xr:uid="{00000000-0005-0000-0000-00006D280000}"/>
    <cellStyle name="Normal 14 10 3 3 2 3" xfId="46531" xr:uid="{00000000-0005-0000-0000-00006E280000}"/>
    <cellStyle name="Normal 14 10 3 3 2 4" xfId="30431" xr:uid="{00000000-0005-0000-0000-00006F280000}"/>
    <cellStyle name="Normal 14 10 3 3 2 5" xfId="20862" xr:uid="{00000000-0005-0000-0000-000070280000}"/>
    <cellStyle name="Normal 14 10 3 3 3" xfId="11293" xr:uid="{00000000-0005-0000-0000-000071280000}"/>
    <cellStyle name="Normal 14 10 3 3 3 2" xfId="49567" xr:uid="{00000000-0005-0000-0000-000072280000}"/>
    <cellStyle name="Normal 14 10 3 3 3 3" xfId="33467" xr:uid="{00000000-0005-0000-0000-000073280000}"/>
    <cellStyle name="Normal 14 10 3 3 3 4" xfId="23898" xr:uid="{00000000-0005-0000-0000-000074280000}"/>
    <cellStyle name="Normal 14 10 3 3 4" xfId="5221" xr:uid="{00000000-0005-0000-0000-000075280000}"/>
    <cellStyle name="Normal 14 10 3 3 4 2" xfId="53062" xr:uid="{00000000-0005-0000-0000-000076280000}"/>
    <cellStyle name="Normal 14 10 3 3 4 3" xfId="36962" xr:uid="{00000000-0005-0000-0000-000077280000}"/>
    <cellStyle name="Normal 14 10 3 3 4 4" xfId="17826" xr:uid="{00000000-0005-0000-0000-000078280000}"/>
    <cellStyle name="Normal 14 10 3 3 5" xfId="43495" xr:uid="{00000000-0005-0000-0000-000079280000}"/>
    <cellStyle name="Normal 14 10 3 3 6" xfId="27395" xr:uid="{00000000-0005-0000-0000-00007A280000}"/>
    <cellStyle name="Normal 14 10 3 3 7" xfId="14331" xr:uid="{00000000-0005-0000-0000-00007B280000}"/>
    <cellStyle name="Normal 14 10 3 4" xfId="7247" xr:uid="{00000000-0005-0000-0000-00007C280000}"/>
    <cellStyle name="Normal 14 10 3 4 2" xfId="38988" xr:uid="{00000000-0005-0000-0000-00007D280000}"/>
    <cellStyle name="Normal 14 10 3 4 2 2" xfId="55088" xr:uid="{00000000-0005-0000-0000-00007E280000}"/>
    <cellStyle name="Normal 14 10 3 4 3" xfId="45521" xr:uid="{00000000-0005-0000-0000-00007F280000}"/>
    <cellStyle name="Normal 14 10 3 4 4" xfId="29421" xr:uid="{00000000-0005-0000-0000-000080280000}"/>
    <cellStyle name="Normal 14 10 3 4 5" xfId="19852" xr:uid="{00000000-0005-0000-0000-000081280000}"/>
    <cellStyle name="Normal 14 10 3 5" xfId="10283" xr:uid="{00000000-0005-0000-0000-000082280000}"/>
    <cellStyle name="Normal 14 10 3 5 2" xfId="48557" xr:uid="{00000000-0005-0000-0000-000083280000}"/>
    <cellStyle name="Normal 14 10 3 5 3" xfId="32457" xr:uid="{00000000-0005-0000-0000-000084280000}"/>
    <cellStyle name="Normal 14 10 3 5 4" xfId="22888" xr:uid="{00000000-0005-0000-0000-000085280000}"/>
    <cellStyle name="Normal 14 10 3 6" xfId="4211" xr:uid="{00000000-0005-0000-0000-000086280000}"/>
    <cellStyle name="Normal 14 10 3 6 2" xfId="52052" xr:uid="{00000000-0005-0000-0000-000087280000}"/>
    <cellStyle name="Normal 14 10 3 6 3" xfId="35952" xr:uid="{00000000-0005-0000-0000-000088280000}"/>
    <cellStyle name="Normal 14 10 3 6 4" xfId="16816" xr:uid="{00000000-0005-0000-0000-000089280000}"/>
    <cellStyle name="Normal 14 10 3 7" xfId="42485" xr:uid="{00000000-0005-0000-0000-00008A280000}"/>
    <cellStyle name="Normal 14 10 3 8" xfId="26385" xr:uid="{00000000-0005-0000-0000-00008B280000}"/>
    <cellStyle name="Normal 14 10 3 9" xfId="13321" xr:uid="{00000000-0005-0000-0000-00008C280000}"/>
    <cellStyle name="Normal 14 10 4" xfId="2513" xr:uid="{00000000-0005-0000-0000-00008D280000}"/>
    <cellStyle name="Normal 14 10 4 2" xfId="9045" xr:uid="{00000000-0005-0000-0000-00008E280000}"/>
    <cellStyle name="Normal 14 10 4 2 2" xfId="40786" xr:uid="{00000000-0005-0000-0000-00008F280000}"/>
    <cellStyle name="Normal 14 10 4 2 2 2" xfId="56886" xr:uid="{00000000-0005-0000-0000-000090280000}"/>
    <cellStyle name="Normal 14 10 4 2 3" xfId="47319" xr:uid="{00000000-0005-0000-0000-000091280000}"/>
    <cellStyle name="Normal 14 10 4 2 4" xfId="31219" xr:uid="{00000000-0005-0000-0000-000092280000}"/>
    <cellStyle name="Normal 14 10 4 2 5" xfId="21650" xr:uid="{00000000-0005-0000-0000-000093280000}"/>
    <cellStyle name="Normal 14 10 4 3" xfId="12081" xr:uid="{00000000-0005-0000-0000-000094280000}"/>
    <cellStyle name="Normal 14 10 4 3 2" xfId="50355" xr:uid="{00000000-0005-0000-0000-000095280000}"/>
    <cellStyle name="Normal 14 10 4 3 3" xfId="34255" xr:uid="{00000000-0005-0000-0000-000096280000}"/>
    <cellStyle name="Normal 14 10 4 3 4" xfId="24686" xr:uid="{00000000-0005-0000-0000-000097280000}"/>
    <cellStyle name="Normal 14 10 4 4" xfId="6009" xr:uid="{00000000-0005-0000-0000-000098280000}"/>
    <cellStyle name="Normal 14 10 4 4 2" xfId="53850" xr:uid="{00000000-0005-0000-0000-000099280000}"/>
    <cellStyle name="Normal 14 10 4 4 3" xfId="37750" xr:uid="{00000000-0005-0000-0000-00009A280000}"/>
    <cellStyle name="Normal 14 10 4 4 4" xfId="18614" xr:uid="{00000000-0005-0000-0000-00009B280000}"/>
    <cellStyle name="Normal 14 10 4 5" xfId="44283" xr:uid="{00000000-0005-0000-0000-00009C280000}"/>
    <cellStyle name="Normal 14 10 4 6" xfId="28183" xr:uid="{00000000-0005-0000-0000-00009D280000}"/>
    <cellStyle name="Normal 14 10 4 7" xfId="15119" xr:uid="{00000000-0005-0000-0000-00009E280000}"/>
    <cellStyle name="Normal 14 10 5" xfId="1262" xr:uid="{00000000-0005-0000-0000-00009F280000}"/>
    <cellStyle name="Normal 14 10 5 2" xfId="7796" xr:uid="{00000000-0005-0000-0000-0000A0280000}"/>
    <cellStyle name="Normal 14 10 5 2 2" xfId="39537" xr:uid="{00000000-0005-0000-0000-0000A1280000}"/>
    <cellStyle name="Normal 14 10 5 2 2 2" xfId="55637" xr:uid="{00000000-0005-0000-0000-0000A2280000}"/>
    <cellStyle name="Normal 14 10 5 2 3" xfId="46070" xr:uid="{00000000-0005-0000-0000-0000A3280000}"/>
    <cellStyle name="Normal 14 10 5 2 4" xfId="29970" xr:uid="{00000000-0005-0000-0000-0000A4280000}"/>
    <cellStyle name="Normal 14 10 5 2 5" xfId="20401" xr:uid="{00000000-0005-0000-0000-0000A5280000}"/>
    <cellStyle name="Normal 14 10 5 3" xfId="10832" xr:uid="{00000000-0005-0000-0000-0000A6280000}"/>
    <cellStyle name="Normal 14 10 5 3 2" xfId="49106" xr:uid="{00000000-0005-0000-0000-0000A7280000}"/>
    <cellStyle name="Normal 14 10 5 3 3" xfId="33006" xr:uid="{00000000-0005-0000-0000-0000A8280000}"/>
    <cellStyle name="Normal 14 10 5 3 4" xfId="23437" xr:uid="{00000000-0005-0000-0000-0000A9280000}"/>
    <cellStyle name="Normal 14 10 5 4" xfId="4760" xr:uid="{00000000-0005-0000-0000-0000AA280000}"/>
    <cellStyle name="Normal 14 10 5 4 2" xfId="52601" xr:uid="{00000000-0005-0000-0000-0000AB280000}"/>
    <cellStyle name="Normal 14 10 5 4 3" xfId="36501" xr:uid="{00000000-0005-0000-0000-0000AC280000}"/>
    <cellStyle name="Normal 14 10 5 4 4" xfId="17365" xr:uid="{00000000-0005-0000-0000-0000AD280000}"/>
    <cellStyle name="Normal 14 10 5 5" xfId="43034" xr:uid="{00000000-0005-0000-0000-0000AE280000}"/>
    <cellStyle name="Normal 14 10 5 6" xfId="26934" xr:uid="{00000000-0005-0000-0000-0000AF280000}"/>
    <cellStyle name="Normal 14 10 5 7" xfId="13870" xr:uid="{00000000-0005-0000-0000-0000B0280000}"/>
    <cellStyle name="Normal 14 10 6" xfId="3750" xr:uid="{00000000-0005-0000-0000-0000B1280000}"/>
    <cellStyle name="Normal 14 10 6 2" xfId="35491" xr:uid="{00000000-0005-0000-0000-0000B2280000}"/>
    <cellStyle name="Normal 14 10 6 2 2" xfId="51591" xr:uid="{00000000-0005-0000-0000-0000B3280000}"/>
    <cellStyle name="Normal 14 10 6 3" xfId="42024" xr:uid="{00000000-0005-0000-0000-0000B4280000}"/>
    <cellStyle name="Normal 14 10 6 4" xfId="25924" xr:uid="{00000000-0005-0000-0000-0000B5280000}"/>
    <cellStyle name="Normal 14 10 6 5" xfId="16355" xr:uid="{00000000-0005-0000-0000-0000B6280000}"/>
    <cellStyle name="Normal 14 10 7" xfId="6786" xr:uid="{00000000-0005-0000-0000-0000B7280000}"/>
    <cellStyle name="Normal 14 10 7 2" xfId="38527" xr:uid="{00000000-0005-0000-0000-0000B8280000}"/>
    <cellStyle name="Normal 14 10 7 2 2" xfId="54627" xr:uid="{00000000-0005-0000-0000-0000B9280000}"/>
    <cellStyle name="Normal 14 10 7 3" xfId="45060" xr:uid="{00000000-0005-0000-0000-0000BA280000}"/>
    <cellStyle name="Normal 14 10 7 4" xfId="28960" xr:uid="{00000000-0005-0000-0000-0000BB280000}"/>
    <cellStyle name="Normal 14 10 7 5" xfId="19391" xr:uid="{00000000-0005-0000-0000-0000BC280000}"/>
    <cellStyle name="Normal 14 10 8" xfId="9822" xr:uid="{00000000-0005-0000-0000-0000BD280000}"/>
    <cellStyle name="Normal 14 10 8 2" xfId="48096" xr:uid="{00000000-0005-0000-0000-0000BE280000}"/>
    <cellStyle name="Normal 14 10 8 3" xfId="31996" xr:uid="{00000000-0005-0000-0000-0000BF280000}"/>
    <cellStyle name="Normal 14 10 8 4" xfId="22427" xr:uid="{00000000-0005-0000-0000-0000C0280000}"/>
    <cellStyle name="Normal 14 10 9" xfId="3290" xr:uid="{00000000-0005-0000-0000-0000C1280000}"/>
    <cellStyle name="Normal 14 10 9 2" xfId="51132" xr:uid="{00000000-0005-0000-0000-0000C2280000}"/>
    <cellStyle name="Normal 14 10 9 3" xfId="35032" xr:uid="{00000000-0005-0000-0000-0000C3280000}"/>
    <cellStyle name="Normal 14 10 9 4" xfId="15896" xr:uid="{00000000-0005-0000-0000-0000C4280000}"/>
    <cellStyle name="Normal 14 11" xfId="425" xr:uid="{00000000-0005-0000-0000-0000C5280000}"/>
    <cellStyle name="Normal 14 11 10" xfId="41412" xr:uid="{00000000-0005-0000-0000-0000C6280000}"/>
    <cellStyle name="Normal 14 11 11" xfId="25312" xr:uid="{00000000-0005-0000-0000-0000C7280000}"/>
    <cellStyle name="Normal 14 11 12" xfId="12707" xr:uid="{00000000-0005-0000-0000-0000C8280000}"/>
    <cellStyle name="Normal 14 11 2" xfId="782" xr:uid="{00000000-0005-0000-0000-0000C9280000}"/>
    <cellStyle name="Normal 14 11 2 10" xfId="13390" xr:uid="{00000000-0005-0000-0000-0000CA280000}"/>
    <cellStyle name="Normal 14 11 2 2" xfId="2810" xr:uid="{00000000-0005-0000-0000-0000CB280000}"/>
    <cellStyle name="Normal 14 11 2 2 2" xfId="9342" xr:uid="{00000000-0005-0000-0000-0000CC280000}"/>
    <cellStyle name="Normal 14 11 2 2 2 2" xfId="41083" xr:uid="{00000000-0005-0000-0000-0000CD280000}"/>
    <cellStyle name="Normal 14 11 2 2 2 2 2" xfId="57183" xr:uid="{00000000-0005-0000-0000-0000CE280000}"/>
    <cellStyle name="Normal 14 11 2 2 2 3" xfId="47616" xr:uid="{00000000-0005-0000-0000-0000CF280000}"/>
    <cellStyle name="Normal 14 11 2 2 2 4" xfId="31516" xr:uid="{00000000-0005-0000-0000-0000D0280000}"/>
    <cellStyle name="Normal 14 11 2 2 2 5" xfId="21947" xr:uid="{00000000-0005-0000-0000-0000D1280000}"/>
    <cellStyle name="Normal 14 11 2 2 3" xfId="12378" xr:uid="{00000000-0005-0000-0000-0000D2280000}"/>
    <cellStyle name="Normal 14 11 2 2 3 2" xfId="50652" xr:uid="{00000000-0005-0000-0000-0000D3280000}"/>
    <cellStyle name="Normal 14 11 2 2 3 3" xfId="34552" xr:uid="{00000000-0005-0000-0000-0000D4280000}"/>
    <cellStyle name="Normal 14 11 2 2 3 4" xfId="24983" xr:uid="{00000000-0005-0000-0000-0000D5280000}"/>
    <cellStyle name="Normal 14 11 2 2 4" xfId="6306" xr:uid="{00000000-0005-0000-0000-0000D6280000}"/>
    <cellStyle name="Normal 14 11 2 2 4 2" xfId="54147" xr:uid="{00000000-0005-0000-0000-0000D7280000}"/>
    <cellStyle name="Normal 14 11 2 2 4 3" xfId="38047" xr:uid="{00000000-0005-0000-0000-0000D8280000}"/>
    <cellStyle name="Normal 14 11 2 2 4 4" xfId="18911" xr:uid="{00000000-0005-0000-0000-0000D9280000}"/>
    <cellStyle name="Normal 14 11 2 2 5" xfId="44580" xr:uid="{00000000-0005-0000-0000-0000DA280000}"/>
    <cellStyle name="Normal 14 11 2 2 6" xfId="28480" xr:uid="{00000000-0005-0000-0000-0000DB280000}"/>
    <cellStyle name="Normal 14 11 2 2 7" xfId="15416" xr:uid="{00000000-0005-0000-0000-0000DC280000}"/>
    <cellStyle name="Normal 14 11 2 3" xfId="1792" xr:uid="{00000000-0005-0000-0000-0000DD280000}"/>
    <cellStyle name="Normal 14 11 2 3 2" xfId="8326" xr:uid="{00000000-0005-0000-0000-0000DE280000}"/>
    <cellStyle name="Normal 14 11 2 3 2 2" xfId="40067" xr:uid="{00000000-0005-0000-0000-0000DF280000}"/>
    <cellStyle name="Normal 14 11 2 3 2 2 2" xfId="56167" xr:uid="{00000000-0005-0000-0000-0000E0280000}"/>
    <cellStyle name="Normal 14 11 2 3 2 3" xfId="46600" xr:uid="{00000000-0005-0000-0000-0000E1280000}"/>
    <cellStyle name="Normal 14 11 2 3 2 4" xfId="30500" xr:uid="{00000000-0005-0000-0000-0000E2280000}"/>
    <cellStyle name="Normal 14 11 2 3 2 5" xfId="20931" xr:uid="{00000000-0005-0000-0000-0000E3280000}"/>
    <cellStyle name="Normal 14 11 2 3 3" xfId="11362" xr:uid="{00000000-0005-0000-0000-0000E4280000}"/>
    <cellStyle name="Normal 14 11 2 3 3 2" xfId="49636" xr:uid="{00000000-0005-0000-0000-0000E5280000}"/>
    <cellStyle name="Normal 14 11 2 3 3 3" xfId="33536" xr:uid="{00000000-0005-0000-0000-0000E6280000}"/>
    <cellStyle name="Normal 14 11 2 3 3 4" xfId="23967" xr:uid="{00000000-0005-0000-0000-0000E7280000}"/>
    <cellStyle name="Normal 14 11 2 3 4" xfId="5290" xr:uid="{00000000-0005-0000-0000-0000E8280000}"/>
    <cellStyle name="Normal 14 11 2 3 4 2" xfId="53131" xr:uid="{00000000-0005-0000-0000-0000E9280000}"/>
    <cellStyle name="Normal 14 11 2 3 4 3" xfId="37031" xr:uid="{00000000-0005-0000-0000-0000EA280000}"/>
    <cellStyle name="Normal 14 11 2 3 4 4" xfId="17895" xr:uid="{00000000-0005-0000-0000-0000EB280000}"/>
    <cellStyle name="Normal 14 11 2 3 5" xfId="43564" xr:uid="{00000000-0005-0000-0000-0000EC280000}"/>
    <cellStyle name="Normal 14 11 2 3 6" xfId="27464" xr:uid="{00000000-0005-0000-0000-0000ED280000}"/>
    <cellStyle name="Normal 14 11 2 3 7" xfId="14400" xr:uid="{00000000-0005-0000-0000-0000EE280000}"/>
    <cellStyle name="Normal 14 11 2 4" xfId="4280" xr:uid="{00000000-0005-0000-0000-0000EF280000}"/>
    <cellStyle name="Normal 14 11 2 4 2" xfId="36021" xr:uid="{00000000-0005-0000-0000-0000F0280000}"/>
    <cellStyle name="Normal 14 11 2 4 2 2" xfId="52121" xr:uid="{00000000-0005-0000-0000-0000F1280000}"/>
    <cellStyle name="Normal 14 11 2 4 3" xfId="42554" xr:uid="{00000000-0005-0000-0000-0000F2280000}"/>
    <cellStyle name="Normal 14 11 2 4 4" xfId="26454" xr:uid="{00000000-0005-0000-0000-0000F3280000}"/>
    <cellStyle name="Normal 14 11 2 4 5" xfId="16885" xr:uid="{00000000-0005-0000-0000-0000F4280000}"/>
    <cellStyle name="Normal 14 11 2 5" xfId="7316" xr:uid="{00000000-0005-0000-0000-0000F5280000}"/>
    <cellStyle name="Normal 14 11 2 5 2" xfId="39057" xr:uid="{00000000-0005-0000-0000-0000F6280000}"/>
    <cellStyle name="Normal 14 11 2 5 2 2" xfId="55157" xr:uid="{00000000-0005-0000-0000-0000F7280000}"/>
    <cellStyle name="Normal 14 11 2 5 3" xfId="45590" xr:uid="{00000000-0005-0000-0000-0000F8280000}"/>
    <cellStyle name="Normal 14 11 2 5 4" xfId="29490" xr:uid="{00000000-0005-0000-0000-0000F9280000}"/>
    <cellStyle name="Normal 14 11 2 5 5" xfId="19921" xr:uid="{00000000-0005-0000-0000-0000FA280000}"/>
    <cellStyle name="Normal 14 11 2 6" xfId="10352" xr:uid="{00000000-0005-0000-0000-0000FB280000}"/>
    <cellStyle name="Normal 14 11 2 6 2" xfId="48626" xr:uid="{00000000-0005-0000-0000-0000FC280000}"/>
    <cellStyle name="Normal 14 11 2 6 3" xfId="32526" xr:uid="{00000000-0005-0000-0000-0000FD280000}"/>
    <cellStyle name="Normal 14 11 2 6 4" xfId="22957" xr:uid="{00000000-0005-0000-0000-0000FE280000}"/>
    <cellStyle name="Normal 14 11 2 7" xfId="3375" xr:uid="{00000000-0005-0000-0000-0000FF280000}"/>
    <cellStyle name="Normal 14 11 2 7 2" xfId="51216" xr:uid="{00000000-0005-0000-0000-000000290000}"/>
    <cellStyle name="Normal 14 11 2 7 3" xfId="35116" xr:uid="{00000000-0005-0000-0000-000001290000}"/>
    <cellStyle name="Normal 14 11 2 7 4" xfId="15980" xr:uid="{00000000-0005-0000-0000-000002290000}"/>
    <cellStyle name="Normal 14 11 2 8" xfId="41649" xr:uid="{00000000-0005-0000-0000-000003290000}"/>
    <cellStyle name="Normal 14 11 2 9" xfId="25549" xr:uid="{00000000-0005-0000-0000-000004290000}"/>
    <cellStyle name="Normal 14 11 3" xfId="640" xr:uid="{00000000-0005-0000-0000-000005290000}"/>
    <cellStyle name="Normal 14 11 3 2" xfId="2668" xr:uid="{00000000-0005-0000-0000-000006290000}"/>
    <cellStyle name="Normal 14 11 3 2 2" xfId="9200" xr:uid="{00000000-0005-0000-0000-000007290000}"/>
    <cellStyle name="Normal 14 11 3 2 2 2" xfId="40941" xr:uid="{00000000-0005-0000-0000-000008290000}"/>
    <cellStyle name="Normal 14 11 3 2 2 2 2" xfId="57041" xr:uid="{00000000-0005-0000-0000-000009290000}"/>
    <cellStyle name="Normal 14 11 3 2 2 3" xfId="47474" xr:uid="{00000000-0005-0000-0000-00000A290000}"/>
    <cellStyle name="Normal 14 11 3 2 2 4" xfId="31374" xr:uid="{00000000-0005-0000-0000-00000B290000}"/>
    <cellStyle name="Normal 14 11 3 2 2 5" xfId="21805" xr:uid="{00000000-0005-0000-0000-00000C290000}"/>
    <cellStyle name="Normal 14 11 3 2 3" xfId="12236" xr:uid="{00000000-0005-0000-0000-00000D290000}"/>
    <cellStyle name="Normal 14 11 3 2 3 2" xfId="50510" xr:uid="{00000000-0005-0000-0000-00000E290000}"/>
    <cellStyle name="Normal 14 11 3 2 3 3" xfId="34410" xr:uid="{00000000-0005-0000-0000-00000F290000}"/>
    <cellStyle name="Normal 14 11 3 2 3 4" xfId="24841" xr:uid="{00000000-0005-0000-0000-000010290000}"/>
    <cellStyle name="Normal 14 11 3 2 4" xfId="6164" xr:uid="{00000000-0005-0000-0000-000011290000}"/>
    <cellStyle name="Normal 14 11 3 2 4 2" xfId="54005" xr:uid="{00000000-0005-0000-0000-000012290000}"/>
    <cellStyle name="Normal 14 11 3 2 4 3" xfId="37905" xr:uid="{00000000-0005-0000-0000-000013290000}"/>
    <cellStyle name="Normal 14 11 3 2 4 4" xfId="18769" xr:uid="{00000000-0005-0000-0000-000014290000}"/>
    <cellStyle name="Normal 14 11 3 2 5" xfId="44438" xr:uid="{00000000-0005-0000-0000-000015290000}"/>
    <cellStyle name="Normal 14 11 3 2 6" xfId="28338" xr:uid="{00000000-0005-0000-0000-000016290000}"/>
    <cellStyle name="Normal 14 11 3 2 7" xfId="15274" xr:uid="{00000000-0005-0000-0000-000017290000}"/>
    <cellStyle name="Normal 14 11 3 3" xfId="1650" xr:uid="{00000000-0005-0000-0000-000018290000}"/>
    <cellStyle name="Normal 14 11 3 3 2" xfId="8184" xr:uid="{00000000-0005-0000-0000-000019290000}"/>
    <cellStyle name="Normal 14 11 3 3 2 2" xfId="39925" xr:uid="{00000000-0005-0000-0000-00001A290000}"/>
    <cellStyle name="Normal 14 11 3 3 2 2 2" xfId="56025" xr:uid="{00000000-0005-0000-0000-00001B290000}"/>
    <cellStyle name="Normal 14 11 3 3 2 3" xfId="46458" xr:uid="{00000000-0005-0000-0000-00001C290000}"/>
    <cellStyle name="Normal 14 11 3 3 2 4" xfId="30358" xr:uid="{00000000-0005-0000-0000-00001D290000}"/>
    <cellStyle name="Normal 14 11 3 3 2 5" xfId="20789" xr:uid="{00000000-0005-0000-0000-00001E290000}"/>
    <cellStyle name="Normal 14 11 3 3 3" xfId="11220" xr:uid="{00000000-0005-0000-0000-00001F290000}"/>
    <cellStyle name="Normal 14 11 3 3 3 2" xfId="49494" xr:uid="{00000000-0005-0000-0000-000020290000}"/>
    <cellStyle name="Normal 14 11 3 3 3 3" xfId="33394" xr:uid="{00000000-0005-0000-0000-000021290000}"/>
    <cellStyle name="Normal 14 11 3 3 3 4" xfId="23825" xr:uid="{00000000-0005-0000-0000-000022290000}"/>
    <cellStyle name="Normal 14 11 3 3 4" xfId="5148" xr:uid="{00000000-0005-0000-0000-000023290000}"/>
    <cellStyle name="Normal 14 11 3 3 4 2" xfId="52989" xr:uid="{00000000-0005-0000-0000-000024290000}"/>
    <cellStyle name="Normal 14 11 3 3 4 3" xfId="36889" xr:uid="{00000000-0005-0000-0000-000025290000}"/>
    <cellStyle name="Normal 14 11 3 3 4 4" xfId="17753" xr:uid="{00000000-0005-0000-0000-000026290000}"/>
    <cellStyle name="Normal 14 11 3 3 5" xfId="43422" xr:uid="{00000000-0005-0000-0000-000027290000}"/>
    <cellStyle name="Normal 14 11 3 3 6" xfId="27322" xr:uid="{00000000-0005-0000-0000-000028290000}"/>
    <cellStyle name="Normal 14 11 3 3 7" xfId="14258" xr:uid="{00000000-0005-0000-0000-000029290000}"/>
    <cellStyle name="Normal 14 11 3 4" xfId="7174" xr:uid="{00000000-0005-0000-0000-00002A290000}"/>
    <cellStyle name="Normal 14 11 3 4 2" xfId="38915" xr:uid="{00000000-0005-0000-0000-00002B290000}"/>
    <cellStyle name="Normal 14 11 3 4 2 2" xfId="55015" xr:uid="{00000000-0005-0000-0000-00002C290000}"/>
    <cellStyle name="Normal 14 11 3 4 3" xfId="45448" xr:uid="{00000000-0005-0000-0000-00002D290000}"/>
    <cellStyle name="Normal 14 11 3 4 4" xfId="29348" xr:uid="{00000000-0005-0000-0000-00002E290000}"/>
    <cellStyle name="Normal 14 11 3 4 5" xfId="19779" xr:uid="{00000000-0005-0000-0000-00002F290000}"/>
    <cellStyle name="Normal 14 11 3 5" xfId="10210" xr:uid="{00000000-0005-0000-0000-000030290000}"/>
    <cellStyle name="Normal 14 11 3 5 2" xfId="48484" xr:uid="{00000000-0005-0000-0000-000031290000}"/>
    <cellStyle name="Normal 14 11 3 5 3" xfId="32384" xr:uid="{00000000-0005-0000-0000-000032290000}"/>
    <cellStyle name="Normal 14 11 3 5 4" xfId="22815" xr:uid="{00000000-0005-0000-0000-000033290000}"/>
    <cellStyle name="Normal 14 11 3 6" xfId="4138" xr:uid="{00000000-0005-0000-0000-000034290000}"/>
    <cellStyle name="Normal 14 11 3 6 2" xfId="51979" xr:uid="{00000000-0005-0000-0000-000035290000}"/>
    <cellStyle name="Normal 14 11 3 6 3" xfId="35879" xr:uid="{00000000-0005-0000-0000-000036290000}"/>
    <cellStyle name="Normal 14 11 3 6 4" xfId="16743" xr:uid="{00000000-0005-0000-0000-000037290000}"/>
    <cellStyle name="Normal 14 11 3 7" xfId="42412" xr:uid="{00000000-0005-0000-0000-000038290000}"/>
    <cellStyle name="Normal 14 11 3 8" xfId="26312" xr:uid="{00000000-0005-0000-0000-000039290000}"/>
    <cellStyle name="Normal 14 11 3 9" xfId="13248" xr:uid="{00000000-0005-0000-0000-00003A290000}"/>
    <cellStyle name="Normal 14 11 4" xfId="2440" xr:uid="{00000000-0005-0000-0000-00003B290000}"/>
    <cellStyle name="Normal 14 11 4 2" xfId="8972" xr:uid="{00000000-0005-0000-0000-00003C290000}"/>
    <cellStyle name="Normal 14 11 4 2 2" xfId="40713" xr:uid="{00000000-0005-0000-0000-00003D290000}"/>
    <cellStyle name="Normal 14 11 4 2 2 2" xfId="56813" xr:uid="{00000000-0005-0000-0000-00003E290000}"/>
    <cellStyle name="Normal 14 11 4 2 3" xfId="47246" xr:uid="{00000000-0005-0000-0000-00003F290000}"/>
    <cellStyle name="Normal 14 11 4 2 4" xfId="31146" xr:uid="{00000000-0005-0000-0000-000040290000}"/>
    <cellStyle name="Normal 14 11 4 2 5" xfId="21577" xr:uid="{00000000-0005-0000-0000-000041290000}"/>
    <cellStyle name="Normal 14 11 4 3" xfId="12008" xr:uid="{00000000-0005-0000-0000-000042290000}"/>
    <cellStyle name="Normal 14 11 4 3 2" xfId="50282" xr:uid="{00000000-0005-0000-0000-000043290000}"/>
    <cellStyle name="Normal 14 11 4 3 3" xfId="34182" xr:uid="{00000000-0005-0000-0000-000044290000}"/>
    <cellStyle name="Normal 14 11 4 3 4" xfId="24613" xr:uid="{00000000-0005-0000-0000-000045290000}"/>
    <cellStyle name="Normal 14 11 4 4" xfId="5936" xr:uid="{00000000-0005-0000-0000-000046290000}"/>
    <cellStyle name="Normal 14 11 4 4 2" xfId="53777" xr:uid="{00000000-0005-0000-0000-000047290000}"/>
    <cellStyle name="Normal 14 11 4 4 3" xfId="37677" xr:uid="{00000000-0005-0000-0000-000048290000}"/>
    <cellStyle name="Normal 14 11 4 4 4" xfId="18541" xr:uid="{00000000-0005-0000-0000-000049290000}"/>
    <cellStyle name="Normal 14 11 4 5" xfId="44210" xr:uid="{00000000-0005-0000-0000-00004A290000}"/>
    <cellStyle name="Normal 14 11 4 6" xfId="28110" xr:uid="{00000000-0005-0000-0000-00004B290000}"/>
    <cellStyle name="Normal 14 11 4 7" xfId="15046" xr:uid="{00000000-0005-0000-0000-00004C290000}"/>
    <cellStyle name="Normal 14 11 5" xfId="1109" xr:uid="{00000000-0005-0000-0000-00004D290000}"/>
    <cellStyle name="Normal 14 11 5 2" xfId="7643" xr:uid="{00000000-0005-0000-0000-00004E290000}"/>
    <cellStyle name="Normal 14 11 5 2 2" xfId="39384" xr:uid="{00000000-0005-0000-0000-00004F290000}"/>
    <cellStyle name="Normal 14 11 5 2 2 2" xfId="55484" xr:uid="{00000000-0005-0000-0000-000050290000}"/>
    <cellStyle name="Normal 14 11 5 2 3" xfId="45917" xr:uid="{00000000-0005-0000-0000-000051290000}"/>
    <cellStyle name="Normal 14 11 5 2 4" xfId="29817" xr:uid="{00000000-0005-0000-0000-000052290000}"/>
    <cellStyle name="Normal 14 11 5 2 5" xfId="20248" xr:uid="{00000000-0005-0000-0000-000053290000}"/>
    <cellStyle name="Normal 14 11 5 3" xfId="10679" xr:uid="{00000000-0005-0000-0000-000054290000}"/>
    <cellStyle name="Normal 14 11 5 3 2" xfId="48953" xr:uid="{00000000-0005-0000-0000-000055290000}"/>
    <cellStyle name="Normal 14 11 5 3 3" xfId="32853" xr:uid="{00000000-0005-0000-0000-000056290000}"/>
    <cellStyle name="Normal 14 11 5 3 4" xfId="23284" xr:uid="{00000000-0005-0000-0000-000057290000}"/>
    <cellStyle name="Normal 14 11 5 4" xfId="4607" xr:uid="{00000000-0005-0000-0000-000058290000}"/>
    <cellStyle name="Normal 14 11 5 4 2" xfId="52448" xr:uid="{00000000-0005-0000-0000-000059290000}"/>
    <cellStyle name="Normal 14 11 5 4 3" xfId="36348" xr:uid="{00000000-0005-0000-0000-00005A290000}"/>
    <cellStyle name="Normal 14 11 5 4 4" xfId="17212" xr:uid="{00000000-0005-0000-0000-00005B290000}"/>
    <cellStyle name="Normal 14 11 5 5" xfId="42881" xr:uid="{00000000-0005-0000-0000-00005C290000}"/>
    <cellStyle name="Normal 14 11 5 6" xfId="26781" xr:uid="{00000000-0005-0000-0000-00005D290000}"/>
    <cellStyle name="Normal 14 11 5 7" xfId="13717" xr:uid="{00000000-0005-0000-0000-00005E290000}"/>
    <cellStyle name="Normal 14 11 6" xfId="3597" xr:uid="{00000000-0005-0000-0000-00005F290000}"/>
    <cellStyle name="Normal 14 11 6 2" xfId="35338" xr:uid="{00000000-0005-0000-0000-000060290000}"/>
    <cellStyle name="Normal 14 11 6 2 2" xfId="51438" xr:uid="{00000000-0005-0000-0000-000061290000}"/>
    <cellStyle name="Normal 14 11 6 3" xfId="41871" xr:uid="{00000000-0005-0000-0000-000062290000}"/>
    <cellStyle name="Normal 14 11 6 4" xfId="25771" xr:uid="{00000000-0005-0000-0000-000063290000}"/>
    <cellStyle name="Normal 14 11 6 5" xfId="16202" xr:uid="{00000000-0005-0000-0000-000064290000}"/>
    <cellStyle name="Normal 14 11 7" xfId="6633" xr:uid="{00000000-0005-0000-0000-000065290000}"/>
    <cellStyle name="Normal 14 11 7 2" xfId="38374" xr:uid="{00000000-0005-0000-0000-000066290000}"/>
    <cellStyle name="Normal 14 11 7 2 2" xfId="54474" xr:uid="{00000000-0005-0000-0000-000067290000}"/>
    <cellStyle name="Normal 14 11 7 3" xfId="44907" xr:uid="{00000000-0005-0000-0000-000068290000}"/>
    <cellStyle name="Normal 14 11 7 4" xfId="28807" xr:uid="{00000000-0005-0000-0000-000069290000}"/>
    <cellStyle name="Normal 14 11 7 5" xfId="19238" xr:uid="{00000000-0005-0000-0000-00006A290000}"/>
    <cellStyle name="Normal 14 11 8" xfId="9669" xr:uid="{00000000-0005-0000-0000-00006B290000}"/>
    <cellStyle name="Normal 14 11 8 2" xfId="47943" xr:uid="{00000000-0005-0000-0000-00006C290000}"/>
    <cellStyle name="Normal 14 11 8 3" xfId="31843" xr:uid="{00000000-0005-0000-0000-00006D290000}"/>
    <cellStyle name="Normal 14 11 8 4" xfId="22274" xr:uid="{00000000-0005-0000-0000-00006E290000}"/>
    <cellStyle name="Normal 14 11 9" xfId="3137" xr:uid="{00000000-0005-0000-0000-00006F290000}"/>
    <cellStyle name="Normal 14 11 9 2" xfId="50979" xr:uid="{00000000-0005-0000-0000-000070290000}"/>
    <cellStyle name="Normal 14 11 9 3" xfId="34879" xr:uid="{00000000-0005-0000-0000-000071290000}"/>
    <cellStyle name="Normal 14 11 9 4" xfId="15743" xr:uid="{00000000-0005-0000-0000-000072290000}"/>
    <cellStyle name="Normal 14 12" xfId="405" xr:uid="{00000000-0005-0000-0000-000073290000}"/>
    <cellStyle name="Normal 14 12 10" xfId="41395" xr:uid="{00000000-0005-0000-0000-000074290000}"/>
    <cellStyle name="Normal 14 12 11" xfId="25295" xr:uid="{00000000-0005-0000-0000-000075290000}"/>
    <cellStyle name="Normal 14 12 12" xfId="12690" xr:uid="{00000000-0005-0000-0000-000076290000}"/>
    <cellStyle name="Normal 14 12 2" xfId="765" xr:uid="{00000000-0005-0000-0000-000077290000}"/>
    <cellStyle name="Normal 14 12 2 10" xfId="13373" xr:uid="{00000000-0005-0000-0000-000078290000}"/>
    <cellStyle name="Normal 14 12 2 2" xfId="2793" xr:uid="{00000000-0005-0000-0000-000079290000}"/>
    <cellStyle name="Normal 14 12 2 2 2" xfId="9325" xr:uid="{00000000-0005-0000-0000-00007A290000}"/>
    <cellStyle name="Normal 14 12 2 2 2 2" xfId="41066" xr:uid="{00000000-0005-0000-0000-00007B290000}"/>
    <cellStyle name="Normal 14 12 2 2 2 2 2" xfId="57166" xr:uid="{00000000-0005-0000-0000-00007C290000}"/>
    <cellStyle name="Normal 14 12 2 2 2 3" xfId="47599" xr:uid="{00000000-0005-0000-0000-00007D290000}"/>
    <cellStyle name="Normal 14 12 2 2 2 4" xfId="31499" xr:uid="{00000000-0005-0000-0000-00007E290000}"/>
    <cellStyle name="Normal 14 12 2 2 2 5" xfId="21930" xr:uid="{00000000-0005-0000-0000-00007F290000}"/>
    <cellStyle name="Normal 14 12 2 2 3" xfId="12361" xr:uid="{00000000-0005-0000-0000-000080290000}"/>
    <cellStyle name="Normal 14 12 2 2 3 2" xfId="50635" xr:uid="{00000000-0005-0000-0000-000081290000}"/>
    <cellStyle name="Normal 14 12 2 2 3 3" xfId="34535" xr:uid="{00000000-0005-0000-0000-000082290000}"/>
    <cellStyle name="Normal 14 12 2 2 3 4" xfId="24966" xr:uid="{00000000-0005-0000-0000-000083290000}"/>
    <cellStyle name="Normal 14 12 2 2 4" xfId="6289" xr:uid="{00000000-0005-0000-0000-000084290000}"/>
    <cellStyle name="Normal 14 12 2 2 4 2" xfId="54130" xr:uid="{00000000-0005-0000-0000-000085290000}"/>
    <cellStyle name="Normal 14 12 2 2 4 3" xfId="38030" xr:uid="{00000000-0005-0000-0000-000086290000}"/>
    <cellStyle name="Normal 14 12 2 2 4 4" xfId="18894" xr:uid="{00000000-0005-0000-0000-000087290000}"/>
    <cellStyle name="Normal 14 12 2 2 5" xfId="44563" xr:uid="{00000000-0005-0000-0000-000088290000}"/>
    <cellStyle name="Normal 14 12 2 2 6" xfId="28463" xr:uid="{00000000-0005-0000-0000-000089290000}"/>
    <cellStyle name="Normal 14 12 2 2 7" xfId="15399" xr:uid="{00000000-0005-0000-0000-00008A290000}"/>
    <cellStyle name="Normal 14 12 2 3" xfId="1775" xr:uid="{00000000-0005-0000-0000-00008B290000}"/>
    <cellStyle name="Normal 14 12 2 3 2" xfId="8309" xr:uid="{00000000-0005-0000-0000-00008C290000}"/>
    <cellStyle name="Normal 14 12 2 3 2 2" xfId="40050" xr:uid="{00000000-0005-0000-0000-00008D290000}"/>
    <cellStyle name="Normal 14 12 2 3 2 2 2" xfId="56150" xr:uid="{00000000-0005-0000-0000-00008E290000}"/>
    <cellStyle name="Normal 14 12 2 3 2 3" xfId="46583" xr:uid="{00000000-0005-0000-0000-00008F290000}"/>
    <cellStyle name="Normal 14 12 2 3 2 4" xfId="30483" xr:uid="{00000000-0005-0000-0000-000090290000}"/>
    <cellStyle name="Normal 14 12 2 3 2 5" xfId="20914" xr:uid="{00000000-0005-0000-0000-000091290000}"/>
    <cellStyle name="Normal 14 12 2 3 3" xfId="11345" xr:uid="{00000000-0005-0000-0000-000092290000}"/>
    <cellStyle name="Normal 14 12 2 3 3 2" xfId="49619" xr:uid="{00000000-0005-0000-0000-000093290000}"/>
    <cellStyle name="Normal 14 12 2 3 3 3" xfId="33519" xr:uid="{00000000-0005-0000-0000-000094290000}"/>
    <cellStyle name="Normal 14 12 2 3 3 4" xfId="23950" xr:uid="{00000000-0005-0000-0000-000095290000}"/>
    <cellStyle name="Normal 14 12 2 3 4" xfId="5273" xr:uid="{00000000-0005-0000-0000-000096290000}"/>
    <cellStyle name="Normal 14 12 2 3 4 2" xfId="53114" xr:uid="{00000000-0005-0000-0000-000097290000}"/>
    <cellStyle name="Normal 14 12 2 3 4 3" xfId="37014" xr:uid="{00000000-0005-0000-0000-000098290000}"/>
    <cellStyle name="Normal 14 12 2 3 4 4" xfId="17878" xr:uid="{00000000-0005-0000-0000-000099290000}"/>
    <cellStyle name="Normal 14 12 2 3 5" xfId="43547" xr:uid="{00000000-0005-0000-0000-00009A290000}"/>
    <cellStyle name="Normal 14 12 2 3 6" xfId="27447" xr:uid="{00000000-0005-0000-0000-00009B290000}"/>
    <cellStyle name="Normal 14 12 2 3 7" xfId="14383" xr:uid="{00000000-0005-0000-0000-00009C290000}"/>
    <cellStyle name="Normal 14 12 2 4" xfId="4263" xr:uid="{00000000-0005-0000-0000-00009D290000}"/>
    <cellStyle name="Normal 14 12 2 4 2" xfId="36004" xr:uid="{00000000-0005-0000-0000-00009E290000}"/>
    <cellStyle name="Normal 14 12 2 4 2 2" xfId="52104" xr:uid="{00000000-0005-0000-0000-00009F290000}"/>
    <cellStyle name="Normal 14 12 2 4 3" xfId="42537" xr:uid="{00000000-0005-0000-0000-0000A0290000}"/>
    <cellStyle name="Normal 14 12 2 4 4" xfId="26437" xr:uid="{00000000-0005-0000-0000-0000A1290000}"/>
    <cellStyle name="Normal 14 12 2 4 5" xfId="16868" xr:uid="{00000000-0005-0000-0000-0000A2290000}"/>
    <cellStyle name="Normal 14 12 2 5" xfId="7299" xr:uid="{00000000-0005-0000-0000-0000A3290000}"/>
    <cellStyle name="Normal 14 12 2 5 2" xfId="39040" xr:uid="{00000000-0005-0000-0000-0000A4290000}"/>
    <cellStyle name="Normal 14 12 2 5 2 2" xfId="55140" xr:uid="{00000000-0005-0000-0000-0000A5290000}"/>
    <cellStyle name="Normal 14 12 2 5 3" xfId="45573" xr:uid="{00000000-0005-0000-0000-0000A6290000}"/>
    <cellStyle name="Normal 14 12 2 5 4" xfId="29473" xr:uid="{00000000-0005-0000-0000-0000A7290000}"/>
    <cellStyle name="Normal 14 12 2 5 5" xfId="19904" xr:uid="{00000000-0005-0000-0000-0000A8290000}"/>
    <cellStyle name="Normal 14 12 2 6" xfId="10335" xr:uid="{00000000-0005-0000-0000-0000A9290000}"/>
    <cellStyle name="Normal 14 12 2 6 2" xfId="48609" xr:uid="{00000000-0005-0000-0000-0000AA290000}"/>
    <cellStyle name="Normal 14 12 2 6 3" xfId="32509" xr:uid="{00000000-0005-0000-0000-0000AB290000}"/>
    <cellStyle name="Normal 14 12 2 6 4" xfId="22940" xr:uid="{00000000-0005-0000-0000-0000AC290000}"/>
    <cellStyle name="Normal 14 12 2 7" xfId="3358" xr:uid="{00000000-0005-0000-0000-0000AD290000}"/>
    <cellStyle name="Normal 14 12 2 7 2" xfId="51199" xr:uid="{00000000-0005-0000-0000-0000AE290000}"/>
    <cellStyle name="Normal 14 12 2 7 3" xfId="35099" xr:uid="{00000000-0005-0000-0000-0000AF290000}"/>
    <cellStyle name="Normal 14 12 2 7 4" xfId="15963" xr:uid="{00000000-0005-0000-0000-0000B0290000}"/>
    <cellStyle name="Normal 14 12 2 8" xfId="41632" xr:uid="{00000000-0005-0000-0000-0000B1290000}"/>
    <cellStyle name="Normal 14 12 2 9" xfId="25532" xr:uid="{00000000-0005-0000-0000-0000B2290000}"/>
    <cellStyle name="Normal 14 12 3" xfId="623" xr:uid="{00000000-0005-0000-0000-0000B3290000}"/>
    <cellStyle name="Normal 14 12 3 2" xfId="2651" xr:uid="{00000000-0005-0000-0000-0000B4290000}"/>
    <cellStyle name="Normal 14 12 3 2 2" xfId="9183" xr:uid="{00000000-0005-0000-0000-0000B5290000}"/>
    <cellStyle name="Normal 14 12 3 2 2 2" xfId="40924" xr:uid="{00000000-0005-0000-0000-0000B6290000}"/>
    <cellStyle name="Normal 14 12 3 2 2 2 2" xfId="57024" xr:uid="{00000000-0005-0000-0000-0000B7290000}"/>
    <cellStyle name="Normal 14 12 3 2 2 3" xfId="47457" xr:uid="{00000000-0005-0000-0000-0000B8290000}"/>
    <cellStyle name="Normal 14 12 3 2 2 4" xfId="31357" xr:uid="{00000000-0005-0000-0000-0000B9290000}"/>
    <cellStyle name="Normal 14 12 3 2 2 5" xfId="21788" xr:uid="{00000000-0005-0000-0000-0000BA290000}"/>
    <cellStyle name="Normal 14 12 3 2 3" xfId="12219" xr:uid="{00000000-0005-0000-0000-0000BB290000}"/>
    <cellStyle name="Normal 14 12 3 2 3 2" xfId="50493" xr:uid="{00000000-0005-0000-0000-0000BC290000}"/>
    <cellStyle name="Normal 14 12 3 2 3 3" xfId="34393" xr:uid="{00000000-0005-0000-0000-0000BD290000}"/>
    <cellStyle name="Normal 14 12 3 2 3 4" xfId="24824" xr:uid="{00000000-0005-0000-0000-0000BE290000}"/>
    <cellStyle name="Normal 14 12 3 2 4" xfId="6147" xr:uid="{00000000-0005-0000-0000-0000BF290000}"/>
    <cellStyle name="Normal 14 12 3 2 4 2" xfId="53988" xr:uid="{00000000-0005-0000-0000-0000C0290000}"/>
    <cellStyle name="Normal 14 12 3 2 4 3" xfId="37888" xr:uid="{00000000-0005-0000-0000-0000C1290000}"/>
    <cellStyle name="Normal 14 12 3 2 4 4" xfId="18752" xr:uid="{00000000-0005-0000-0000-0000C2290000}"/>
    <cellStyle name="Normal 14 12 3 2 5" xfId="44421" xr:uid="{00000000-0005-0000-0000-0000C3290000}"/>
    <cellStyle name="Normal 14 12 3 2 6" xfId="28321" xr:uid="{00000000-0005-0000-0000-0000C4290000}"/>
    <cellStyle name="Normal 14 12 3 2 7" xfId="15257" xr:uid="{00000000-0005-0000-0000-0000C5290000}"/>
    <cellStyle name="Normal 14 12 3 3" xfId="1633" xr:uid="{00000000-0005-0000-0000-0000C6290000}"/>
    <cellStyle name="Normal 14 12 3 3 2" xfId="8167" xr:uid="{00000000-0005-0000-0000-0000C7290000}"/>
    <cellStyle name="Normal 14 12 3 3 2 2" xfId="39908" xr:uid="{00000000-0005-0000-0000-0000C8290000}"/>
    <cellStyle name="Normal 14 12 3 3 2 2 2" xfId="56008" xr:uid="{00000000-0005-0000-0000-0000C9290000}"/>
    <cellStyle name="Normal 14 12 3 3 2 3" xfId="46441" xr:uid="{00000000-0005-0000-0000-0000CA290000}"/>
    <cellStyle name="Normal 14 12 3 3 2 4" xfId="30341" xr:uid="{00000000-0005-0000-0000-0000CB290000}"/>
    <cellStyle name="Normal 14 12 3 3 2 5" xfId="20772" xr:uid="{00000000-0005-0000-0000-0000CC290000}"/>
    <cellStyle name="Normal 14 12 3 3 3" xfId="11203" xr:uid="{00000000-0005-0000-0000-0000CD290000}"/>
    <cellStyle name="Normal 14 12 3 3 3 2" xfId="49477" xr:uid="{00000000-0005-0000-0000-0000CE290000}"/>
    <cellStyle name="Normal 14 12 3 3 3 3" xfId="33377" xr:uid="{00000000-0005-0000-0000-0000CF290000}"/>
    <cellStyle name="Normal 14 12 3 3 3 4" xfId="23808" xr:uid="{00000000-0005-0000-0000-0000D0290000}"/>
    <cellStyle name="Normal 14 12 3 3 4" xfId="5131" xr:uid="{00000000-0005-0000-0000-0000D1290000}"/>
    <cellStyle name="Normal 14 12 3 3 4 2" xfId="52972" xr:uid="{00000000-0005-0000-0000-0000D2290000}"/>
    <cellStyle name="Normal 14 12 3 3 4 3" xfId="36872" xr:uid="{00000000-0005-0000-0000-0000D3290000}"/>
    <cellStyle name="Normal 14 12 3 3 4 4" xfId="17736" xr:uid="{00000000-0005-0000-0000-0000D4290000}"/>
    <cellStyle name="Normal 14 12 3 3 5" xfId="43405" xr:uid="{00000000-0005-0000-0000-0000D5290000}"/>
    <cellStyle name="Normal 14 12 3 3 6" xfId="27305" xr:uid="{00000000-0005-0000-0000-0000D6290000}"/>
    <cellStyle name="Normal 14 12 3 3 7" xfId="14241" xr:uid="{00000000-0005-0000-0000-0000D7290000}"/>
    <cellStyle name="Normal 14 12 3 4" xfId="7157" xr:uid="{00000000-0005-0000-0000-0000D8290000}"/>
    <cellStyle name="Normal 14 12 3 4 2" xfId="38898" xr:uid="{00000000-0005-0000-0000-0000D9290000}"/>
    <cellStyle name="Normal 14 12 3 4 2 2" xfId="54998" xr:uid="{00000000-0005-0000-0000-0000DA290000}"/>
    <cellStyle name="Normal 14 12 3 4 3" xfId="45431" xr:uid="{00000000-0005-0000-0000-0000DB290000}"/>
    <cellStyle name="Normal 14 12 3 4 4" xfId="29331" xr:uid="{00000000-0005-0000-0000-0000DC290000}"/>
    <cellStyle name="Normal 14 12 3 4 5" xfId="19762" xr:uid="{00000000-0005-0000-0000-0000DD290000}"/>
    <cellStyle name="Normal 14 12 3 5" xfId="10193" xr:uid="{00000000-0005-0000-0000-0000DE290000}"/>
    <cellStyle name="Normal 14 12 3 5 2" xfId="48467" xr:uid="{00000000-0005-0000-0000-0000DF290000}"/>
    <cellStyle name="Normal 14 12 3 5 3" xfId="32367" xr:uid="{00000000-0005-0000-0000-0000E0290000}"/>
    <cellStyle name="Normal 14 12 3 5 4" xfId="22798" xr:uid="{00000000-0005-0000-0000-0000E1290000}"/>
    <cellStyle name="Normal 14 12 3 6" xfId="4121" xr:uid="{00000000-0005-0000-0000-0000E2290000}"/>
    <cellStyle name="Normal 14 12 3 6 2" xfId="51962" xr:uid="{00000000-0005-0000-0000-0000E3290000}"/>
    <cellStyle name="Normal 14 12 3 6 3" xfId="35862" xr:uid="{00000000-0005-0000-0000-0000E4290000}"/>
    <cellStyle name="Normal 14 12 3 6 4" xfId="16726" xr:uid="{00000000-0005-0000-0000-0000E5290000}"/>
    <cellStyle name="Normal 14 12 3 7" xfId="42395" xr:uid="{00000000-0005-0000-0000-0000E6290000}"/>
    <cellStyle name="Normal 14 12 3 8" xfId="26295" xr:uid="{00000000-0005-0000-0000-0000E7290000}"/>
    <cellStyle name="Normal 14 12 3 9" xfId="13231" xr:uid="{00000000-0005-0000-0000-0000E8290000}"/>
    <cellStyle name="Normal 14 12 4" xfId="2423" xr:uid="{00000000-0005-0000-0000-0000E9290000}"/>
    <cellStyle name="Normal 14 12 4 2" xfId="8955" xr:uid="{00000000-0005-0000-0000-0000EA290000}"/>
    <cellStyle name="Normal 14 12 4 2 2" xfId="40696" xr:uid="{00000000-0005-0000-0000-0000EB290000}"/>
    <cellStyle name="Normal 14 12 4 2 2 2" xfId="56796" xr:uid="{00000000-0005-0000-0000-0000EC290000}"/>
    <cellStyle name="Normal 14 12 4 2 3" xfId="47229" xr:uid="{00000000-0005-0000-0000-0000ED290000}"/>
    <cellStyle name="Normal 14 12 4 2 4" xfId="31129" xr:uid="{00000000-0005-0000-0000-0000EE290000}"/>
    <cellStyle name="Normal 14 12 4 2 5" xfId="21560" xr:uid="{00000000-0005-0000-0000-0000EF290000}"/>
    <cellStyle name="Normal 14 12 4 3" xfId="11991" xr:uid="{00000000-0005-0000-0000-0000F0290000}"/>
    <cellStyle name="Normal 14 12 4 3 2" xfId="50265" xr:uid="{00000000-0005-0000-0000-0000F1290000}"/>
    <cellStyle name="Normal 14 12 4 3 3" xfId="34165" xr:uid="{00000000-0005-0000-0000-0000F2290000}"/>
    <cellStyle name="Normal 14 12 4 3 4" xfId="24596" xr:uid="{00000000-0005-0000-0000-0000F3290000}"/>
    <cellStyle name="Normal 14 12 4 4" xfId="5919" xr:uid="{00000000-0005-0000-0000-0000F4290000}"/>
    <cellStyle name="Normal 14 12 4 4 2" xfId="53760" xr:uid="{00000000-0005-0000-0000-0000F5290000}"/>
    <cellStyle name="Normal 14 12 4 4 3" xfId="37660" xr:uid="{00000000-0005-0000-0000-0000F6290000}"/>
    <cellStyle name="Normal 14 12 4 4 4" xfId="18524" xr:uid="{00000000-0005-0000-0000-0000F7290000}"/>
    <cellStyle name="Normal 14 12 4 5" xfId="44193" xr:uid="{00000000-0005-0000-0000-0000F8290000}"/>
    <cellStyle name="Normal 14 12 4 6" xfId="28093" xr:uid="{00000000-0005-0000-0000-0000F9290000}"/>
    <cellStyle name="Normal 14 12 4 7" xfId="15029" xr:uid="{00000000-0005-0000-0000-0000FA290000}"/>
    <cellStyle name="Normal 14 12 5" xfId="1092" xr:uid="{00000000-0005-0000-0000-0000FB290000}"/>
    <cellStyle name="Normal 14 12 5 2" xfId="7626" xr:uid="{00000000-0005-0000-0000-0000FC290000}"/>
    <cellStyle name="Normal 14 12 5 2 2" xfId="39367" xr:uid="{00000000-0005-0000-0000-0000FD290000}"/>
    <cellStyle name="Normal 14 12 5 2 2 2" xfId="55467" xr:uid="{00000000-0005-0000-0000-0000FE290000}"/>
    <cellStyle name="Normal 14 12 5 2 3" xfId="45900" xr:uid="{00000000-0005-0000-0000-0000FF290000}"/>
    <cellStyle name="Normal 14 12 5 2 4" xfId="29800" xr:uid="{00000000-0005-0000-0000-0000002A0000}"/>
    <cellStyle name="Normal 14 12 5 2 5" xfId="20231" xr:uid="{00000000-0005-0000-0000-0000012A0000}"/>
    <cellStyle name="Normal 14 12 5 3" xfId="10662" xr:uid="{00000000-0005-0000-0000-0000022A0000}"/>
    <cellStyle name="Normal 14 12 5 3 2" xfId="48936" xr:uid="{00000000-0005-0000-0000-0000032A0000}"/>
    <cellStyle name="Normal 14 12 5 3 3" xfId="32836" xr:uid="{00000000-0005-0000-0000-0000042A0000}"/>
    <cellStyle name="Normal 14 12 5 3 4" xfId="23267" xr:uid="{00000000-0005-0000-0000-0000052A0000}"/>
    <cellStyle name="Normal 14 12 5 4" xfId="4590" xr:uid="{00000000-0005-0000-0000-0000062A0000}"/>
    <cellStyle name="Normal 14 12 5 4 2" xfId="52431" xr:uid="{00000000-0005-0000-0000-0000072A0000}"/>
    <cellStyle name="Normal 14 12 5 4 3" xfId="36331" xr:uid="{00000000-0005-0000-0000-0000082A0000}"/>
    <cellStyle name="Normal 14 12 5 4 4" xfId="17195" xr:uid="{00000000-0005-0000-0000-0000092A0000}"/>
    <cellStyle name="Normal 14 12 5 5" xfId="42864" xr:uid="{00000000-0005-0000-0000-00000A2A0000}"/>
    <cellStyle name="Normal 14 12 5 6" xfId="26764" xr:uid="{00000000-0005-0000-0000-00000B2A0000}"/>
    <cellStyle name="Normal 14 12 5 7" xfId="13700" xr:uid="{00000000-0005-0000-0000-00000C2A0000}"/>
    <cellStyle name="Normal 14 12 6" xfId="3580" xr:uid="{00000000-0005-0000-0000-00000D2A0000}"/>
    <cellStyle name="Normal 14 12 6 2" xfId="35321" xr:uid="{00000000-0005-0000-0000-00000E2A0000}"/>
    <cellStyle name="Normal 14 12 6 2 2" xfId="51421" xr:uid="{00000000-0005-0000-0000-00000F2A0000}"/>
    <cellStyle name="Normal 14 12 6 3" xfId="41854" xr:uid="{00000000-0005-0000-0000-0000102A0000}"/>
    <cellStyle name="Normal 14 12 6 4" xfId="25754" xr:uid="{00000000-0005-0000-0000-0000112A0000}"/>
    <cellStyle name="Normal 14 12 6 5" xfId="16185" xr:uid="{00000000-0005-0000-0000-0000122A0000}"/>
    <cellStyle name="Normal 14 12 7" xfId="6616" xr:uid="{00000000-0005-0000-0000-0000132A0000}"/>
    <cellStyle name="Normal 14 12 7 2" xfId="38357" xr:uid="{00000000-0005-0000-0000-0000142A0000}"/>
    <cellStyle name="Normal 14 12 7 2 2" xfId="54457" xr:uid="{00000000-0005-0000-0000-0000152A0000}"/>
    <cellStyle name="Normal 14 12 7 3" xfId="44890" xr:uid="{00000000-0005-0000-0000-0000162A0000}"/>
    <cellStyle name="Normal 14 12 7 4" xfId="28790" xr:uid="{00000000-0005-0000-0000-0000172A0000}"/>
    <cellStyle name="Normal 14 12 7 5" xfId="19221" xr:uid="{00000000-0005-0000-0000-0000182A0000}"/>
    <cellStyle name="Normal 14 12 8" xfId="9652" xr:uid="{00000000-0005-0000-0000-0000192A0000}"/>
    <cellStyle name="Normal 14 12 8 2" xfId="47926" xr:uid="{00000000-0005-0000-0000-00001A2A0000}"/>
    <cellStyle name="Normal 14 12 8 3" xfId="31826" xr:uid="{00000000-0005-0000-0000-00001B2A0000}"/>
    <cellStyle name="Normal 14 12 8 4" xfId="22257" xr:uid="{00000000-0005-0000-0000-00001C2A0000}"/>
    <cellStyle name="Normal 14 12 9" xfId="3120" xr:uid="{00000000-0005-0000-0000-00001D2A0000}"/>
    <cellStyle name="Normal 14 12 9 2" xfId="50962" xr:uid="{00000000-0005-0000-0000-00001E2A0000}"/>
    <cellStyle name="Normal 14 12 9 3" xfId="34862" xr:uid="{00000000-0005-0000-0000-00001F2A0000}"/>
    <cellStyle name="Normal 14 12 9 4" xfId="15726" xr:uid="{00000000-0005-0000-0000-0000202A0000}"/>
    <cellStyle name="Normal 14 13" xfId="505" xr:uid="{00000000-0005-0000-0000-0000212A0000}"/>
    <cellStyle name="Normal 14 13 10" xfId="25488" xr:uid="{00000000-0005-0000-0000-0000222A0000}"/>
    <cellStyle name="Normal 14 13 11" xfId="12882" xr:uid="{00000000-0005-0000-0000-0000232A0000}"/>
    <cellStyle name="Normal 14 13 2" xfId="957" xr:uid="{00000000-0005-0000-0000-0000242A0000}"/>
    <cellStyle name="Normal 14 13 2 2" xfId="2985" xr:uid="{00000000-0005-0000-0000-0000252A0000}"/>
    <cellStyle name="Normal 14 13 2 2 2" xfId="9517" xr:uid="{00000000-0005-0000-0000-0000262A0000}"/>
    <cellStyle name="Normal 14 13 2 2 2 2" xfId="41258" xr:uid="{00000000-0005-0000-0000-0000272A0000}"/>
    <cellStyle name="Normal 14 13 2 2 2 2 2" xfId="57358" xr:uid="{00000000-0005-0000-0000-0000282A0000}"/>
    <cellStyle name="Normal 14 13 2 2 2 3" xfId="47791" xr:uid="{00000000-0005-0000-0000-0000292A0000}"/>
    <cellStyle name="Normal 14 13 2 2 2 4" xfId="31691" xr:uid="{00000000-0005-0000-0000-00002A2A0000}"/>
    <cellStyle name="Normal 14 13 2 2 2 5" xfId="22122" xr:uid="{00000000-0005-0000-0000-00002B2A0000}"/>
    <cellStyle name="Normal 14 13 2 2 3" xfId="12553" xr:uid="{00000000-0005-0000-0000-00002C2A0000}"/>
    <cellStyle name="Normal 14 13 2 2 3 2" xfId="50827" xr:uid="{00000000-0005-0000-0000-00002D2A0000}"/>
    <cellStyle name="Normal 14 13 2 2 3 3" xfId="34727" xr:uid="{00000000-0005-0000-0000-00002E2A0000}"/>
    <cellStyle name="Normal 14 13 2 2 3 4" xfId="25158" xr:uid="{00000000-0005-0000-0000-00002F2A0000}"/>
    <cellStyle name="Normal 14 13 2 2 4" xfId="6481" xr:uid="{00000000-0005-0000-0000-0000302A0000}"/>
    <cellStyle name="Normal 14 13 2 2 4 2" xfId="54322" xr:uid="{00000000-0005-0000-0000-0000312A0000}"/>
    <cellStyle name="Normal 14 13 2 2 4 3" xfId="38222" xr:uid="{00000000-0005-0000-0000-0000322A0000}"/>
    <cellStyle name="Normal 14 13 2 2 4 4" xfId="19086" xr:uid="{00000000-0005-0000-0000-0000332A0000}"/>
    <cellStyle name="Normal 14 13 2 2 5" xfId="44755" xr:uid="{00000000-0005-0000-0000-0000342A0000}"/>
    <cellStyle name="Normal 14 13 2 2 6" xfId="28655" xr:uid="{00000000-0005-0000-0000-0000352A0000}"/>
    <cellStyle name="Normal 14 13 2 2 7" xfId="15591" xr:uid="{00000000-0005-0000-0000-0000362A0000}"/>
    <cellStyle name="Normal 14 13 2 3" xfId="1967" xr:uid="{00000000-0005-0000-0000-0000372A0000}"/>
    <cellStyle name="Normal 14 13 2 3 2" xfId="8501" xr:uid="{00000000-0005-0000-0000-0000382A0000}"/>
    <cellStyle name="Normal 14 13 2 3 2 2" xfId="40242" xr:uid="{00000000-0005-0000-0000-0000392A0000}"/>
    <cellStyle name="Normal 14 13 2 3 2 2 2" xfId="56342" xr:uid="{00000000-0005-0000-0000-00003A2A0000}"/>
    <cellStyle name="Normal 14 13 2 3 2 3" xfId="46775" xr:uid="{00000000-0005-0000-0000-00003B2A0000}"/>
    <cellStyle name="Normal 14 13 2 3 2 4" xfId="30675" xr:uid="{00000000-0005-0000-0000-00003C2A0000}"/>
    <cellStyle name="Normal 14 13 2 3 2 5" xfId="21106" xr:uid="{00000000-0005-0000-0000-00003D2A0000}"/>
    <cellStyle name="Normal 14 13 2 3 3" xfId="11537" xr:uid="{00000000-0005-0000-0000-00003E2A0000}"/>
    <cellStyle name="Normal 14 13 2 3 3 2" xfId="49811" xr:uid="{00000000-0005-0000-0000-00003F2A0000}"/>
    <cellStyle name="Normal 14 13 2 3 3 3" xfId="33711" xr:uid="{00000000-0005-0000-0000-0000402A0000}"/>
    <cellStyle name="Normal 14 13 2 3 3 4" xfId="24142" xr:uid="{00000000-0005-0000-0000-0000412A0000}"/>
    <cellStyle name="Normal 14 13 2 3 4" xfId="5465" xr:uid="{00000000-0005-0000-0000-0000422A0000}"/>
    <cellStyle name="Normal 14 13 2 3 4 2" xfId="53306" xr:uid="{00000000-0005-0000-0000-0000432A0000}"/>
    <cellStyle name="Normal 14 13 2 3 4 3" xfId="37206" xr:uid="{00000000-0005-0000-0000-0000442A0000}"/>
    <cellStyle name="Normal 14 13 2 3 4 4" xfId="18070" xr:uid="{00000000-0005-0000-0000-0000452A0000}"/>
    <cellStyle name="Normal 14 13 2 3 5" xfId="43739" xr:uid="{00000000-0005-0000-0000-0000462A0000}"/>
    <cellStyle name="Normal 14 13 2 3 6" xfId="27639" xr:uid="{00000000-0005-0000-0000-0000472A0000}"/>
    <cellStyle name="Normal 14 13 2 3 7" xfId="14575" xr:uid="{00000000-0005-0000-0000-0000482A0000}"/>
    <cellStyle name="Normal 14 13 2 4" xfId="7491" xr:uid="{00000000-0005-0000-0000-0000492A0000}"/>
    <cellStyle name="Normal 14 13 2 4 2" xfId="39232" xr:uid="{00000000-0005-0000-0000-00004A2A0000}"/>
    <cellStyle name="Normal 14 13 2 4 2 2" xfId="55332" xr:uid="{00000000-0005-0000-0000-00004B2A0000}"/>
    <cellStyle name="Normal 14 13 2 4 3" xfId="45765" xr:uid="{00000000-0005-0000-0000-00004C2A0000}"/>
    <cellStyle name="Normal 14 13 2 4 4" xfId="29665" xr:uid="{00000000-0005-0000-0000-00004D2A0000}"/>
    <cellStyle name="Normal 14 13 2 4 5" xfId="20096" xr:uid="{00000000-0005-0000-0000-00004E2A0000}"/>
    <cellStyle name="Normal 14 13 2 5" xfId="10527" xr:uid="{00000000-0005-0000-0000-00004F2A0000}"/>
    <cellStyle name="Normal 14 13 2 5 2" xfId="48801" xr:uid="{00000000-0005-0000-0000-0000502A0000}"/>
    <cellStyle name="Normal 14 13 2 5 3" xfId="32701" xr:uid="{00000000-0005-0000-0000-0000512A0000}"/>
    <cellStyle name="Normal 14 13 2 5 4" xfId="23132" xr:uid="{00000000-0005-0000-0000-0000522A0000}"/>
    <cellStyle name="Normal 14 13 2 6" xfId="4455" xr:uid="{00000000-0005-0000-0000-0000532A0000}"/>
    <cellStyle name="Normal 14 13 2 6 2" xfId="52296" xr:uid="{00000000-0005-0000-0000-0000542A0000}"/>
    <cellStyle name="Normal 14 13 2 6 3" xfId="36196" xr:uid="{00000000-0005-0000-0000-0000552A0000}"/>
    <cellStyle name="Normal 14 13 2 6 4" xfId="17060" xr:uid="{00000000-0005-0000-0000-0000562A0000}"/>
    <cellStyle name="Normal 14 13 2 7" xfId="42729" xr:uid="{00000000-0005-0000-0000-0000572A0000}"/>
    <cellStyle name="Normal 14 13 2 8" xfId="26629" xr:uid="{00000000-0005-0000-0000-0000582A0000}"/>
    <cellStyle name="Normal 14 13 2 9" xfId="13565" xr:uid="{00000000-0005-0000-0000-0000592A0000}"/>
    <cellStyle name="Normal 14 13 3" xfId="2535" xr:uid="{00000000-0005-0000-0000-00005A2A0000}"/>
    <cellStyle name="Normal 14 13 3 2" xfId="9067" xr:uid="{00000000-0005-0000-0000-00005B2A0000}"/>
    <cellStyle name="Normal 14 13 3 2 2" xfId="40808" xr:uid="{00000000-0005-0000-0000-00005C2A0000}"/>
    <cellStyle name="Normal 14 13 3 2 2 2" xfId="56908" xr:uid="{00000000-0005-0000-0000-00005D2A0000}"/>
    <cellStyle name="Normal 14 13 3 2 3" xfId="47341" xr:uid="{00000000-0005-0000-0000-00005E2A0000}"/>
    <cellStyle name="Normal 14 13 3 2 4" xfId="31241" xr:uid="{00000000-0005-0000-0000-00005F2A0000}"/>
    <cellStyle name="Normal 14 13 3 2 5" xfId="21672" xr:uid="{00000000-0005-0000-0000-0000602A0000}"/>
    <cellStyle name="Normal 14 13 3 3" xfId="12103" xr:uid="{00000000-0005-0000-0000-0000612A0000}"/>
    <cellStyle name="Normal 14 13 3 3 2" xfId="50377" xr:uid="{00000000-0005-0000-0000-0000622A0000}"/>
    <cellStyle name="Normal 14 13 3 3 3" xfId="34277" xr:uid="{00000000-0005-0000-0000-0000632A0000}"/>
    <cellStyle name="Normal 14 13 3 3 4" xfId="24708" xr:uid="{00000000-0005-0000-0000-0000642A0000}"/>
    <cellStyle name="Normal 14 13 3 4" xfId="6031" xr:uid="{00000000-0005-0000-0000-0000652A0000}"/>
    <cellStyle name="Normal 14 13 3 4 2" xfId="53872" xr:uid="{00000000-0005-0000-0000-0000662A0000}"/>
    <cellStyle name="Normal 14 13 3 4 3" xfId="37772" xr:uid="{00000000-0005-0000-0000-0000672A0000}"/>
    <cellStyle name="Normal 14 13 3 4 4" xfId="18636" xr:uid="{00000000-0005-0000-0000-0000682A0000}"/>
    <cellStyle name="Normal 14 13 3 5" xfId="44305" xr:uid="{00000000-0005-0000-0000-0000692A0000}"/>
    <cellStyle name="Normal 14 13 3 6" xfId="28205" xr:uid="{00000000-0005-0000-0000-00006A2A0000}"/>
    <cellStyle name="Normal 14 13 3 7" xfId="15141" xr:uid="{00000000-0005-0000-0000-00006B2A0000}"/>
    <cellStyle name="Normal 14 13 4" xfId="1284" xr:uid="{00000000-0005-0000-0000-00006C2A0000}"/>
    <cellStyle name="Normal 14 13 4 2" xfId="7818" xr:uid="{00000000-0005-0000-0000-00006D2A0000}"/>
    <cellStyle name="Normal 14 13 4 2 2" xfId="39559" xr:uid="{00000000-0005-0000-0000-00006E2A0000}"/>
    <cellStyle name="Normal 14 13 4 2 2 2" xfId="55659" xr:uid="{00000000-0005-0000-0000-00006F2A0000}"/>
    <cellStyle name="Normal 14 13 4 2 3" xfId="46092" xr:uid="{00000000-0005-0000-0000-0000702A0000}"/>
    <cellStyle name="Normal 14 13 4 2 4" xfId="29992" xr:uid="{00000000-0005-0000-0000-0000712A0000}"/>
    <cellStyle name="Normal 14 13 4 2 5" xfId="20423" xr:uid="{00000000-0005-0000-0000-0000722A0000}"/>
    <cellStyle name="Normal 14 13 4 3" xfId="10854" xr:uid="{00000000-0005-0000-0000-0000732A0000}"/>
    <cellStyle name="Normal 14 13 4 3 2" xfId="49128" xr:uid="{00000000-0005-0000-0000-0000742A0000}"/>
    <cellStyle name="Normal 14 13 4 3 3" xfId="33028" xr:uid="{00000000-0005-0000-0000-0000752A0000}"/>
    <cellStyle name="Normal 14 13 4 3 4" xfId="23459" xr:uid="{00000000-0005-0000-0000-0000762A0000}"/>
    <cellStyle name="Normal 14 13 4 4" xfId="4782" xr:uid="{00000000-0005-0000-0000-0000772A0000}"/>
    <cellStyle name="Normal 14 13 4 4 2" xfId="52623" xr:uid="{00000000-0005-0000-0000-0000782A0000}"/>
    <cellStyle name="Normal 14 13 4 4 3" xfId="36523" xr:uid="{00000000-0005-0000-0000-0000792A0000}"/>
    <cellStyle name="Normal 14 13 4 4 4" xfId="17387" xr:uid="{00000000-0005-0000-0000-00007A2A0000}"/>
    <cellStyle name="Normal 14 13 4 5" xfId="43056" xr:uid="{00000000-0005-0000-0000-00007B2A0000}"/>
    <cellStyle name="Normal 14 13 4 6" xfId="26956" xr:uid="{00000000-0005-0000-0000-00007C2A0000}"/>
    <cellStyle name="Normal 14 13 4 7" xfId="13892" xr:uid="{00000000-0005-0000-0000-00007D2A0000}"/>
    <cellStyle name="Normal 14 13 5" xfId="3772" xr:uid="{00000000-0005-0000-0000-00007E2A0000}"/>
    <cellStyle name="Normal 14 13 5 2" xfId="35513" xr:uid="{00000000-0005-0000-0000-00007F2A0000}"/>
    <cellStyle name="Normal 14 13 5 2 2" xfId="51613" xr:uid="{00000000-0005-0000-0000-0000802A0000}"/>
    <cellStyle name="Normal 14 13 5 3" xfId="42046" xr:uid="{00000000-0005-0000-0000-0000812A0000}"/>
    <cellStyle name="Normal 14 13 5 4" xfId="25946" xr:uid="{00000000-0005-0000-0000-0000822A0000}"/>
    <cellStyle name="Normal 14 13 5 5" xfId="16377" xr:uid="{00000000-0005-0000-0000-0000832A0000}"/>
    <cellStyle name="Normal 14 13 6" xfId="6808" xr:uid="{00000000-0005-0000-0000-0000842A0000}"/>
    <cellStyle name="Normal 14 13 6 2" xfId="38549" xr:uid="{00000000-0005-0000-0000-0000852A0000}"/>
    <cellStyle name="Normal 14 13 6 2 2" xfId="54649" xr:uid="{00000000-0005-0000-0000-0000862A0000}"/>
    <cellStyle name="Normal 14 13 6 3" xfId="45082" xr:uid="{00000000-0005-0000-0000-0000872A0000}"/>
    <cellStyle name="Normal 14 13 6 4" xfId="28982" xr:uid="{00000000-0005-0000-0000-0000882A0000}"/>
    <cellStyle name="Normal 14 13 6 5" xfId="19413" xr:uid="{00000000-0005-0000-0000-0000892A0000}"/>
    <cellStyle name="Normal 14 13 7" xfId="9844" xr:uid="{00000000-0005-0000-0000-00008A2A0000}"/>
    <cellStyle name="Normal 14 13 7 2" xfId="48118" xr:uid="{00000000-0005-0000-0000-00008B2A0000}"/>
    <cellStyle name="Normal 14 13 7 3" xfId="32018" xr:uid="{00000000-0005-0000-0000-00008C2A0000}"/>
    <cellStyle name="Normal 14 13 7 4" xfId="22449" xr:uid="{00000000-0005-0000-0000-00008D2A0000}"/>
    <cellStyle name="Normal 14 13 8" xfId="3314" xr:uid="{00000000-0005-0000-0000-00008E2A0000}"/>
    <cellStyle name="Normal 14 13 8 2" xfId="51155" xr:uid="{00000000-0005-0000-0000-00008F2A0000}"/>
    <cellStyle name="Normal 14 13 8 3" xfId="35055" xr:uid="{00000000-0005-0000-0000-0000902A0000}"/>
    <cellStyle name="Normal 14 13 8 4" xfId="15919" xr:uid="{00000000-0005-0000-0000-0000912A0000}"/>
    <cellStyle name="Normal 14 13 9" xfId="41588" xr:uid="{00000000-0005-0000-0000-0000922A0000}"/>
    <cellStyle name="Normal 14 14" xfId="735" xr:uid="{00000000-0005-0000-0000-0000932A0000}"/>
    <cellStyle name="Normal 14 14 10" xfId="13343" xr:uid="{00000000-0005-0000-0000-0000942A0000}"/>
    <cellStyle name="Normal 14 14 2" xfId="2763" xr:uid="{00000000-0005-0000-0000-0000952A0000}"/>
    <cellStyle name="Normal 14 14 2 2" xfId="9295" xr:uid="{00000000-0005-0000-0000-0000962A0000}"/>
    <cellStyle name="Normal 14 14 2 2 2" xfId="41036" xr:uid="{00000000-0005-0000-0000-0000972A0000}"/>
    <cellStyle name="Normal 14 14 2 2 2 2" xfId="57136" xr:uid="{00000000-0005-0000-0000-0000982A0000}"/>
    <cellStyle name="Normal 14 14 2 2 3" xfId="47569" xr:uid="{00000000-0005-0000-0000-0000992A0000}"/>
    <cellStyle name="Normal 14 14 2 2 4" xfId="31469" xr:uid="{00000000-0005-0000-0000-00009A2A0000}"/>
    <cellStyle name="Normal 14 14 2 2 5" xfId="21900" xr:uid="{00000000-0005-0000-0000-00009B2A0000}"/>
    <cellStyle name="Normal 14 14 2 3" xfId="12331" xr:uid="{00000000-0005-0000-0000-00009C2A0000}"/>
    <cellStyle name="Normal 14 14 2 3 2" xfId="50605" xr:uid="{00000000-0005-0000-0000-00009D2A0000}"/>
    <cellStyle name="Normal 14 14 2 3 3" xfId="34505" xr:uid="{00000000-0005-0000-0000-00009E2A0000}"/>
    <cellStyle name="Normal 14 14 2 3 4" xfId="24936" xr:uid="{00000000-0005-0000-0000-00009F2A0000}"/>
    <cellStyle name="Normal 14 14 2 4" xfId="6259" xr:uid="{00000000-0005-0000-0000-0000A02A0000}"/>
    <cellStyle name="Normal 14 14 2 4 2" xfId="54100" xr:uid="{00000000-0005-0000-0000-0000A12A0000}"/>
    <cellStyle name="Normal 14 14 2 4 3" xfId="38000" xr:uid="{00000000-0005-0000-0000-0000A22A0000}"/>
    <cellStyle name="Normal 14 14 2 4 4" xfId="18864" xr:uid="{00000000-0005-0000-0000-0000A32A0000}"/>
    <cellStyle name="Normal 14 14 2 5" xfId="44533" xr:uid="{00000000-0005-0000-0000-0000A42A0000}"/>
    <cellStyle name="Normal 14 14 2 6" xfId="28433" xr:uid="{00000000-0005-0000-0000-0000A52A0000}"/>
    <cellStyle name="Normal 14 14 2 7" xfId="15369" xr:uid="{00000000-0005-0000-0000-0000A62A0000}"/>
    <cellStyle name="Normal 14 14 3" xfId="1745" xr:uid="{00000000-0005-0000-0000-0000A72A0000}"/>
    <cellStyle name="Normal 14 14 3 2" xfId="8279" xr:uid="{00000000-0005-0000-0000-0000A82A0000}"/>
    <cellStyle name="Normal 14 14 3 2 2" xfId="40020" xr:uid="{00000000-0005-0000-0000-0000A92A0000}"/>
    <cellStyle name="Normal 14 14 3 2 2 2" xfId="56120" xr:uid="{00000000-0005-0000-0000-0000AA2A0000}"/>
    <cellStyle name="Normal 14 14 3 2 3" xfId="46553" xr:uid="{00000000-0005-0000-0000-0000AB2A0000}"/>
    <cellStyle name="Normal 14 14 3 2 4" xfId="30453" xr:uid="{00000000-0005-0000-0000-0000AC2A0000}"/>
    <cellStyle name="Normal 14 14 3 2 5" xfId="20884" xr:uid="{00000000-0005-0000-0000-0000AD2A0000}"/>
    <cellStyle name="Normal 14 14 3 3" xfId="11315" xr:uid="{00000000-0005-0000-0000-0000AE2A0000}"/>
    <cellStyle name="Normal 14 14 3 3 2" xfId="49589" xr:uid="{00000000-0005-0000-0000-0000AF2A0000}"/>
    <cellStyle name="Normal 14 14 3 3 3" xfId="33489" xr:uid="{00000000-0005-0000-0000-0000B02A0000}"/>
    <cellStyle name="Normal 14 14 3 3 4" xfId="23920" xr:uid="{00000000-0005-0000-0000-0000B12A0000}"/>
    <cellStyle name="Normal 14 14 3 4" xfId="5243" xr:uid="{00000000-0005-0000-0000-0000B22A0000}"/>
    <cellStyle name="Normal 14 14 3 4 2" xfId="53084" xr:uid="{00000000-0005-0000-0000-0000B32A0000}"/>
    <cellStyle name="Normal 14 14 3 4 3" xfId="36984" xr:uid="{00000000-0005-0000-0000-0000B42A0000}"/>
    <cellStyle name="Normal 14 14 3 4 4" xfId="17848" xr:uid="{00000000-0005-0000-0000-0000B52A0000}"/>
    <cellStyle name="Normal 14 14 3 5" xfId="43517" xr:uid="{00000000-0005-0000-0000-0000B62A0000}"/>
    <cellStyle name="Normal 14 14 3 6" xfId="27417" xr:uid="{00000000-0005-0000-0000-0000B72A0000}"/>
    <cellStyle name="Normal 14 14 3 7" xfId="14353" xr:uid="{00000000-0005-0000-0000-0000B82A0000}"/>
    <cellStyle name="Normal 14 14 4" xfId="4233" xr:uid="{00000000-0005-0000-0000-0000B92A0000}"/>
    <cellStyle name="Normal 14 14 4 2" xfId="35974" xr:uid="{00000000-0005-0000-0000-0000BA2A0000}"/>
    <cellStyle name="Normal 14 14 4 2 2" xfId="52074" xr:uid="{00000000-0005-0000-0000-0000BB2A0000}"/>
    <cellStyle name="Normal 14 14 4 3" xfId="42507" xr:uid="{00000000-0005-0000-0000-0000BC2A0000}"/>
    <cellStyle name="Normal 14 14 4 4" xfId="26407" xr:uid="{00000000-0005-0000-0000-0000BD2A0000}"/>
    <cellStyle name="Normal 14 14 4 5" xfId="16838" xr:uid="{00000000-0005-0000-0000-0000BE2A0000}"/>
    <cellStyle name="Normal 14 14 5" xfId="7269" xr:uid="{00000000-0005-0000-0000-0000BF2A0000}"/>
    <cellStyle name="Normal 14 14 5 2" xfId="39010" xr:uid="{00000000-0005-0000-0000-0000C02A0000}"/>
    <cellStyle name="Normal 14 14 5 2 2" xfId="55110" xr:uid="{00000000-0005-0000-0000-0000C12A0000}"/>
    <cellStyle name="Normal 14 14 5 3" xfId="45543" xr:uid="{00000000-0005-0000-0000-0000C22A0000}"/>
    <cellStyle name="Normal 14 14 5 4" xfId="29443" xr:uid="{00000000-0005-0000-0000-0000C32A0000}"/>
    <cellStyle name="Normal 14 14 5 5" xfId="19874" xr:uid="{00000000-0005-0000-0000-0000C42A0000}"/>
    <cellStyle name="Normal 14 14 6" xfId="10305" xr:uid="{00000000-0005-0000-0000-0000C52A0000}"/>
    <cellStyle name="Normal 14 14 6 2" xfId="48579" xr:uid="{00000000-0005-0000-0000-0000C62A0000}"/>
    <cellStyle name="Normal 14 14 6 3" xfId="32479" xr:uid="{00000000-0005-0000-0000-0000C72A0000}"/>
    <cellStyle name="Normal 14 14 6 4" xfId="22910" xr:uid="{00000000-0005-0000-0000-0000C82A0000}"/>
    <cellStyle name="Normal 14 14 7" xfId="3328" xr:uid="{00000000-0005-0000-0000-0000C92A0000}"/>
    <cellStyle name="Normal 14 14 7 2" xfId="51169" xr:uid="{00000000-0005-0000-0000-0000CA2A0000}"/>
    <cellStyle name="Normal 14 14 7 3" xfId="35069" xr:uid="{00000000-0005-0000-0000-0000CB2A0000}"/>
    <cellStyle name="Normal 14 14 7 4" xfId="15933" xr:uid="{00000000-0005-0000-0000-0000CC2A0000}"/>
    <cellStyle name="Normal 14 14 8" xfId="41602" xr:uid="{00000000-0005-0000-0000-0000CD2A0000}"/>
    <cellStyle name="Normal 14 14 9" xfId="25502" xr:uid="{00000000-0005-0000-0000-0000CE2A0000}"/>
    <cellStyle name="Normal 14 15" xfId="2072" xr:uid="{00000000-0005-0000-0000-0000CF2A0000}"/>
    <cellStyle name="Normal 14 15 2" xfId="8606" xr:uid="{00000000-0005-0000-0000-0000D02A0000}"/>
    <cellStyle name="Normal 14 15 2 2" xfId="40347" xr:uid="{00000000-0005-0000-0000-0000D12A0000}"/>
    <cellStyle name="Normal 14 15 2 2 2" xfId="56447" xr:uid="{00000000-0005-0000-0000-0000D22A0000}"/>
    <cellStyle name="Normal 14 15 2 3" xfId="46880" xr:uid="{00000000-0005-0000-0000-0000D32A0000}"/>
    <cellStyle name="Normal 14 15 2 4" xfId="30780" xr:uid="{00000000-0005-0000-0000-0000D42A0000}"/>
    <cellStyle name="Normal 14 15 2 5" xfId="21211" xr:uid="{00000000-0005-0000-0000-0000D52A0000}"/>
    <cellStyle name="Normal 14 15 3" xfId="11642" xr:uid="{00000000-0005-0000-0000-0000D62A0000}"/>
    <cellStyle name="Normal 14 15 3 2" xfId="49916" xr:uid="{00000000-0005-0000-0000-0000D72A0000}"/>
    <cellStyle name="Normal 14 15 3 3" xfId="33816" xr:uid="{00000000-0005-0000-0000-0000D82A0000}"/>
    <cellStyle name="Normal 14 15 3 4" xfId="24247" xr:uid="{00000000-0005-0000-0000-0000D92A0000}"/>
    <cellStyle name="Normal 14 15 4" xfId="5570" xr:uid="{00000000-0005-0000-0000-0000DA2A0000}"/>
    <cellStyle name="Normal 14 15 4 2" xfId="53411" xr:uid="{00000000-0005-0000-0000-0000DB2A0000}"/>
    <cellStyle name="Normal 14 15 4 3" xfId="37311" xr:uid="{00000000-0005-0000-0000-0000DC2A0000}"/>
    <cellStyle name="Normal 14 15 4 4" xfId="18175" xr:uid="{00000000-0005-0000-0000-0000DD2A0000}"/>
    <cellStyle name="Normal 14 15 5" xfId="43844" xr:uid="{00000000-0005-0000-0000-0000DE2A0000}"/>
    <cellStyle name="Normal 14 15 6" xfId="27744" xr:uid="{00000000-0005-0000-0000-0000DF2A0000}"/>
    <cellStyle name="Normal 14 15 7" xfId="14680" xr:uid="{00000000-0005-0000-0000-0000E02A0000}"/>
    <cellStyle name="Normal 14 16" xfId="1062" xr:uid="{00000000-0005-0000-0000-0000E12A0000}"/>
    <cellStyle name="Normal 14 16 2" xfId="7596" xr:uid="{00000000-0005-0000-0000-0000E22A0000}"/>
    <cellStyle name="Normal 14 16 2 2" xfId="39337" xr:uid="{00000000-0005-0000-0000-0000E32A0000}"/>
    <cellStyle name="Normal 14 16 2 2 2" xfId="55437" xr:uid="{00000000-0005-0000-0000-0000E42A0000}"/>
    <cellStyle name="Normal 14 16 2 3" xfId="45870" xr:uid="{00000000-0005-0000-0000-0000E52A0000}"/>
    <cellStyle name="Normal 14 16 2 4" xfId="29770" xr:uid="{00000000-0005-0000-0000-0000E62A0000}"/>
    <cellStyle name="Normal 14 16 2 5" xfId="20201" xr:uid="{00000000-0005-0000-0000-0000E72A0000}"/>
    <cellStyle name="Normal 14 16 3" xfId="10632" xr:uid="{00000000-0005-0000-0000-0000E82A0000}"/>
    <cellStyle name="Normal 14 16 3 2" xfId="48906" xr:uid="{00000000-0005-0000-0000-0000E92A0000}"/>
    <cellStyle name="Normal 14 16 3 3" xfId="32806" xr:uid="{00000000-0005-0000-0000-0000EA2A0000}"/>
    <cellStyle name="Normal 14 16 3 4" xfId="23237" xr:uid="{00000000-0005-0000-0000-0000EB2A0000}"/>
    <cellStyle name="Normal 14 16 4" xfId="4560" xr:uid="{00000000-0005-0000-0000-0000EC2A0000}"/>
    <cellStyle name="Normal 14 16 4 2" xfId="52401" xr:uid="{00000000-0005-0000-0000-0000ED2A0000}"/>
    <cellStyle name="Normal 14 16 4 3" xfId="36301" xr:uid="{00000000-0005-0000-0000-0000EE2A0000}"/>
    <cellStyle name="Normal 14 16 4 4" xfId="17165" xr:uid="{00000000-0005-0000-0000-0000EF2A0000}"/>
    <cellStyle name="Normal 14 16 5" xfId="42834" xr:uid="{00000000-0005-0000-0000-0000F02A0000}"/>
    <cellStyle name="Normal 14 16 6" xfId="26734" xr:uid="{00000000-0005-0000-0000-0000F12A0000}"/>
    <cellStyle name="Normal 14 16 7" xfId="13670" xr:uid="{00000000-0005-0000-0000-0000F22A0000}"/>
    <cellStyle name="Normal 14 17" xfId="3550" xr:uid="{00000000-0005-0000-0000-0000F32A0000}"/>
    <cellStyle name="Normal 14 17 2" xfId="35291" xr:uid="{00000000-0005-0000-0000-0000F42A0000}"/>
    <cellStyle name="Normal 14 17 2 2" xfId="51391" xr:uid="{00000000-0005-0000-0000-0000F52A0000}"/>
    <cellStyle name="Normal 14 17 3" xfId="41824" xr:uid="{00000000-0005-0000-0000-0000F62A0000}"/>
    <cellStyle name="Normal 14 17 4" xfId="25724" xr:uid="{00000000-0005-0000-0000-0000F72A0000}"/>
    <cellStyle name="Normal 14 17 5" xfId="16155" xr:uid="{00000000-0005-0000-0000-0000F82A0000}"/>
    <cellStyle name="Normal 14 18" xfId="6586" xr:uid="{00000000-0005-0000-0000-0000F92A0000}"/>
    <cellStyle name="Normal 14 18 2" xfId="38327" xr:uid="{00000000-0005-0000-0000-0000FA2A0000}"/>
    <cellStyle name="Normal 14 18 2 2" xfId="54427" xr:uid="{00000000-0005-0000-0000-0000FB2A0000}"/>
    <cellStyle name="Normal 14 18 3" xfId="44860" xr:uid="{00000000-0005-0000-0000-0000FC2A0000}"/>
    <cellStyle name="Normal 14 18 4" xfId="28760" xr:uid="{00000000-0005-0000-0000-0000FD2A0000}"/>
    <cellStyle name="Normal 14 18 5" xfId="19191" xr:uid="{00000000-0005-0000-0000-0000FE2A0000}"/>
    <cellStyle name="Normal 14 19" xfId="9622" xr:uid="{00000000-0005-0000-0000-0000FF2A0000}"/>
    <cellStyle name="Normal 14 19 2" xfId="47896" xr:uid="{00000000-0005-0000-0000-0000002B0000}"/>
    <cellStyle name="Normal 14 19 3" xfId="31796" xr:uid="{00000000-0005-0000-0000-0000012B0000}"/>
    <cellStyle name="Normal 14 19 4" xfId="22227" xr:uid="{00000000-0005-0000-0000-0000022B0000}"/>
    <cellStyle name="Normal 14 2" xfId="67" xr:uid="{00000000-0005-0000-0000-0000032B0000}"/>
    <cellStyle name="Normal 14 2 10" xfId="3568" xr:uid="{00000000-0005-0000-0000-0000042B0000}"/>
    <cellStyle name="Normal 14 2 10 2" xfId="35309" xr:uid="{00000000-0005-0000-0000-0000052B0000}"/>
    <cellStyle name="Normal 14 2 10 2 2" xfId="51409" xr:uid="{00000000-0005-0000-0000-0000062B0000}"/>
    <cellStyle name="Normal 14 2 10 3" xfId="41842" xr:uid="{00000000-0005-0000-0000-0000072B0000}"/>
    <cellStyle name="Normal 14 2 10 4" xfId="25742" xr:uid="{00000000-0005-0000-0000-0000082B0000}"/>
    <cellStyle name="Normal 14 2 10 5" xfId="16173" xr:uid="{00000000-0005-0000-0000-0000092B0000}"/>
    <cellStyle name="Normal 14 2 11" xfId="6604" xr:uid="{00000000-0005-0000-0000-00000A2B0000}"/>
    <cellStyle name="Normal 14 2 11 2" xfId="38345" xr:uid="{00000000-0005-0000-0000-00000B2B0000}"/>
    <cellStyle name="Normal 14 2 11 2 2" xfId="54445" xr:uid="{00000000-0005-0000-0000-00000C2B0000}"/>
    <cellStyle name="Normal 14 2 11 3" xfId="44878" xr:uid="{00000000-0005-0000-0000-00000D2B0000}"/>
    <cellStyle name="Normal 14 2 11 4" xfId="28778" xr:uid="{00000000-0005-0000-0000-00000E2B0000}"/>
    <cellStyle name="Normal 14 2 11 5" xfId="19209" xr:uid="{00000000-0005-0000-0000-00000F2B0000}"/>
    <cellStyle name="Normal 14 2 12" xfId="9640" xr:uid="{00000000-0005-0000-0000-0000102B0000}"/>
    <cellStyle name="Normal 14 2 12 2" xfId="47914" xr:uid="{00000000-0005-0000-0000-0000112B0000}"/>
    <cellStyle name="Normal 14 2 12 3" xfId="31814" xr:uid="{00000000-0005-0000-0000-0000122B0000}"/>
    <cellStyle name="Normal 14 2 12 4" xfId="22245" xr:uid="{00000000-0005-0000-0000-0000132B0000}"/>
    <cellStyle name="Normal 14 2 13" xfId="3108" xr:uid="{00000000-0005-0000-0000-0000142B0000}"/>
    <cellStyle name="Normal 14 2 13 2" xfId="50950" xr:uid="{00000000-0005-0000-0000-0000152B0000}"/>
    <cellStyle name="Normal 14 2 13 3" xfId="34850" xr:uid="{00000000-0005-0000-0000-0000162B0000}"/>
    <cellStyle name="Normal 14 2 13 4" xfId="15714" xr:uid="{00000000-0005-0000-0000-0000172B0000}"/>
    <cellStyle name="Normal 14 2 14" xfId="41383" xr:uid="{00000000-0005-0000-0000-0000182B0000}"/>
    <cellStyle name="Normal 14 2 15" xfId="25283" xr:uid="{00000000-0005-0000-0000-0000192B0000}"/>
    <cellStyle name="Normal 14 2 16" xfId="12678" xr:uid="{00000000-0005-0000-0000-00001A2B0000}"/>
    <cellStyle name="Normal 14 2 2" xfId="138" xr:uid="{00000000-0005-0000-0000-00001B2B0000}"/>
    <cellStyle name="Normal 14 2 2 10" xfId="9686" xr:uid="{00000000-0005-0000-0000-00001C2B0000}"/>
    <cellStyle name="Normal 14 2 2 10 2" xfId="47960" xr:uid="{00000000-0005-0000-0000-00001D2B0000}"/>
    <cellStyle name="Normal 14 2 2 10 3" xfId="31860" xr:uid="{00000000-0005-0000-0000-00001E2B0000}"/>
    <cellStyle name="Normal 14 2 2 10 4" xfId="22291" xr:uid="{00000000-0005-0000-0000-00001F2B0000}"/>
    <cellStyle name="Normal 14 2 2 11" xfId="3154" xr:uid="{00000000-0005-0000-0000-0000202B0000}"/>
    <cellStyle name="Normal 14 2 2 11 2" xfId="50996" xr:uid="{00000000-0005-0000-0000-0000212B0000}"/>
    <cellStyle name="Normal 14 2 2 11 3" xfId="34896" xr:uid="{00000000-0005-0000-0000-0000222B0000}"/>
    <cellStyle name="Normal 14 2 2 11 4" xfId="15760" xr:uid="{00000000-0005-0000-0000-0000232B0000}"/>
    <cellStyle name="Normal 14 2 2 12" xfId="41429" xr:uid="{00000000-0005-0000-0000-0000242B0000}"/>
    <cellStyle name="Normal 14 2 2 13" xfId="25329" xr:uid="{00000000-0005-0000-0000-0000252B0000}"/>
    <cellStyle name="Normal 14 2 2 14" xfId="12724" xr:uid="{00000000-0005-0000-0000-0000262B0000}"/>
    <cellStyle name="Normal 14 2 2 2" xfId="213" xr:uid="{00000000-0005-0000-0000-0000272B0000}"/>
    <cellStyle name="Normal 14 2 2 2 10" xfId="41666" xr:uid="{00000000-0005-0000-0000-0000282B0000}"/>
    <cellStyle name="Normal 14 2 2 2 11" xfId="25566" xr:uid="{00000000-0005-0000-0000-0000292B0000}"/>
    <cellStyle name="Normal 14 2 2 2 12" xfId="13042" xr:uid="{00000000-0005-0000-0000-00002A2B0000}"/>
    <cellStyle name="Normal 14 2 2 2 2" xfId="390" xr:uid="{00000000-0005-0000-0000-00002B2B0000}"/>
    <cellStyle name="Normal 14 2 2 2 2 2" xfId="2409" xr:uid="{00000000-0005-0000-0000-00002C2B0000}"/>
    <cellStyle name="Normal 14 2 2 2 2 2 2" xfId="8943" xr:uid="{00000000-0005-0000-0000-00002D2B0000}"/>
    <cellStyle name="Normal 14 2 2 2 2 2 2 2" xfId="40684" xr:uid="{00000000-0005-0000-0000-00002E2B0000}"/>
    <cellStyle name="Normal 14 2 2 2 2 2 2 2 2" xfId="56784" xr:uid="{00000000-0005-0000-0000-00002F2B0000}"/>
    <cellStyle name="Normal 14 2 2 2 2 2 2 3" xfId="47217" xr:uid="{00000000-0005-0000-0000-0000302B0000}"/>
    <cellStyle name="Normal 14 2 2 2 2 2 2 4" xfId="31117" xr:uid="{00000000-0005-0000-0000-0000312B0000}"/>
    <cellStyle name="Normal 14 2 2 2 2 2 2 5" xfId="21548" xr:uid="{00000000-0005-0000-0000-0000322B0000}"/>
    <cellStyle name="Normal 14 2 2 2 2 2 3" xfId="11979" xr:uid="{00000000-0005-0000-0000-0000332B0000}"/>
    <cellStyle name="Normal 14 2 2 2 2 2 3 2" xfId="50253" xr:uid="{00000000-0005-0000-0000-0000342B0000}"/>
    <cellStyle name="Normal 14 2 2 2 2 2 3 3" xfId="34153" xr:uid="{00000000-0005-0000-0000-0000352B0000}"/>
    <cellStyle name="Normal 14 2 2 2 2 2 3 4" xfId="24584" xr:uid="{00000000-0005-0000-0000-0000362B0000}"/>
    <cellStyle name="Normal 14 2 2 2 2 2 4" xfId="5907" xr:uid="{00000000-0005-0000-0000-0000372B0000}"/>
    <cellStyle name="Normal 14 2 2 2 2 2 4 2" xfId="53748" xr:uid="{00000000-0005-0000-0000-0000382B0000}"/>
    <cellStyle name="Normal 14 2 2 2 2 2 4 3" xfId="37648" xr:uid="{00000000-0005-0000-0000-0000392B0000}"/>
    <cellStyle name="Normal 14 2 2 2 2 2 4 4" xfId="18512" xr:uid="{00000000-0005-0000-0000-00003A2B0000}"/>
    <cellStyle name="Normal 14 2 2 2 2 2 5" xfId="44181" xr:uid="{00000000-0005-0000-0000-00003B2B0000}"/>
    <cellStyle name="Normal 14 2 2 2 2 2 6" xfId="28081" xr:uid="{00000000-0005-0000-0000-00003C2B0000}"/>
    <cellStyle name="Normal 14 2 2 2 2 2 7" xfId="15017" xr:uid="{00000000-0005-0000-0000-00003D2B0000}"/>
    <cellStyle name="Normal 14 2 2 2 2 3" xfId="1621" xr:uid="{00000000-0005-0000-0000-00003E2B0000}"/>
    <cellStyle name="Normal 14 2 2 2 2 3 2" xfId="8155" xr:uid="{00000000-0005-0000-0000-00003F2B0000}"/>
    <cellStyle name="Normal 14 2 2 2 2 3 2 2" xfId="39896" xr:uid="{00000000-0005-0000-0000-0000402B0000}"/>
    <cellStyle name="Normal 14 2 2 2 2 3 2 2 2" xfId="55996" xr:uid="{00000000-0005-0000-0000-0000412B0000}"/>
    <cellStyle name="Normal 14 2 2 2 2 3 2 3" xfId="46429" xr:uid="{00000000-0005-0000-0000-0000422B0000}"/>
    <cellStyle name="Normal 14 2 2 2 2 3 2 4" xfId="30329" xr:uid="{00000000-0005-0000-0000-0000432B0000}"/>
    <cellStyle name="Normal 14 2 2 2 2 3 2 5" xfId="20760" xr:uid="{00000000-0005-0000-0000-0000442B0000}"/>
    <cellStyle name="Normal 14 2 2 2 2 3 3" xfId="11191" xr:uid="{00000000-0005-0000-0000-0000452B0000}"/>
    <cellStyle name="Normal 14 2 2 2 2 3 3 2" xfId="49465" xr:uid="{00000000-0005-0000-0000-0000462B0000}"/>
    <cellStyle name="Normal 14 2 2 2 2 3 3 3" xfId="33365" xr:uid="{00000000-0005-0000-0000-0000472B0000}"/>
    <cellStyle name="Normal 14 2 2 2 2 3 3 4" xfId="23796" xr:uid="{00000000-0005-0000-0000-0000482B0000}"/>
    <cellStyle name="Normal 14 2 2 2 2 3 4" xfId="5119" xr:uid="{00000000-0005-0000-0000-0000492B0000}"/>
    <cellStyle name="Normal 14 2 2 2 2 3 4 2" xfId="52960" xr:uid="{00000000-0005-0000-0000-00004A2B0000}"/>
    <cellStyle name="Normal 14 2 2 2 2 3 4 3" xfId="36860" xr:uid="{00000000-0005-0000-0000-00004B2B0000}"/>
    <cellStyle name="Normal 14 2 2 2 2 3 4 4" xfId="17724" xr:uid="{00000000-0005-0000-0000-00004C2B0000}"/>
    <cellStyle name="Normal 14 2 2 2 2 3 5" xfId="43393" xr:uid="{00000000-0005-0000-0000-00004D2B0000}"/>
    <cellStyle name="Normal 14 2 2 2 2 3 6" xfId="27293" xr:uid="{00000000-0005-0000-0000-00004E2B0000}"/>
    <cellStyle name="Normal 14 2 2 2 2 3 7" xfId="14229" xr:uid="{00000000-0005-0000-0000-00004F2B0000}"/>
    <cellStyle name="Normal 14 2 2 2 2 4" xfId="7145" xr:uid="{00000000-0005-0000-0000-0000502B0000}"/>
    <cellStyle name="Normal 14 2 2 2 2 4 2" xfId="38886" xr:uid="{00000000-0005-0000-0000-0000512B0000}"/>
    <cellStyle name="Normal 14 2 2 2 2 4 2 2" xfId="54986" xr:uid="{00000000-0005-0000-0000-0000522B0000}"/>
    <cellStyle name="Normal 14 2 2 2 2 4 3" xfId="45419" xr:uid="{00000000-0005-0000-0000-0000532B0000}"/>
    <cellStyle name="Normal 14 2 2 2 2 4 4" xfId="29319" xr:uid="{00000000-0005-0000-0000-0000542B0000}"/>
    <cellStyle name="Normal 14 2 2 2 2 4 5" xfId="19750" xr:uid="{00000000-0005-0000-0000-0000552B0000}"/>
    <cellStyle name="Normal 14 2 2 2 2 5" xfId="10181" xr:uid="{00000000-0005-0000-0000-0000562B0000}"/>
    <cellStyle name="Normal 14 2 2 2 2 5 2" xfId="48455" xr:uid="{00000000-0005-0000-0000-0000572B0000}"/>
    <cellStyle name="Normal 14 2 2 2 2 5 3" xfId="32355" xr:uid="{00000000-0005-0000-0000-0000582B0000}"/>
    <cellStyle name="Normal 14 2 2 2 2 5 4" xfId="22786" xr:uid="{00000000-0005-0000-0000-0000592B0000}"/>
    <cellStyle name="Normal 14 2 2 2 2 6" xfId="4109" xr:uid="{00000000-0005-0000-0000-00005A2B0000}"/>
    <cellStyle name="Normal 14 2 2 2 2 6 2" xfId="51950" xr:uid="{00000000-0005-0000-0000-00005B2B0000}"/>
    <cellStyle name="Normal 14 2 2 2 2 6 3" xfId="35850" xr:uid="{00000000-0005-0000-0000-00005C2B0000}"/>
    <cellStyle name="Normal 14 2 2 2 2 6 4" xfId="16714" xr:uid="{00000000-0005-0000-0000-00005D2B0000}"/>
    <cellStyle name="Normal 14 2 2 2 2 7" xfId="42383" xr:uid="{00000000-0005-0000-0000-00005E2B0000}"/>
    <cellStyle name="Normal 14 2 2 2 2 8" xfId="26283" xr:uid="{00000000-0005-0000-0000-00005F2B0000}"/>
    <cellStyle name="Normal 14 2 2 2 2 9" xfId="13219" xr:uid="{00000000-0005-0000-0000-0000602B0000}"/>
    <cellStyle name="Normal 14 2 2 2 3" xfId="1028" xr:uid="{00000000-0005-0000-0000-0000612B0000}"/>
    <cellStyle name="Normal 14 2 2 2 3 2" xfId="3056" xr:uid="{00000000-0005-0000-0000-0000622B0000}"/>
    <cellStyle name="Normal 14 2 2 2 3 2 2" xfId="9588" xr:uid="{00000000-0005-0000-0000-0000632B0000}"/>
    <cellStyle name="Normal 14 2 2 2 3 2 2 2" xfId="41329" xr:uid="{00000000-0005-0000-0000-0000642B0000}"/>
    <cellStyle name="Normal 14 2 2 2 3 2 2 2 2" xfId="57429" xr:uid="{00000000-0005-0000-0000-0000652B0000}"/>
    <cellStyle name="Normal 14 2 2 2 3 2 2 3" xfId="47862" xr:uid="{00000000-0005-0000-0000-0000662B0000}"/>
    <cellStyle name="Normal 14 2 2 2 3 2 2 4" xfId="31762" xr:uid="{00000000-0005-0000-0000-0000672B0000}"/>
    <cellStyle name="Normal 14 2 2 2 3 2 2 5" xfId="22193" xr:uid="{00000000-0005-0000-0000-0000682B0000}"/>
    <cellStyle name="Normal 14 2 2 2 3 2 3" xfId="12624" xr:uid="{00000000-0005-0000-0000-0000692B0000}"/>
    <cellStyle name="Normal 14 2 2 2 3 2 3 2" xfId="50898" xr:uid="{00000000-0005-0000-0000-00006A2B0000}"/>
    <cellStyle name="Normal 14 2 2 2 3 2 3 3" xfId="34798" xr:uid="{00000000-0005-0000-0000-00006B2B0000}"/>
    <cellStyle name="Normal 14 2 2 2 3 2 3 4" xfId="25229" xr:uid="{00000000-0005-0000-0000-00006C2B0000}"/>
    <cellStyle name="Normal 14 2 2 2 3 2 4" xfId="6552" xr:uid="{00000000-0005-0000-0000-00006D2B0000}"/>
    <cellStyle name="Normal 14 2 2 2 3 2 4 2" xfId="54393" xr:uid="{00000000-0005-0000-0000-00006E2B0000}"/>
    <cellStyle name="Normal 14 2 2 2 3 2 4 3" xfId="38293" xr:uid="{00000000-0005-0000-0000-00006F2B0000}"/>
    <cellStyle name="Normal 14 2 2 2 3 2 4 4" xfId="19157" xr:uid="{00000000-0005-0000-0000-0000702B0000}"/>
    <cellStyle name="Normal 14 2 2 2 3 2 5" xfId="44826" xr:uid="{00000000-0005-0000-0000-0000712B0000}"/>
    <cellStyle name="Normal 14 2 2 2 3 2 6" xfId="28726" xr:uid="{00000000-0005-0000-0000-0000722B0000}"/>
    <cellStyle name="Normal 14 2 2 2 3 2 7" xfId="15662" xr:uid="{00000000-0005-0000-0000-0000732B0000}"/>
    <cellStyle name="Normal 14 2 2 2 3 3" xfId="2038" xr:uid="{00000000-0005-0000-0000-0000742B0000}"/>
    <cellStyle name="Normal 14 2 2 2 3 3 2" xfId="8572" xr:uid="{00000000-0005-0000-0000-0000752B0000}"/>
    <cellStyle name="Normal 14 2 2 2 3 3 2 2" xfId="40313" xr:uid="{00000000-0005-0000-0000-0000762B0000}"/>
    <cellStyle name="Normal 14 2 2 2 3 3 2 2 2" xfId="56413" xr:uid="{00000000-0005-0000-0000-0000772B0000}"/>
    <cellStyle name="Normal 14 2 2 2 3 3 2 3" xfId="46846" xr:uid="{00000000-0005-0000-0000-0000782B0000}"/>
    <cellStyle name="Normal 14 2 2 2 3 3 2 4" xfId="30746" xr:uid="{00000000-0005-0000-0000-0000792B0000}"/>
    <cellStyle name="Normal 14 2 2 2 3 3 2 5" xfId="21177" xr:uid="{00000000-0005-0000-0000-00007A2B0000}"/>
    <cellStyle name="Normal 14 2 2 2 3 3 3" xfId="11608" xr:uid="{00000000-0005-0000-0000-00007B2B0000}"/>
    <cellStyle name="Normal 14 2 2 2 3 3 3 2" xfId="49882" xr:uid="{00000000-0005-0000-0000-00007C2B0000}"/>
    <cellStyle name="Normal 14 2 2 2 3 3 3 3" xfId="33782" xr:uid="{00000000-0005-0000-0000-00007D2B0000}"/>
    <cellStyle name="Normal 14 2 2 2 3 3 3 4" xfId="24213" xr:uid="{00000000-0005-0000-0000-00007E2B0000}"/>
    <cellStyle name="Normal 14 2 2 2 3 3 4" xfId="5536" xr:uid="{00000000-0005-0000-0000-00007F2B0000}"/>
    <cellStyle name="Normal 14 2 2 2 3 3 4 2" xfId="53377" xr:uid="{00000000-0005-0000-0000-0000802B0000}"/>
    <cellStyle name="Normal 14 2 2 2 3 3 4 3" xfId="37277" xr:uid="{00000000-0005-0000-0000-0000812B0000}"/>
    <cellStyle name="Normal 14 2 2 2 3 3 4 4" xfId="18141" xr:uid="{00000000-0005-0000-0000-0000822B0000}"/>
    <cellStyle name="Normal 14 2 2 2 3 3 5" xfId="43810" xr:uid="{00000000-0005-0000-0000-0000832B0000}"/>
    <cellStyle name="Normal 14 2 2 2 3 3 6" xfId="27710" xr:uid="{00000000-0005-0000-0000-0000842B0000}"/>
    <cellStyle name="Normal 14 2 2 2 3 3 7" xfId="14646" xr:uid="{00000000-0005-0000-0000-0000852B0000}"/>
    <cellStyle name="Normal 14 2 2 2 3 4" xfId="7562" xr:uid="{00000000-0005-0000-0000-0000862B0000}"/>
    <cellStyle name="Normal 14 2 2 2 3 4 2" xfId="39303" xr:uid="{00000000-0005-0000-0000-0000872B0000}"/>
    <cellStyle name="Normal 14 2 2 2 3 4 2 2" xfId="55403" xr:uid="{00000000-0005-0000-0000-0000882B0000}"/>
    <cellStyle name="Normal 14 2 2 2 3 4 3" xfId="45836" xr:uid="{00000000-0005-0000-0000-0000892B0000}"/>
    <cellStyle name="Normal 14 2 2 2 3 4 4" xfId="29736" xr:uid="{00000000-0005-0000-0000-00008A2B0000}"/>
    <cellStyle name="Normal 14 2 2 2 3 4 5" xfId="20167" xr:uid="{00000000-0005-0000-0000-00008B2B0000}"/>
    <cellStyle name="Normal 14 2 2 2 3 5" xfId="10598" xr:uid="{00000000-0005-0000-0000-00008C2B0000}"/>
    <cellStyle name="Normal 14 2 2 2 3 5 2" xfId="48872" xr:uid="{00000000-0005-0000-0000-00008D2B0000}"/>
    <cellStyle name="Normal 14 2 2 2 3 5 3" xfId="32772" xr:uid="{00000000-0005-0000-0000-00008E2B0000}"/>
    <cellStyle name="Normal 14 2 2 2 3 5 4" xfId="23203" xr:uid="{00000000-0005-0000-0000-00008F2B0000}"/>
    <cellStyle name="Normal 14 2 2 2 3 6" xfId="4526" xr:uid="{00000000-0005-0000-0000-0000902B0000}"/>
    <cellStyle name="Normal 14 2 2 2 3 6 2" xfId="52367" xr:uid="{00000000-0005-0000-0000-0000912B0000}"/>
    <cellStyle name="Normal 14 2 2 2 3 6 3" xfId="36267" xr:uid="{00000000-0005-0000-0000-0000922B0000}"/>
    <cellStyle name="Normal 14 2 2 2 3 6 4" xfId="17131" xr:uid="{00000000-0005-0000-0000-0000932B0000}"/>
    <cellStyle name="Normal 14 2 2 2 3 7" xfId="42800" xr:uid="{00000000-0005-0000-0000-0000942B0000}"/>
    <cellStyle name="Normal 14 2 2 2 3 8" xfId="26700" xr:uid="{00000000-0005-0000-0000-0000952B0000}"/>
    <cellStyle name="Normal 14 2 2 2 3 9" xfId="13636" xr:uid="{00000000-0005-0000-0000-0000962B0000}"/>
    <cellStyle name="Normal 14 2 2 2 4" xfId="2232" xr:uid="{00000000-0005-0000-0000-0000972B0000}"/>
    <cellStyle name="Normal 14 2 2 2 4 2" xfId="8766" xr:uid="{00000000-0005-0000-0000-0000982B0000}"/>
    <cellStyle name="Normal 14 2 2 2 4 2 2" xfId="40507" xr:uid="{00000000-0005-0000-0000-0000992B0000}"/>
    <cellStyle name="Normal 14 2 2 2 4 2 2 2" xfId="56607" xr:uid="{00000000-0005-0000-0000-00009A2B0000}"/>
    <cellStyle name="Normal 14 2 2 2 4 2 3" xfId="47040" xr:uid="{00000000-0005-0000-0000-00009B2B0000}"/>
    <cellStyle name="Normal 14 2 2 2 4 2 4" xfId="30940" xr:uid="{00000000-0005-0000-0000-00009C2B0000}"/>
    <cellStyle name="Normal 14 2 2 2 4 2 5" xfId="21371" xr:uid="{00000000-0005-0000-0000-00009D2B0000}"/>
    <cellStyle name="Normal 14 2 2 2 4 3" xfId="11802" xr:uid="{00000000-0005-0000-0000-00009E2B0000}"/>
    <cellStyle name="Normal 14 2 2 2 4 3 2" xfId="50076" xr:uid="{00000000-0005-0000-0000-00009F2B0000}"/>
    <cellStyle name="Normal 14 2 2 2 4 3 3" xfId="33976" xr:uid="{00000000-0005-0000-0000-0000A02B0000}"/>
    <cellStyle name="Normal 14 2 2 2 4 3 4" xfId="24407" xr:uid="{00000000-0005-0000-0000-0000A12B0000}"/>
    <cellStyle name="Normal 14 2 2 2 4 4" xfId="5730" xr:uid="{00000000-0005-0000-0000-0000A22B0000}"/>
    <cellStyle name="Normal 14 2 2 2 4 4 2" xfId="53571" xr:uid="{00000000-0005-0000-0000-0000A32B0000}"/>
    <cellStyle name="Normal 14 2 2 2 4 4 3" xfId="37471" xr:uid="{00000000-0005-0000-0000-0000A42B0000}"/>
    <cellStyle name="Normal 14 2 2 2 4 4 4" xfId="18335" xr:uid="{00000000-0005-0000-0000-0000A52B0000}"/>
    <cellStyle name="Normal 14 2 2 2 4 5" xfId="44004" xr:uid="{00000000-0005-0000-0000-0000A62B0000}"/>
    <cellStyle name="Normal 14 2 2 2 4 6" xfId="27904" xr:uid="{00000000-0005-0000-0000-0000A72B0000}"/>
    <cellStyle name="Normal 14 2 2 2 4 7" xfId="14840" xr:uid="{00000000-0005-0000-0000-0000A82B0000}"/>
    <cellStyle name="Normal 14 2 2 2 5" xfId="1444" xr:uid="{00000000-0005-0000-0000-0000A92B0000}"/>
    <cellStyle name="Normal 14 2 2 2 5 2" xfId="7978" xr:uid="{00000000-0005-0000-0000-0000AA2B0000}"/>
    <cellStyle name="Normal 14 2 2 2 5 2 2" xfId="39719" xr:uid="{00000000-0005-0000-0000-0000AB2B0000}"/>
    <cellStyle name="Normal 14 2 2 2 5 2 2 2" xfId="55819" xr:uid="{00000000-0005-0000-0000-0000AC2B0000}"/>
    <cellStyle name="Normal 14 2 2 2 5 2 3" xfId="46252" xr:uid="{00000000-0005-0000-0000-0000AD2B0000}"/>
    <cellStyle name="Normal 14 2 2 2 5 2 4" xfId="30152" xr:uid="{00000000-0005-0000-0000-0000AE2B0000}"/>
    <cellStyle name="Normal 14 2 2 2 5 2 5" xfId="20583" xr:uid="{00000000-0005-0000-0000-0000AF2B0000}"/>
    <cellStyle name="Normal 14 2 2 2 5 3" xfId="11014" xr:uid="{00000000-0005-0000-0000-0000B02B0000}"/>
    <cellStyle name="Normal 14 2 2 2 5 3 2" xfId="49288" xr:uid="{00000000-0005-0000-0000-0000B12B0000}"/>
    <cellStyle name="Normal 14 2 2 2 5 3 3" xfId="33188" xr:uid="{00000000-0005-0000-0000-0000B22B0000}"/>
    <cellStyle name="Normal 14 2 2 2 5 3 4" xfId="23619" xr:uid="{00000000-0005-0000-0000-0000B32B0000}"/>
    <cellStyle name="Normal 14 2 2 2 5 4" xfId="4942" xr:uid="{00000000-0005-0000-0000-0000B42B0000}"/>
    <cellStyle name="Normal 14 2 2 2 5 4 2" xfId="52783" xr:uid="{00000000-0005-0000-0000-0000B52B0000}"/>
    <cellStyle name="Normal 14 2 2 2 5 4 3" xfId="36683" xr:uid="{00000000-0005-0000-0000-0000B62B0000}"/>
    <cellStyle name="Normal 14 2 2 2 5 4 4" xfId="17547" xr:uid="{00000000-0005-0000-0000-0000B72B0000}"/>
    <cellStyle name="Normal 14 2 2 2 5 5" xfId="43216" xr:uid="{00000000-0005-0000-0000-0000B82B0000}"/>
    <cellStyle name="Normal 14 2 2 2 5 6" xfId="27116" xr:uid="{00000000-0005-0000-0000-0000B92B0000}"/>
    <cellStyle name="Normal 14 2 2 2 5 7" xfId="14052" xr:uid="{00000000-0005-0000-0000-0000BA2B0000}"/>
    <cellStyle name="Normal 14 2 2 2 6" xfId="3932" xr:uid="{00000000-0005-0000-0000-0000BB2B0000}"/>
    <cellStyle name="Normal 14 2 2 2 6 2" xfId="35673" xr:uid="{00000000-0005-0000-0000-0000BC2B0000}"/>
    <cellStyle name="Normal 14 2 2 2 6 2 2" xfId="51773" xr:uid="{00000000-0005-0000-0000-0000BD2B0000}"/>
    <cellStyle name="Normal 14 2 2 2 6 3" xfId="42206" xr:uid="{00000000-0005-0000-0000-0000BE2B0000}"/>
    <cellStyle name="Normal 14 2 2 2 6 4" xfId="26106" xr:uid="{00000000-0005-0000-0000-0000BF2B0000}"/>
    <cellStyle name="Normal 14 2 2 2 6 5" xfId="16537" xr:uid="{00000000-0005-0000-0000-0000C02B0000}"/>
    <cellStyle name="Normal 14 2 2 2 7" xfId="6968" xr:uid="{00000000-0005-0000-0000-0000C12B0000}"/>
    <cellStyle name="Normal 14 2 2 2 7 2" xfId="38709" xr:uid="{00000000-0005-0000-0000-0000C22B0000}"/>
    <cellStyle name="Normal 14 2 2 2 7 2 2" xfId="54809" xr:uid="{00000000-0005-0000-0000-0000C32B0000}"/>
    <cellStyle name="Normal 14 2 2 2 7 3" xfId="45242" xr:uid="{00000000-0005-0000-0000-0000C42B0000}"/>
    <cellStyle name="Normal 14 2 2 2 7 4" xfId="29142" xr:uid="{00000000-0005-0000-0000-0000C52B0000}"/>
    <cellStyle name="Normal 14 2 2 2 7 5" xfId="19573" xr:uid="{00000000-0005-0000-0000-0000C62B0000}"/>
    <cellStyle name="Normal 14 2 2 2 8" xfId="10004" xr:uid="{00000000-0005-0000-0000-0000C72B0000}"/>
    <cellStyle name="Normal 14 2 2 2 8 2" xfId="48278" xr:uid="{00000000-0005-0000-0000-0000C82B0000}"/>
    <cellStyle name="Normal 14 2 2 2 8 3" xfId="32178" xr:uid="{00000000-0005-0000-0000-0000C92B0000}"/>
    <cellStyle name="Normal 14 2 2 2 8 4" xfId="22609" xr:uid="{00000000-0005-0000-0000-0000CA2B0000}"/>
    <cellStyle name="Normal 14 2 2 2 9" xfId="3392" xr:uid="{00000000-0005-0000-0000-0000CB2B0000}"/>
    <cellStyle name="Normal 14 2 2 2 9 2" xfId="51233" xr:uid="{00000000-0005-0000-0000-0000CC2B0000}"/>
    <cellStyle name="Normal 14 2 2 2 9 3" xfId="35133" xr:uid="{00000000-0005-0000-0000-0000CD2B0000}"/>
    <cellStyle name="Normal 14 2 2 2 9 4" xfId="15997" xr:uid="{00000000-0005-0000-0000-0000CE2B0000}"/>
    <cellStyle name="Normal 14 2 2 3" xfId="319" xr:uid="{00000000-0005-0000-0000-0000CF2B0000}"/>
    <cellStyle name="Normal 14 2 2 3 2" xfId="2338" xr:uid="{00000000-0005-0000-0000-0000D02B0000}"/>
    <cellStyle name="Normal 14 2 2 3 2 2" xfId="8872" xr:uid="{00000000-0005-0000-0000-0000D12B0000}"/>
    <cellStyle name="Normal 14 2 2 3 2 2 2" xfId="40613" xr:uid="{00000000-0005-0000-0000-0000D22B0000}"/>
    <cellStyle name="Normal 14 2 2 3 2 2 2 2" xfId="56713" xr:uid="{00000000-0005-0000-0000-0000D32B0000}"/>
    <cellStyle name="Normal 14 2 2 3 2 2 3" xfId="47146" xr:uid="{00000000-0005-0000-0000-0000D42B0000}"/>
    <cellStyle name="Normal 14 2 2 3 2 2 4" xfId="31046" xr:uid="{00000000-0005-0000-0000-0000D52B0000}"/>
    <cellStyle name="Normal 14 2 2 3 2 2 5" xfId="21477" xr:uid="{00000000-0005-0000-0000-0000D62B0000}"/>
    <cellStyle name="Normal 14 2 2 3 2 3" xfId="11908" xr:uid="{00000000-0005-0000-0000-0000D72B0000}"/>
    <cellStyle name="Normal 14 2 2 3 2 3 2" xfId="50182" xr:uid="{00000000-0005-0000-0000-0000D82B0000}"/>
    <cellStyle name="Normal 14 2 2 3 2 3 3" xfId="34082" xr:uid="{00000000-0005-0000-0000-0000D92B0000}"/>
    <cellStyle name="Normal 14 2 2 3 2 3 4" xfId="24513" xr:uid="{00000000-0005-0000-0000-0000DA2B0000}"/>
    <cellStyle name="Normal 14 2 2 3 2 4" xfId="5836" xr:uid="{00000000-0005-0000-0000-0000DB2B0000}"/>
    <cellStyle name="Normal 14 2 2 3 2 4 2" xfId="53677" xr:uid="{00000000-0005-0000-0000-0000DC2B0000}"/>
    <cellStyle name="Normal 14 2 2 3 2 4 3" xfId="37577" xr:uid="{00000000-0005-0000-0000-0000DD2B0000}"/>
    <cellStyle name="Normal 14 2 2 3 2 4 4" xfId="18441" xr:uid="{00000000-0005-0000-0000-0000DE2B0000}"/>
    <cellStyle name="Normal 14 2 2 3 2 5" xfId="44110" xr:uid="{00000000-0005-0000-0000-0000DF2B0000}"/>
    <cellStyle name="Normal 14 2 2 3 2 6" xfId="28010" xr:uid="{00000000-0005-0000-0000-0000E02B0000}"/>
    <cellStyle name="Normal 14 2 2 3 2 7" xfId="14946" xr:uid="{00000000-0005-0000-0000-0000E12B0000}"/>
    <cellStyle name="Normal 14 2 2 3 3" xfId="1550" xr:uid="{00000000-0005-0000-0000-0000E22B0000}"/>
    <cellStyle name="Normal 14 2 2 3 3 2" xfId="8084" xr:uid="{00000000-0005-0000-0000-0000E32B0000}"/>
    <cellStyle name="Normal 14 2 2 3 3 2 2" xfId="39825" xr:uid="{00000000-0005-0000-0000-0000E42B0000}"/>
    <cellStyle name="Normal 14 2 2 3 3 2 2 2" xfId="55925" xr:uid="{00000000-0005-0000-0000-0000E52B0000}"/>
    <cellStyle name="Normal 14 2 2 3 3 2 3" xfId="46358" xr:uid="{00000000-0005-0000-0000-0000E62B0000}"/>
    <cellStyle name="Normal 14 2 2 3 3 2 4" xfId="30258" xr:uid="{00000000-0005-0000-0000-0000E72B0000}"/>
    <cellStyle name="Normal 14 2 2 3 3 2 5" xfId="20689" xr:uid="{00000000-0005-0000-0000-0000E82B0000}"/>
    <cellStyle name="Normal 14 2 2 3 3 3" xfId="11120" xr:uid="{00000000-0005-0000-0000-0000E92B0000}"/>
    <cellStyle name="Normal 14 2 2 3 3 3 2" xfId="49394" xr:uid="{00000000-0005-0000-0000-0000EA2B0000}"/>
    <cellStyle name="Normal 14 2 2 3 3 3 3" xfId="33294" xr:uid="{00000000-0005-0000-0000-0000EB2B0000}"/>
    <cellStyle name="Normal 14 2 2 3 3 3 4" xfId="23725" xr:uid="{00000000-0005-0000-0000-0000EC2B0000}"/>
    <cellStyle name="Normal 14 2 2 3 3 4" xfId="5048" xr:uid="{00000000-0005-0000-0000-0000ED2B0000}"/>
    <cellStyle name="Normal 14 2 2 3 3 4 2" xfId="52889" xr:uid="{00000000-0005-0000-0000-0000EE2B0000}"/>
    <cellStyle name="Normal 14 2 2 3 3 4 3" xfId="36789" xr:uid="{00000000-0005-0000-0000-0000EF2B0000}"/>
    <cellStyle name="Normal 14 2 2 3 3 4 4" xfId="17653" xr:uid="{00000000-0005-0000-0000-0000F02B0000}"/>
    <cellStyle name="Normal 14 2 2 3 3 5" xfId="43322" xr:uid="{00000000-0005-0000-0000-0000F12B0000}"/>
    <cellStyle name="Normal 14 2 2 3 3 6" xfId="27222" xr:uid="{00000000-0005-0000-0000-0000F22B0000}"/>
    <cellStyle name="Normal 14 2 2 3 3 7" xfId="14158" xr:uid="{00000000-0005-0000-0000-0000F32B0000}"/>
    <cellStyle name="Normal 14 2 2 3 4" xfId="7074" xr:uid="{00000000-0005-0000-0000-0000F42B0000}"/>
    <cellStyle name="Normal 14 2 2 3 4 2" xfId="38815" xr:uid="{00000000-0005-0000-0000-0000F52B0000}"/>
    <cellStyle name="Normal 14 2 2 3 4 2 2" xfId="54915" xr:uid="{00000000-0005-0000-0000-0000F62B0000}"/>
    <cellStyle name="Normal 14 2 2 3 4 3" xfId="45348" xr:uid="{00000000-0005-0000-0000-0000F72B0000}"/>
    <cellStyle name="Normal 14 2 2 3 4 4" xfId="29248" xr:uid="{00000000-0005-0000-0000-0000F82B0000}"/>
    <cellStyle name="Normal 14 2 2 3 4 5" xfId="19679" xr:uid="{00000000-0005-0000-0000-0000F92B0000}"/>
    <cellStyle name="Normal 14 2 2 3 5" xfId="10110" xr:uid="{00000000-0005-0000-0000-0000FA2B0000}"/>
    <cellStyle name="Normal 14 2 2 3 5 2" xfId="48384" xr:uid="{00000000-0005-0000-0000-0000FB2B0000}"/>
    <cellStyle name="Normal 14 2 2 3 5 3" xfId="32284" xr:uid="{00000000-0005-0000-0000-0000FC2B0000}"/>
    <cellStyle name="Normal 14 2 2 3 5 4" xfId="22715" xr:uid="{00000000-0005-0000-0000-0000FD2B0000}"/>
    <cellStyle name="Normal 14 2 2 3 6" xfId="4038" xr:uid="{00000000-0005-0000-0000-0000FE2B0000}"/>
    <cellStyle name="Normal 14 2 2 3 6 2" xfId="51879" xr:uid="{00000000-0005-0000-0000-0000FF2B0000}"/>
    <cellStyle name="Normal 14 2 2 3 6 3" xfId="35779" xr:uid="{00000000-0005-0000-0000-0000002C0000}"/>
    <cellStyle name="Normal 14 2 2 3 6 4" xfId="16643" xr:uid="{00000000-0005-0000-0000-0000012C0000}"/>
    <cellStyle name="Normal 14 2 2 3 7" xfId="42312" xr:uid="{00000000-0005-0000-0000-0000022C0000}"/>
    <cellStyle name="Normal 14 2 2 3 8" xfId="26212" xr:uid="{00000000-0005-0000-0000-0000032C0000}"/>
    <cellStyle name="Normal 14 2 2 3 9" xfId="13148" xr:uid="{00000000-0005-0000-0000-0000042C0000}"/>
    <cellStyle name="Normal 14 2 2 4" xfId="576" xr:uid="{00000000-0005-0000-0000-0000052C0000}"/>
    <cellStyle name="Normal 14 2 2 4 2" xfId="2605" xr:uid="{00000000-0005-0000-0000-0000062C0000}"/>
    <cellStyle name="Normal 14 2 2 4 2 2" xfId="9137" xr:uid="{00000000-0005-0000-0000-0000072C0000}"/>
    <cellStyle name="Normal 14 2 2 4 2 2 2" xfId="40878" xr:uid="{00000000-0005-0000-0000-0000082C0000}"/>
    <cellStyle name="Normal 14 2 2 4 2 2 2 2" xfId="56978" xr:uid="{00000000-0005-0000-0000-0000092C0000}"/>
    <cellStyle name="Normal 14 2 2 4 2 2 3" xfId="47411" xr:uid="{00000000-0005-0000-0000-00000A2C0000}"/>
    <cellStyle name="Normal 14 2 2 4 2 2 4" xfId="31311" xr:uid="{00000000-0005-0000-0000-00000B2C0000}"/>
    <cellStyle name="Normal 14 2 2 4 2 2 5" xfId="21742" xr:uid="{00000000-0005-0000-0000-00000C2C0000}"/>
    <cellStyle name="Normal 14 2 2 4 2 3" xfId="12173" xr:uid="{00000000-0005-0000-0000-00000D2C0000}"/>
    <cellStyle name="Normal 14 2 2 4 2 3 2" xfId="50447" xr:uid="{00000000-0005-0000-0000-00000E2C0000}"/>
    <cellStyle name="Normal 14 2 2 4 2 3 3" xfId="34347" xr:uid="{00000000-0005-0000-0000-00000F2C0000}"/>
    <cellStyle name="Normal 14 2 2 4 2 3 4" xfId="24778" xr:uid="{00000000-0005-0000-0000-0000102C0000}"/>
    <cellStyle name="Normal 14 2 2 4 2 4" xfId="6101" xr:uid="{00000000-0005-0000-0000-0000112C0000}"/>
    <cellStyle name="Normal 14 2 2 4 2 4 2" xfId="53942" xr:uid="{00000000-0005-0000-0000-0000122C0000}"/>
    <cellStyle name="Normal 14 2 2 4 2 4 3" xfId="37842" xr:uid="{00000000-0005-0000-0000-0000132C0000}"/>
    <cellStyle name="Normal 14 2 2 4 2 4 4" xfId="18706" xr:uid="{00000000-0005-0000-0000-0000142C0000}"/>
    <cellStyle name="Normal 14 2 2 4 2 5" xfId="44375" xr:uid="{00000000-0005-0000-0000-0000152C0000}"/>
    <cellStyle name="Normal 14 2 2 4 2 6" xfId="28275" xr:uid="{00000000-0005-0000-0000-0000162C0000}"/>
    <cellStyle name="Normal 14 2 2 4 2 7" xfId="15211" xr:uid="{00000000-0005-0000-0000-0000172C0000}"/>
    <cellStyle name="Normal 14 2 2 4 3" xfId="1373" xr:uid="{00000000-0005-0000-0000-0000182C0000}"/>
    <cellStyle name="Normal 14 2 2 4 3 2" xfId="7907" xr:uid="{00000000-0005-0000-0000-0000192C0000}"/>
    <cellStyle name="Normal 14 2 2 4 3 2 2" xfId="39648" xr:uid="{00000000-0005-0000-0000-00001A2C0000}"/>
    <cellStyle name="Normal 14 2 2 4 3 2 2 2" xfId="55748" xr:uid="{00000000-0005-0000-0000-00001B2C0000}"/>
    <cellStyle name="Normal 14 2 2 4 3 2 3" xfId="46181" xr:uid="{00000000-0005-0000-0000-00001C2C0000}"/>
    <cellStyle name="Normal 14 2 2 4 3 2 4" xfId="30081" xr:uid="{00000000-0005-0000-0000-00001D2C0000}"/>
    <cellStyle name="Normal 14 2 2 4 3 2 5" xfId="20512" xr:uid="{00000000-0005-0000-0000-00001E2C0000}"/>
    <cellStyle name="Normal 14 2 2 4 3 3" xfId="10943" xr:uid="{00000000-0005-0000-0000-00001F2C0000}"/>
    <cellStyle name="Normal 14 2 2 4 3 3 2" xfId="49217" xr:uid="{00000000-0005-0000-0000-0000202C0000}"/>
    <cellStyle name="Normal 14 2 2 4 3 3 3" xfId="33117" xr:uid="{00000000-0005-0000-0000-0000212C0000}"/>
    <cellStyle name="Normal 14 2 2 4 3 3 4" xfId="23548" xr:uid="{00000000-0005-0000-0000-0000222C0000}"/>
    <cellStyle name="Normal 14 2 2 4 3 4" xfId="4871" xr:uid="{00000000-0005-0000-0000-0000232C0000}"/>
    <cellStyle name="Normal 14 2 2 4 3 4 2" xfId="52712" xr:uid="{00000000-0005-0000-0000-0000242C0000}"/>
    <cellStyle name="Normal 14 2 2 4 3 4 3" xfId="36612" xr:uid="{00000000-0005-0000-0000-0000252C0000}"/>
    <cellStyle name="Normal 14 2 2 4 3 4 4" xfId="17476" xr:uid="{00000000-0005-0000-0000-0000262C0000}"/>
    <cellStyle name="Normal 14 2 2 4 3 5" xfId="43145" xr:uid="{00000000-0005-0000-0000-0000272C0000}"/>
    <cellStyle name="Normal 14 2 2 4 3 6" xfId="27045" xr:uid="{00000000-0005-0000-0000-0000282C0000}"/>
    <cellStyle name="Normal 14 2 2 4 3 7" xfId="13981" xr:uid="{00000000-0005-0000-0000-0000292C0000}"/>
    <cellStyle name="Normal 14 2 2 4 4" xfId="6897" xr:uid="{00000000-0005-0000-0000-00002A2C0000}"/>
    <cellStyle name="Normal 14 2 2 4 4 2" xfId="38638" xr:uid="{00000000-0005-0000-0000-00002B2C0000}"/>
    <cellStyle name="Normal 14 2 2 4 4 2 2" xfId="54738" xr:uid="{00000000-0005-0000-0000-00002C2C0000}"/>
    <cellStyle name="Normal 14 2 2 4 4 3" xfId="45171" xr:uid="{00000000-0005-0000-0000-00002D2C0000}"/>
    <cellStyle name="Normal 14 2 2 4 4 4" xfId="29071" xr:uid="{00000000-0005-0000-0000-00002E2C0000}"/>
    <cellStyle name="Normal 14 2 2 4 4 5" xfId="19502" xr:uid="{00000000-0005-0000-0000-00002F2C0000}"/>
    <cellStyle name="Normal 14 2 2 4 5" xfId="9933" xr:uid="{00000000-0005-0000-0000-0000302C0000}"/>
    <cellStyle name="Normal 14 2 2 4 5 2" xfId="48207" xr:uid="{00000000-0005-0000-0000-0000312C0000}"/>
    <cellStyle name="Normal 14 2 2 4 5 3" xfId="32107" xr:uid="{00000000-0005-0000-0000-0000322C0000}"/>
    <cellStyle name="Normal 14 2 2 4 5 4" xfId="22538" xr:uid="{00000000-0005-0000-0000-0000332C0000}"/>
    <cellStyle name="Normal 14 2 2 4 6" xfId="3861" xr:uid="{00000000-0005-0000-0000-0000342C0000}"/>
    <cellStyle name="Normal 14 2 2 4 6 2" xfId="51702" xr:uid="{00000000-0005-0000-0000-0000352C0000}"/>
    <cellStyle name="Normal 14 2 2 4 6 3" xfId="35602" xr:uid="{00000000-0005-0000-0000-0000362C0000}"/>
    <cellStyle name="Normal 14 2 2 4 6 4" xfId="16466" xr:uid="{00000000-0005-0000-0000-0000372C0000}"/>
    <cellStyle name="Normal 14 2 2 4 7" xfId="42135" xr:uid="{00000000-0005-0000-0000-0000382C0000}"/>
    <cellStyle name="Normal 14 2 2 4 8" xfId="26035" xr:uid="{00000000-0005-0000-0000-0000392C0000}"/>
    <cellStyle name="Normal 14 2 2 4 9" xfId="12971" xr:uid="{00000000-0005-0000-0000-00003A2C0000}"/>
    <cellStyle name="Normal 14 2 2 5" xfId="799" xr:uid="{00000000-0005-0000-0000-00003B2C0000}"/>
    <cellStyle name="Normal 14 2 2 5 2" xfId="2827" xr:uid="{00000000-0005-0000-0000-00003C2C0000}"/>
    <cellStyle name="Normal 14 2 2 5 2 2" xfId="9359" xr:uid="{00000000-0005-0000-0000-00003D2C0000}"/>
    <cellStyle name="Normal 14 2 2 5 2 2 2" xfId="41100" xr:uid="{00000000-0005-0000-0000-00003E2C0000}"/>
    <cellStyle name="Normal 14 2 2 5 2 2 2 2" xfId="57200" xr:uid="{00000000-0005-0000-0000-00003F2C0000}"/>
    <cellStyle name="Normal 14 2 2 5 2 2 3" xfId="47633" xr:uid="{00000000-0005-0000-0000-0000402C0000}"/>
    <cellStyle name="Normal 14 2 2 5 2 2 4" xfId="31533" xr:uid="{00000000-0005-0000-0000-0000412C0000}"/>
    <cellStyle name="Normal 14 2 2 5 2 2 5" xfId="21964" xr:uid="{00000000-0005-0000-0000-0000422C0000}"/>
    <cellStyle name="Normal 14 2 2 5 2 3" xfId="12395" xr:uid="{00000000-0005-0000-0000-0000432C0000}"/>
    <cellStyle name="Normal 14 2 2 5 2 3 2" xfId="50669" xr:uid="{00000000-0005-0000-0000-0000442C0000}"/>
    <cellStyle name="Normal 14 2 2 5 2 3 3" xfId="34569" xr:uid="{00000000-0005-0000-0000-0000452C0000}"/>
    <cellStyle name="Normal 14 2 2 5 2 3 4" xfId="25000" xr:uid="{00000000-0005-0000-0000-0000462C0000}"/>
    <cellStyle name="Normal 14 2 2 5 2 4" xfId="6323" xr:uid="{00000000-0005-0000-0000-0000472C0000}"/>
    <cellStyle name="Normal 14 2 2 5 2 4 2" xfId="54164" xr:uid="{00000000-0005-0000-0000-0000482C0000}"/>
    <cellStyle name="Normal 14 2 2 5 2 4 3" xfId="38064" xr:uid="{00000000-0005-0000-0000-0000492C0000}"/>
    <cellStyle name="Normal 14 2 2 5 2 4 4" xfId="18928" xr:uid="{00000000-0005-0000-0000-00004A2C0000}"/>
    <cellStyle name="Normal 14 2 2 5 2 5" xfId="44597" xr:uid="{00000000-0005-0000-0000-00004B2C0000}"/>
    <cellStyle name="Normal 14 2 2 5 2 6" xfId="28497" xr:uid="{00000000-0005-0000-0000-00004C2C0000}"/>
    <cellStyle name="Normal 14 2 2 5 2 7" xfId="15433" xr:uid="{00000000-0005-0000-0000-00004D2C0000}"/>
    <cellStyle name="Normal 14 2 2 5 3" xfId="1809" xr:uid="{00000000-0005-0000-0000-00004E2C0000}"/>
    <cellStyle name="Normal 14 2 2 5 3 2" xfId="8343" xr:uid="{00000000-0005-0000-0000-00004F2C0000}"/>
    <cellStyle name="Normal 14 2 2 5 3 2 2" xfId="40084" xr:uid="{00000000-0005-0000-0000-0000502C0000}"/>
    <cellStyle name="Normal 14 2 2 5 3 2 2 2" xfId="56184" xr:uid="{00000000-0005-0000-0000-0000512C0000}"/>
    <cellStyle name="Normal 14 2 2 5 3 2 3" xfId="46617" xr:uid="{00000000-0005-0000-0000-0000522C0000}"/>
    <cellStyle name="Normal 14 2 2 5 3 2 4" xfId="30517" xr:uid="{00000000-0005-0000-0000-0000532C0000}"/>
    <cellStyle name="Normal 14 2 2 5 3 2 5" xfId="20948" xr:uid="{00000000-0005-0000-0000-0000542C0000}"/>
    <cellStyle name="Normal 14 2 2 5 3 3" xfId="11379" xr:uid="{00000000-0005-0000-0000-0000552C0000}"/>
    <cellStyle name="Normal 14 2 2 5 3 3 2" xfId="49653" xr:uid="{00000000-0005-0000-0000-0000562C0000}"/>
    <cellStyle name="Normal 14 2 2 5 3 3 3" xfId="33553" xr:uid="{00000000-0005-0000-0000-0000572C0000}"/>
    <cellStyle name="Normal 14 2 2 5 3 3 4" xfId="23984" xr:uid="{00000000-0005-0000-0000-0000582C0000}"/>
    <cellStyle name="Normal 14 2 2 5 3 4" xfId="5307" xr:uid="{00000000-0005-0000-0000-0000592C0000}"/>
    <cellStyle name="Normal 14 2 2 5 3 4 2" xfId="53148" xr:uid="{00000000-0005-0000-0000-00005A2C0000}"/>
    <cellStyle name="Normal 14 2 2 5 3 4 3" xfId="37048" xr:uid="{00000000-0005-0000-0000-00005B2C0000}"/>
    <cellStyle name="Normal 14 2 2 5 3 4 4" xfId="17912" xr:uid="{00000000-0005-0000-0000-00005C2C0000}"/>
    <cellStyle name="Normal 14 2 2 5 3 5" xfId="43581" xr:uid="{00000000-0005-0000-0000-00005D2C0000}"/>
    <cellStyle name="Normal 14 2 2 5 3 6" xfId="27481" xr:uid="{00000000-0005-0000-0000-00005E2C0000}"/>
    <cellStyle name="Normal 14 2 2 5 3 7" xfId="14417" xr:uid="{00000000-0005-0000-0000-00005F2C0000}"/>
    <cellStyle name="Normal 14 2 2 5 4" xfId="7333" xr:uid="{00000000-0005-0000-0000-0000602C0000}"/>
    <cellStyle name="Normal 14 2 2 5 4 2" xfId="39074" xr:uid="{00000000-0005-0000-0000-0000612C0000}"/>
    <cellStyle name="Normal 14 2 2 5 4 2 2" xfId="55174" xr:uid="{00000000-0005-0000-0000-0000622C0000}"/>
    <cellStyle name="Normal 14 2 2 5 4 3" xfId="45607" xr:uid="{00000000-0005-0000-0000-0000632C0000}"/>
    <cellStyle name="Normal 14 2 2 5 4 4" xfId="29507" xr:uid="{00000000-0005-0000-0000-0000642C0000}"/>
    <cellStyle name="Normal 14 2 2 5 4 5" xfId="19938" xr:uid="{00000000-0005-0000-0000-0000652C0000}"/>
    <cellStyle name="Normal 14 2 2 5 5" xfId="10369" xr:uid="{00000000-0005-0000-0000-0000662C0000}"/>
    <cellStyle name="Normal 14 2 2 5 5 2" xfId="48643" xr:uid="{00000000-0005-0000-0000-0000672C0000}"/>
    <cellStyle name="Normal 14 2 2 5 5 3" xfId="32543" xr:uid="{00000000-0005-0000-0000-0000682C0000}"/>
    <cellStyle name="Normal 14 2 2 5 5 4" xfId="22974" xr:uid="{00000000-0005-0000-0000-0000692C0000}"/>
    <cellStyle name="Normal 14 2 2 5 6" xfId="4297" xr:uid="{00000000-0005-0000-0000-00006A2C0000}"/>
    <cellStyle name="Normal 14 2 2 5 6 2" xfId="52138" xr:uid="{00000000-0005-0000-0000-00006B2C0000}"/>
    <cellStyle name="Normal 14 2 2 5 6 3" xfId="36038" xr:uid="{00000000-0005-0000-0000-00006C2C0000}"/>
    <cellStyle name="Normal 14 2 2 5 6 4" xfId="16902" xr:uid="{00000000-0005-0000-0000-00006D2C0000}"/>
    <cellStyle name="Normal 14 2 2 5 7" xfId="42571" xr:uid="{00000000-0005-0000-0000-00006E2C0000}"/>
    <cellStyle name="Normal 14 2 2 5 8" xfId="26471" xr:uid="{00000000-0005-0000-0000-00006F2C0000}"/>
    <cellStyle name="Normal 14 2 2 5 9" xfId="13407" xr:uid="{00000000-0005-0000-0000-0000702C0000}"/>
    <cellStyle name="Normal 14 2 2 6" xfId="2161" xr:uid="{00000000-0005-0000-0000-0000712C0000}"/>
    <cellStyle name="Normal 14 2 2 6 2" xfId="8695" xr:uid="{00000000-0005-0000-0000-0000722C0000}"/>
    <cellStyle name="Normal 14 2 2 6 2 2" xfId="40436" xr:uid="{00000000-0005-0000-0000-0000732C0000}"/>
    <cellStyle name="Normal 14 2 2 6 2 2 2" xfId="56536" xr:uid="{00000000-0005-0000-0000-0000742C0000}"/>
    <cellStyle name="Normal 14 2 2 6 2 3" xfId="46969" xr:uid="{00000000-0005-0000-0000-0000752C0000}"/>
    <cellStyle name="Normal 14 2 2 6 2 4" xfId="30869" xr:uid="{00000000-0005-0000-0000-0000762C0000}"/>
    <cellStyle name="Normal 14 2 2 6 2 5" xfId="21300" xr:uid="{00000000-0005-0000-0000-0000772C0000}"/>
    <cellStyle name="Normal 14 2 2 6 3" xfId="11731" xr:uid="{00000000-0005-0000-0000-0000782C0000}"/>
    <cellStyle name="Normal 14 2 2 6 3 2" xfId="50005" xr:uid="{00000000-0005-0000-0000-0000792C0000}"/>
    <cellStyle name="Normal 14 2 2 6 3 3" xfId="33905" xr:uid="{00000000-0005-0000-0000-00007A2C0000}"/>
    <cellStyle name="Normal 14 2 2 6 3 4" xfId="24336" xr:uid="{00000000-0005-0000-0000-00007B2C0000}"/>
    <cellStyle name="Normal 14 2 2 6 4" xfId="5659" xr:uid="{00000000-0005-0000-0000-00007C2C0000}"/>
    <cellStyle name="Normal 14 2 2 6 4 2" xfId="53500" xr:uid="{00000000-0005-0000-0000-00007D2C0000}"/>
    <cellStyle name="Normal 14 2 2 6 4 3" xfId="37400" xr:uid="{00000000-0005-0000-0000-00007E2C0000}"/>
    <cellStyle name="Normal 14 2 2 6 4 4" xfId="18264" xr:uid="{00000000-0005-0000-0000-00007F2C0000}"/>
    <cellStyle name="Normal 14 2 2 6 5" xfId="43933" xr:uid="{00000000-0005-0000-0000-0000802C0000}"/>
    <cellStyle name="Normal 14 2 2 6 6" xfId="27833" xr:uid="{00000000-0005-0000-0000-0000812C0000}"/>
    <cellStyle name="Normal 14 2 2 6 7" xfId="14769" xr:uid="{00000000-0005-0000-0000-0000822C0000}"/>
    <cellStyle name="Normal 14 2 2 7" xfId="1126" xr:uid="{00000000-0005-0000-0000-0000832C0000}"/>
    <cellStyle name="Normal 14 2 2 7 2" xfId="7660" xr:uid="{00000000-0005-0000-0000-0000842C0000}"/>
    <cellStyle name="Normal 14 2 2 7 2 2" xfId="39401" xr:uid="{00000000-0005-0000-0000-0000852C0000}"/>
    <cellStyle name="Normal 14 2 2 7 2 2 2" xfId="55501" xr:uid="{00000000-0005-0000-0000-0000862C0000}"/>
    <cellStyle name="Normal 14 2 2 7 2 3" xfId="45934" xr:uid="{00000000-0005-0000-0000-0000872C0000}"/>
    <cellStyle name="Normal 14 2 2 7 2 4" xfId="29834" xr:uid="{00000000-0005-0000-0000-0000882C0000}"/>
    <cellStyle name="Normal 14 2 2 7 2 5" xfId="20265" xr:uid="{00000000-0005-0000-0000-0000892C0000}"/>
    <cellStyle name="Normal 14 2 2 7 3" xfId="10696" xr:uid="{00000000-0005-0000-0000-00008A2C0000}"/>
    <cellStyle name="Normal 14 2 2 7 3 2" xfId="48970" xr:uid="{00000000-0005-0000-0000-00008B2C0000}"/>
    <cellStyle name="Normal 14 2 2 7 3 3" xfId="32870" xr:uid="{00000000-0005-0000-0000-00008C2C0000}"/>
    <cellStyle name="Normal 14 2 2 7 3 4" xfId="23301" xr:uid="{00000000-0005-0000-0000-00008D2C0000}"/>
    <cellStyle name="Normal 14 2 2 7 4" xfId="4624" xr:uid="{00000000-0005-0000-0000-00008E2C0000}"/>
    <cellStyle name="Normal 14 2 2 7 4 2" xfId="52465" xr:uid="{00000000-0005-0000-0000-00008F2C0000}"/>
    <cellStyle name="Normal 14 2 2 7 4 3" xfId="36365" xr:uid="{00000000-0005-0000-0000-0000902C0000}"/>
    <cellStyle name="Normal 14 2 2 7 4 4" xfId="17229" xr:uid="{00000000-0005-0000-0000-0000912C0000}"/>
    <cellStyle name="Normal 14 2 2 7 5" xfId="42898" xr:uid="{00000000-0005-0000-0000-0000922C0000}"/>
    <cellStyle name="Normal 14 2 2 7 6" xfId="26798" xr:uid="{00000000-0005-0000-0000-0000932C0000}"/>
    <cellStyle name="Normal 14 2 2 7 7" xfId="13734" xr:uid="{00000000-0005-0000-0000-0000942C0000}"/>
    <cellStyle name="Normal 14 2 2 8" xfId="3614" xr:uid="{00000000-0005-0000-0000-0000952C0000}"/>
    <cellStyle name="Normal 14 2 2 8 2" xfId="35355" xr:uid="{00000000-0005-0000-0000-0000962C0000}"/>
    <cellStyle name="Normal 14 2 2 8 2 2" xfId="51455" xr:uid="{00000000-0005-0000-0000-0000972C0000}"/>
    <cellStyle name="Normal 14 2 2 8 3" xfId="41888" xr:uid="{00000000-0005-0000-0000-0000982C0000}"/>
    <cellStyle name="Normal 14 2 2 8 4" xfId="25788" xr:uid="{00000000-0005-0000-0000-0000992C0000}"/>
    <cellStyle name="Normal 14 2 2 8 5" xfId="16219" xr:uid="{00000000-0005-0000-0000-00009A2C0000}"/>
    <cellStyle name="Normal 14 2 2 9" xfId="6650" xr:uid="{00000000-0005-0000-0000-00009B2C0000}"/>
    <cellStyle name="Normal 14 2 2 9 2" xfId="38391" xr:uid="{00000000-0005-0000-0000-00009C2C0000}"/>
    <cellStyle name="Normal 14 2 2 9 2 2" xfId="54491" xr:uid="{00000000-0005-0000-0000-00009D2C0000}"/>
    <cellStyle name="Normal 14 2 2 9 3" xfId="44924" xr:uid="{00000000-0005-0000-0000-00009E2C0000}"/>
    <cellStyle name="Normal 14 2 2 9 4" xfId="28824" xr:uid="{00000000-0005-0000-0000-00009F2C0000}"/>
    <cellStyle name="Normal 14 2 2 9 5" xfId="19255" xr:uid="{00000000-0005-0000-0000-0000A02C0000}"/>
    <cellStyle name="Normal 14 2 3" xfId="102" xr:uid="{00000000-0005-0000-0000-0000A12C0000}"/>
    <cellStyle name="Normal 14 2 3 10" xfId="41620" xr:uid="{00000000-0005-0000-0000-0000A22C0000}"/>
    <cellStyle name="Normal 14 2 3 11" xfId="25520" xr:uid="{00000000-0005-0000-0000-0000A32C0000}"/>
    <cellStyle name="Normal 14 2 3 12" xfId="12935" xr:uid="{00000000-0005-0000-0000-0000A42C0000}"/>
    <cellStyle name="Normal 14 2 3 2" xfId="283" xr:uid="{00000000-0005-0000-0000-0000A52C0000}"/>
    <cellStyle name="Normal 14 2 3 2 2" xfId="2302" xr:uid="{00000000-0005-0000-0000-0000A62C0000}"/>
    <cellStyle name="Normal 14 2 3 2 2 2" xfId="8836" xr:uid="{00000000-0005-0000-0000-0000A72C0000}"/>
    <cellStyle name="Normal 14 2 3 2 2 2 2" xfId="40577" xr:uid="{00000000-0005-0000-0000-0000A82C0000}"/>
    <cellStyle name="Normal 14 2 3 2 2 2 2 2" xfId="56677" xr:uid="{00000000-0005-0000-0000-0000A92C0000}"/>
    <cellStyle name="Normal 14 2 3 2 2 2 3" xfId="47110" xr:uid="{00000000-0005-0000-0000-0000AA2C0000}"/>
    <cellStyle name="Normal 14 2 3 2 2 2 4" xfId="31010" xr:uid="{00000000-0005-0000-0000-0000AB2C0000}"/>
    <cellStyle name="Normal 14 2 3 2 2 2 5" xfId="21441" xr:uid="{00000000-0005-0000-0000-0000AC2C0000}"/>
    <cellStyle name="Normal 14 2 3 2 2 3" xfId="11872" xr:uid="{00000000-0005-0000-0000-0000AD2C0000}"/>
    <cellStyle name="Normal 14 2 3 2 2 3 2" xfId="50146" xr:uid="{00000000-0005-0000-0000-0000AE2C0000}"/>
    <cellStyle name="Normal 14 2 3 2 2 3 3" xfId="34046" xr:uid="{00000000-0005-0000-0000-0000AF2C0000}"/>
    <cellStyle name="Normal 14 2 3 2 2 3 4" xfId="24477" xr:uid="{00000000-0005-0000-0000-0000B02C0000}"/>
    <cellStyle name="Normal 14 2 3 2 2 4" xfId="5800" xr:uid="{00000000-0005-0000-0000-0000B12C0000}"/>
    <cellStyle name="Normal 14 2 3 2 2 4 2" xfId="53641" xr:uid="{00000000-0005-0000-0000-0000B22C0000}"/>
    <cellStyle name="Normal 14 2 3 2 2 4 3" xfId="37541" xr:uid="{00000000-0005-0000-0000-0000B32C0000}"/>
    <cellStyle name="Normal 14 2 3 2 2 4 4" xfId="18405" xr:uid="{00000000-0005-0000-0000-0000B42C0000}"/>
    <cellStyle name="Normal 14 2 3 2 2 5" xfId="44074" xr:uid="{00000000-0005-0000-0000-0000B52C0000}"/>
    <cellStyle name="Normal 14 2 3 2 2 6" xfId="27974" xr:uid="{00000000-0005-0000-0000-0000B62C0000}"/>
    <cellStyle name="Normal 14 2 3 2 2 7" xfId="14910" xr:uid="{00000000-0005-0000-0000-0000B72C0000}"/>
    <cellStyle name="Normal 14 2 3 2 3" xfId="1514" xr:uid="{00000000-0005-0000-0000-0000B82C0000}"/>
    <cellStyle name="Normal 14 2 3 2 3 2" xfId="8048" xr:uid="{00000000-0005-0000-0000-0000B92C0000}"/>
    <cellStyle name="Normal 14 2 3 2 3 2 2" xfId="39789" xr:uid="{00000000-0005-0000-0000-0000BA2C0000}"/>
    <cellStyle name="Normal 14 2 3 2 3 2 2 2" xfId="55889" xr:uid="{00000000-0005-0000-0000-0000BB2C0000}"/>
    <cellStyle name="Normal 14 2 3 2 3 2 3" xfId="46322" xr:uid="{00000000-0005-0000-0000-0000BC2C0000}"/>
    <cellStyle name="Normal 14 2 3 2 3 2 4" xfId="30222" xr:uid="{00000000-0005-0000-0000-0000BD2C0000}"/>
    <cellStyle name="Normal 14 2 3 2 3 2 5" xfId="20653" xr:uid="{00000000-0005-0000-0000-0000BE2C0000}"/>
    <cellStyle name="Normal 14 2 3 2 3 3" xfId="11084" xr:uid="{00000000-0005-0000-0000-0000BF2C0000}"/>
    <cellStyle name="Normal 14 2 3 2 3 3 2" xfId="49358" xr:uid="{00000000-0005-0000-0000-0000C02C0000}"/>
    <cellStyle name="Normal 14 2 3 2 3 3 3" xfId="33258" xr:uid="{00000000-0005-0000-0000-0000C12C0000}"/>
    <cellStyle name="Normal 14 2 3 2 3 3 4" xfId="23689" xr:uid="{00000000-0005-0000-0000-0000C22C0000}"/>
    <cellStyle name="Normal 14 2 3 2 3 4" xfId="5012" xr:uid="{00000000-0005-0000-0000-0000C32C0000}"/>
    <cellStyle name="Normal 14 2 3 2 3 4 2" xfId="52853" xr:uid="{00000000-0005-0000-0000-0000C42C0000}"/>
    <cellStyle name="Normal 14 2 3 2 3 4 3" xfId="36753" xr:uid="{00000000-0005-0000-0000-0000C52C0000}"/>
    <cellStyle name="Normal 14 2 3 2 3 4 4" xfId="17617" xr:uid="{00000000-0005-0000-0000-0000C62C0000}"/>
    <cellStyle name="Normal 14 2 3 2 3 5" xfId="43286" xr:uid="{00000000-0005-0000-0000-0000C72C0000}"/>
    <cellStyle name="Normal 14 2 3 2 3 6" xfId="27186" xr:uid="{00000000-0005-0000-0000-0000C82C0000}"/>
    <cellStyle name="Normal 14 2 3 2 3 7" xfId="14122" xr:uid="{00000000-0005-0000-0000-0000C92C0000}"/>
    <cellStyle name="Normal 14 2 3 2 4" xfId="7038" xr:uid="{00000000-0005-0000-0000-0000CA2C0000}"/>
    <cellStyle name="Normal 14 2 3 2 4 2" xfId="38779" xr:uid="{00000000-0005-0000-0000-0000CB2C0000}"/>
    <cellStyle name="Normal 14 2 3 2 4 2 2" xfId="54879" xr:uid="{00000000-0005-0000-0000-0000CC2C0000}"/>
    <cellStyle name="Normal 14 2 3 2 4 3" xfId="45312" xr:uid="{00000000-0005-0000-0000-0000CD2C0000}"/>
    <cellStyle name="Normal 14 2 3 2 4 4" xfId="29212" xr:uid="{00000000-0005-0000-0000-0000CE2C0000}"/>
    <cellStyle name="Normal 14 2 3 2 4 5" xfId="19643" xr:uid="{00000000-0005-0000-0000-0000CF2C0000}"/>
    <cellStyle name="Normal 14 2 3 2 5" xfId="10074" xr:uid="{00000000-0005-0000-0000-0000D02C0000}"/>
    <cellStyle name="Normal 14 2 3 2 5 2" xfId="48348" xr:uid="{00000000-0005-0000-0000-0000D12C0000}"/>
    <cellStyle name="Normal 14 2 3 2 5 3" xfId="32248" xr:uid="{00000000-0005-0000-0000-0000D22C0000}"/>
    <cellStyle name="Normal 14 2 3 2 5 4" xfId="22679" xr:uid="{00000000-0005-0000-0000-0000D32C0000}"/>
    <cellStyle name="Normal 14 2 3 2 6" xfId="4002" xr:uid="{00000000-0005-0000-0000-0000D42C0000}"/>
    <cellStyle name="Normal 14 2 3 2 6 2" xfId="51843" xr:uid="{00000000-0005-0000-0000-0000D52C0000}"/>
    <cellStyle name="Normal 14 2 3 2 6 3" xfId="35743" xr:uid="{00000000-0005-0000-0000-0000D62C0000}"/>
    <cellStyle name="Normal 14 2 3 2 6 4" xfId="16607" xr:uid="{00000000-0005-0000-0000-0000D72C0000}"/>
    <cellStyle name="Normal 14 2 3 2 7" xfId="42276" xr:uid="{00000000-0005-0000-0000-0000D82C0000}"/>
    <cellStyle name="Normal 14 2 3 2 8" xfId="26176" xr:uid="{00000000-0005-0000-0000-0000D92C0000}"/>
    <cellStyle name="Normal 14 2 3 2 9" xfId="13112" xr:uid="{00000000-0005-0000-0000-0000DA2C0000}"/>
    <cellStyle name="Normal 14 2 3 3" xfId="975" xr:uid="{00000000-0005-0000-0000-0000DB2C0000}"/>
    <cellStyle name="Normal 14 2 3 3 2" xfId="3003" xr:uid="{00000000-0005-0000-0000-0000DC2C0000}"/>
    <cellStyle name="Normal 14 2 3 3 2 2" xfId="9535" xr:uid="{00000000-0005-0000-0000-0000DD2C0000}"/>
    <cellStyle name="Normal 14 2 3 3 2 2 2" xfId="41276" xr:uid="{00000000-0005-0000-0000-0000DE2C0000}"/>
    <cellStyle name="Normal 14 2 3 3 2 2 2 2" xfId="57376" xr:uid="{00000000-0005-0000-0000-0000DF2C0000}"/>
    <cellStyle name="Normal 14 2 3 3 2 2 3" xfId="47809" xr:uid="{00000000-0005-0000-0000-0000E02C0000}"/>
    <cellStyle name="Normal 14 2 3 3 2 2 4" xfId="31709" xr:uid="{00000000-0005-0000-0000-0000E12C0000}"/>
    <cellStyle name="Normal 14 2 3 3 2 2 5" xfId="22140" xr:uid="{00000000-0005-0000-0000-0000E22C0000}"/>
    <cellStyle name="Normal 14 2 3 3 2 3" xfId="12571" xr:uid="{00000000-0005-0000-0000-0000E32C0000}"/>
    <cellStyle name="Normal 14 2 3 3 2 3 2" xfId="50845" xr:uid="{00000000-0005-0000-0000-0000E42C0000}"/>
    <cellStyle name="Normal 14 2 3 3 2 3 3" xfId="34745" xr:uid="{00000000-0005-0000-0000-0000E52C0000}"/>
    <cellStyle name="Normal 14 2 3 3 2 3 4" xfId="25176" xr:uid="{00000000-0005-0000-0000-0000E62C0000}"/>
    <cellStyle name="Normal 14 2 3 3 2 4" xfId="6499" xr:uid="{00000000-0005-0000-0000-0000E72C0000}"/>
    <cellStyle name="Normal 14 2 3 3 2 4 2" xfId="54340" xr:uid="{00000000-0005-0000-0000-0000E82C0000}"/>
    <cellStyle name="Normal 14 2 3 3 2 4 3" xfId="38240" xr:uid="{00000000-0005-0000-0000-0000E92C0000}"/>
    <cellStyle name="Normal 14 2 3 3 2 4 4" xfId="19104" xr:uid="{00000000-0005-0000-0000-0000EA2C0000}"/>
    <cellStyle name="Normal 14 2 3 3 2 5" xfId="44773" xr:uid="{00000000-0005-0000-0000-0000EB2C0000}"/>
    <cellStyle name="Normal 14 2 3 3 2 6" xfId="28673" xr:uid="{00000000-0005-0000-0000-0000EC2C0000}"/>
    <cellStyle name="Normal 14 2 3 3 2 7" xfId="15609" xr:uid="{00000000-0005-0000-0000-0000ED2C0000}"/>
    <cellStyle name="Normal 14 2 3 3 3" xfId="1985" xr:uid="{00000000-0005-0000-0000-0000EE2C0000}"/>
    <cellStyle name="Normal 14 2 3 3 3 2" xfId="8519" xr:uid="{00000000-0005-0000-0000-0000EF2C0000}"/>
    <cellStyle name="Normal 14 2 3 3 3 2 2" xfId="40260" xr:uid="{00000000-0005-0000-0000-0000F02C0000}"/>
    <cellStyle name="Normal 14 2 3 3 3 2 2 2" xfId="56360" xr:uid="{00000000-0005-0000-0000-0000F12C0000}"/>
    <cellStyle name="Normal 14 2 3 3 3 2 3" xfId="46793" xr:uid="{00000000-0005-0000-0000-0000F22C0000}"/>
    <cellStyle name="Normal 14 2 3 3 3 2 4" xfId="30693" xr:uid="{00000000-0005-0000-0000-0000F32C0000}"/>
    <cellStyle name="Normal 14 2 3 3 3 2 5" xfId="21124" xr:uid="{00000000-0005-0000-0000-0000F42C0000}"/>
    <cellStyle name="Normal 14 2 3 3 3 3" xfId="11555" xr:uid="{00000000-0005-0000-0000-0000F52C0000}"/>
    <cellStyle name="Normal 14 2 3 3 3 3 2" xfId="49829" xr:uid="{00000000-0005-0000-0000-0000F62C0000}"/>
    <cellStyle name="Normal 14 2 3 3 3 3 3" xfId="33729" xr:uid="{00000000-0005-0000-0000-0000F72C0000}"/>
    <cellStyle name="Normal 14 2 3 3 3 3 4" xfId="24160" xr:uid="{00000000-0005-0000-0000-0000F82C0000}"/>
    <cellStyle name="Normal 14 2 3 3 3 4" xfId="5483" xr:uid="{00000000-0005-0000-0000-0000F92C0000}"/>
    <cellStyle name="Normal 14 2 3 3 3 4 2" xfId="53324" xr:uid="{00000000-0005-0000-0000-0000FA2C0000}"/>
    <cellStyle name="Normal 14 2 3 3 3 4 3" xfId="37224" xr:uid="{00000000-0005-0000-0000-0000FB2C0000}"/>
    <cellStyle name="Normal 14 2 3 3 3 4 4" xfId="18088" xr:uid="{00000000-0005-0000-0000-0000FC2C0000}"/>
    <cellStyle name="Normal 14 2 3 3 3 5" xfId="43757" xr:uid="{00000000-0005-0000-0000-0000FD2C0000}"/>
    <cellStyle name="Normal 14 2 3 3 3 6" xfId="27657" xr:uid="{00000000-0005-0000-0000-0000FE2C0000}"/>
    <cellStyle name="Normal 14 2 3 3 3 7" xfId="14593" xr:uid="{00000000-0005-0000-0000-0000FF2C0000}"/>
    <cellStyle name="Normal 14 2 3 3 4" xfId="7509" xr:uid="{00000000-0005-0000-0000-0000002D0000}"/>
    <cellStyle name="Normal 14 2 3 3 4 2" xfId="39250" xr:uid="{00000000-0005-0000-0000-0000012D0000}"/>
    <cellStyle name="Normal 14 2 3 3 4 2 2" xfId="55350" xr:uid="{00000000-0005-0000-0000-0000022D0000}"/>
    <cellStyle name="Normal 14 2 3 3 4 3" xfId="45783" xr:uid="{00000000-0005-0000-0000-0000032D0000}"/>
    <cellStyle name="Normal 14 2 3 3 4 4" xfId="29683" xr:uid="{00000000-0005-0000-0000-0000042D0000}"/>
    <cellStyle name="Normal 14 2 3 3 4 5" xfId="20114" xr:uid="{00000000-0005-0000-0000-0000052D0000}"/>
    <cellStyle name="Normal 14 2 3 3 5" xfId="10545" xr:uid="{00000000-0005-0000-0000-0000062D0000}"/>
    <cellStyle name="Normal 14 2 3 3 5 2" xfId="48819" xr:uid="{00000000-0005-0000-0000-0000072D0000}"/>
    <cellStyle name="Normal 14 2 3 3 5 3" xfId="32719" xr:uid="{00000000-0005-0000-0000-0000082D0000}"/>
    <cellStyle name="Normal 14 2 3 3 5 4" xfId="23150" xr:uid="{00000000-0005-0000-0000-0000092D0000}"/>
    <cellStyle name="Normal 14 2 3 3 6" xfId="4473" xr:uid="{00000000-0005-0000-0000-00000A2D0000}"/>
    <cellStyle name="Normal 14 2 3 3 6 2" xfId="52314" xr:uid="{00000000-0005-0000-0000-00000B2D0000}"/>
    <cellStyle name="Normal 14 2 3 3 6 3" xfId="36214" xr:uid="{00000000-0005-0000-0000-00000C2D0000}"/>
    <cellStyle name="Normal 14 2 3 3 6 4" xfId="17078" xr:uid="{00000000-0005-0000-0000-00000D2D0000}"/>
    <cellStyle name="Normal 14 2 3 3 7" xfId="42747" xr:uid="{00000000-0005-0000-0000-00000E2D0000}"/>
    <cellStyle name="Normal 14 2 3 3 8" xfId="26647" xr:uid="{00000000-0005-0000-0000-00000F2D0000}"/>
    <cellStyle name="Normal 14 2 3 3 9" xfId="13583" xr:uid="{00000000-0005-0000-0000-0000102D0000}"/>
    <cellStyle name="Normal 14 2 3 4" xfId="2125" xr:uid="{00000000-0005-0000-0000-0000112D0000}"/>
    <cellStyle name="Normal 14 2 3 4 2" xfId="8659" xr:uid="{00000000-0005-0000-0000-0000122D0000}"/>
    <cellStyle name="Normal 14 2 3 4 2 2" xfId="40400" xr:uid="{00000000-0005-0000-0000-0000132D0000}"/>
    <cellStyle name="Normal 14 2 3 4 2 2 2" xfId="56500" xr:uid="{00000000-0005-0000-0000-0000142D0000}"/>
    <cellStyle name="Normal 14 2 3 4 2 3" xfId="46933" xr:uid="{00000000-0005-0000-0000-0000152D0000}"/>
    <cellStyle name="Normal 14 2 3 4 2 4" xfId="30833" xr:uid="{00000000-0005-0000-0000-0000162D0000}"/>
    <cellStyle name="Normal 14 2 3 4 2 5" xfId="21264" xr:uid="{00000000-0005-0000-0000-0000172D0000}"/>
    <cellStyle name="Normal 14 2 3 4 3" xfId="11695" xr:uid="{00000000-0005-0000-0000-0000182D0000}"/>
    <cellStyle name="Normal 14 2 3 4 3 2" xfId="49969" xr:uid="{00000000-0005-0000-0000-0000192D0000}"/>
    <cellStyle name="Normal 14 2 3 4 3 3" xfId="33869" xr:uid="{00000000-0005-0000-0000-00001A2D0000}"/>
    <cellStyle name="Normal 14 2 3 4 3 4" xfId="24300" xr:uid="{00000000-0005-0000-0000-00001B2D0000}"/>
    <cellStyle name="Normal 14 2 3 4 4" xfId="5623" xr:uid="{00000000-0005-0000-0000-00001C2D0000}"/>
    <cellStyle name="Normal 14 2 3 4 4 2" xfId="53464" xr:uid="{00000000-0005-0000-0000-00001D2D0000}"/>
    <cellStyle name="Normal 14 2 3 4 4 3" xfId="37364" xr:uid="{00000000-0005-0000-0000-00001E2D0000}"/>
    <cellStyle name="Normal 14 2 3 4 4 4" xfId="18228" xr:uid="{00000000-0005-0000-0000-00001F2D0000}"/>
    <cellStyle name="Normal 14 2 3 4 5" xfId="43897" xr:uid="{00000000-0005-0000-0000-0000202D0000}"/>
    <cellStyle name="Normal 14 2 3 4 6" xfId="27797" xr:uid="{00000000-0005-0000-0000-0000212D0000}"/>
    <cellStyle name="Normal 14 2 3 4 7" xfId="14733" xr:uid="{00000000-0005-0000-0000-0000222D0000}"/>
    <cellStyle name="Normal 14 2 3 5" xfId="1337" xr:uid="{00000000-0005-0000-0000-0000232D0000}"/>
    <cellStyle name="Normal 14 2 3 5 2" xfId="7871" xr:uid="{00000000-0005-0000-0000-0000242D0000}"/>
    <cellStyle name="Normal 14 2 3 5 2 2" xfId="39612" xr:uid="{00000000-0005-0000-0000-0000252D0000}"/>
    <cellStyle name="Normal 14 2 3 5 2 2 2" xfId="55712" xr:uid="{00000000-0005-0000-0000-0000262D0000}"/>
    <cellStyle name="Normal 14 2 3 5 2 3" xfId="46145" xr:uid="{00000000-0005-0000-0000-0000272D0000}"/>
    <cellStyle name="Normal 14 2 3 5 2 4" xfId="30045" xr:uid="{00000000-0005-0000-0000-0000282D0000}"/>
    <cellStyle name="Normal 14 2 3 5 2 5" xfId="20476" xr:uid="{00000000-0005-0000-0000-0000292D0000}"/>
    <cellStyle name="Normal 14 2 3 5 3" xfId="10907" xr:uid="{00000000-0005-0000-0000-00002A2D0000}"/>
    <cellStyle name="Normal 14 2 3 5 3 2" xfId="49181" xr:uid="{00000000-0005-0000-0000-00002B2D0000}"/>
    <cellStyle name="Normal 14 2 3 5 3 3" xfId="33081" xr:uid="{00000000-0005-0000-0000-00002C2D0000}"/>
    <cellStyle name="Normal 14 2 3 5 3 4" xfId="23512" xr:uid="{00000000-0005-0000-0000-00002D2D0000}"/>
    <cellStyle name="Normal 14 2 3 5 4" xfId="4835" xr:uid="{00000000-0005-0000-0000-00002E2D0000}"/>
    <cellStyle name="Normal 14 2 3 5 4 2" xfId="52676" xr:uid="{00000000-0005-0000-0000-00002F2D0000}"/>
    <cellStyle name="Normal 14 2 3 5 4 3" xfId="36576" xr:uid="{00000000-0005-0000-0000-0000302D0000}"/>
    <cellStyle name="Normal 14 2 3 5 4 4" xfId="17440" xr:uid="{00000000-0005-0000-0000-0000312D0000}"/>
    <cellStyle name="Normal 14 2 3 5 5" xfId="43109" xr:uid="{00000000-0005-0000-0000-0000322D0000}"/>
    <cellStyle name="Normal 14 2 3 5 6" xfId="27009" xr:uid="{00000000-0005-0000-0000-0000332D0000}"/>
    <cellStyle name="Normal 14 2 3 5 7" xfId="13945" xr:uid="{00000000-0005-0000-0000-0000342D0000}"/>
    <cellStyle name="Normal 14 2 3 6" xfId="3825" xr:uid="{00000000-0005-0000-0000-0000352D0000}"/>
    <cellStyle name="Normal 14 2 3 6 2" xfId="35566" xr:uid="{00000000-0005-0000-0000-0000362D0000}"/>
    <cellStyle name="Normal 14 2 3 6 2 2" xfId="51666" xr:uid="{00000000-0005-0000-0000-0000372D0000}"/>
    <cellStyle name="Normal 14 2 3 6 3" xfId="42099" xr:uid="{00000000-0005-0000-0000-0000382D0000}"/>
    <cellStyle name="Normal 14 2 3 6 4" xfId="25999" xr:uid="{00000000-0005-0000-0000-0000392D0000}"/>
    <cellStyle name="Normal 14 2 3 6 5" xfId="16430" xr:uid="{00000000-0005-0000-0000-00003A2D0000}"/>
    <cellStyle name="Normal 14 2 3 7" xfId="6861" xr:uid="{00000000-0005-0000-0000-00003B2D0000}"/>
    <cellStyle name="Normal 14 2 3 7 2" xfId="38602" xr:uid="{00000000-0005-0000-0000-00003C2D0000}"/>
    <cellStyle name="Normal 14 2 3 7 2 2" xfId="54702" xr:uid="{00000000-0005-0000-0000-00003D2D0000}"/>
    <cellStyle name="Normal 14 2 3 7 3" xfId="45135" xr:uid="{00000000-0005-0000-0000-00003E2D0000}"/>
    <cellStyle name="Normal 14 2 3 7 4" xfId="29035" xr:uid="{00000000-0005-0000-0000-00003F2D0000}"/>
    <cellStyle name="Normal 14 2 3 7 5" xfId="19466" xr:uid="{00000000-0005-0000-0000-0000402D0000}"/>
    <cellStyle name="Normal 14 2 3 8" xfId="9897" xr:uid="{00000000-0005-0000-0000-0000412D0000}"/>
    <cellStyle name="Normal 14 2 3 8 2" xfId="48171" xr:uid="{00000000-0005-0000-0000-0000422D0000}"/>
    <cellStyle name="Normal 14 2 3 8 3" xfId="32071" xr:uid="{00000000-0005-0000-0000-0000432D0000}"/>
    <cellStyle name="Normal 14 2 3 8 4" xfId="22502" xr:uid="{00000000-0005-0000-0000-0000442D0000}"/>
    <cellStyle name="Normal 14 2 3 9" xfId="3346" xr:uid="{00000000-0005-0000-0000-0000452D0000}"/>
    <cellStyle name="Normal 14 2 3 9 2" xfId="51187" xr:uid="{00000000-0005-0000-0000-0000462D0000}"/>
    <cellStyle name="Normal 14 2 3 9 3" xfId="35087" xr:uid="{00000000-0005-0000-0000-0000472D0000}"/>
    <cellStyle name="Normal 14 2 3 9 4" xfId="15951" xr:uid="{00000000-0005-0000-0000-0000482D0000}"/>
    <cellStyle name="Normal 14 2 4" xfId="177" xr:uid="{00000000-0005-0000-0000-0000492D0000}"/>
    <cellStyle name="Normal 14 2 4 10" xfId="26070" xr:uid="{00000000-0005-0000-0000-00004A2D0000}"/>
    <cellStyle name="Normal 14 2 4 11" xfId="13006" xr:uid="{00000000-0005-0000-0000-00004B2D0000}"/>
    <cellStyle name="Normal 14 2 4 2" xfId="354" xr:uid="{00000000-0005-0000-0000-00004C2D0000}"/>
    <cellStyle name="Normal 14 2 4 2 2" xfId="2373" xr:uid="{00000000-0005-0000-0000-00004D2D0000}"/>
    <cellStyle name="Normal 14 2 4 2 2 2" xfId="8907" xr:uid="{00000000-0005-0000-0000-00004E2D0000}"/>
    <cellStyle name="Normal 14 2 4 2 2 2 2" xfId="40648" xr:uid="{00000000-0005-0000-0000-00004F2D0000}"/>
    <cellStyle name="Normal 14 2 4 2 2 2 2 2" xfId="56748" xr:uid="{00000000-0005-0000-0000-0000502D0000}"/>
    <cellStyle name="Normal 14 2 4 2 2 2 3" xfId="47181" xr:uid="{00000000-0005-0000-0000-0000512D0000}"/>
    <cellStyle name="Normal 14 2 4 2 2 2 4" xfId="31081" xr:uid="{00000000-0005-0000-0000-0000522D0000}"/>
    <cellStyle name="Normal 14 2 4 2 2 2 5" xfId="21512" xr:uid="{00000000-0005-0000-0000-0000532D0000}"/>
    <cellStyle name="Normal 14 2 4 2 2 3" xfId="11943" xr:uid="{00000000-0005-0000-0000-0000542D0000}"/>
    <cellStyle name="Normal 14 2 4 2 2 3 2" xfId="50217" xr:uid="{00000000-0005-0000-0000-0000552D0000}"/>
    <cellStyle name="Normal 14 2 4 2 2 3 3" xfId="34117" xr:uid="{00000000-0005-0000-0000-0000562D0000}"/>
    <cellStyle name="Normal 14 2 4 2 2 3 4" xfId="24548" xr:uid="{00000000-0005-0000-0000-0000572D0000}"/>
    <cellStyle name="Normal 14 2 4 2 2 4" xfId="5871" xr:uid="{00000000-0005-0000-0000-0000582D0000}"/>
    <cellStyle name="Normal 14 2 4 2 2 4 2" xfId="53712" xr:uid="{00000000-0005-0000-0000-0000592D0000}"/>
    <cellStyle name="Normal 14 2 4 2 2 4 3" xfId="37612" xr:uid="{00000000-0005-0000-0000-00005A2D0000}"/>
    <cellStyle name="Normal 14 2 4 2 2 4 4" xfId="18476" xr:uid="{00000000-0005-0000-0000-00005B2D0000}"/>
    <cellStyle name="Normal 14 2 4 2 2 5" xfId="44145" xr:uid="{00000000-0005-0000-0000-00005C2D0000}"/>
    <cellStyle name="Normal 14 2 4 2 2 6" xfId="28045" xr:uid="{00000000-0005-0000-0000-00005D2D0000}"/>
    <cellStyle name="Normal 14 2 4 2 2 7" xfId="14981" xr:uid="{00000000-0005-0000-0000-00005E2D0000}"/>
    <cellStyle name="Normal 14 2 4 2 3" xfId="1585" xr:uid="{00000000-0005-0000-0000-00005F2D0000}"/>
    <cellStyle name="Normal 14 2 4 2 3 2" xfId="8119" xr:uid="{00000000-0005-0000-0000-0000602D0000}"/>
    <cellStyle name="Normal 14 2 4 2 3 2 2" xfId="39860" xr:uid="{00000000-0005-0000-0000-0000612D0000}"/>
    <cellStyle name="Normal 14 2 4 2 3 2 2 2" xfId="55960" xr:uid="{00000000-0005-0000-0000-0000622D0000}"/>
    <cellStyle name="Normal 14 2 4 2 3 2 3" xfId="46393" xr:uid="{00000000-0005-0000-0000-0000632D0000}"/>
    <cellStyle name="Normal 14 2 4 2 3 2 4" xfId="30293" xr:uid="{00000000-0005-0000-0000-0000642D0000}"/>
    <cellStyle name="Normal 14 2 4 2 3 2 5" xfId="20724" xr:uid="{00000000-0005-0000-0000-0000652D0000}"/>
    <cellStyle name="Normal 14 2 4 2 3 3" xfId="11155" xr:uid="{00000000-0005-0000-0000-0000662D0000}"/>
    <cellStyle name="Normal 14 2 4 2 3 3 2" xfId="49429" xr:uid="{00000000-0005-0000-0000-0000672D0000}"/>
    <cellStyle name="Normal 14 2 4 2 3 3 3" xfId="33329" xr:uid="{00000000-0005-0000-0000-0000682D0000}"/>
    <cellStyle name="Normal 14 2 4 2 3 3 4" xfId="23760" xr:uid="{00000000-0005-0000-0000-0000692D0000}"/>
    <cellStyle name="Normal 14 2 4 2 3 4" xfId="5083" xr:uid="{00000000-0005-0000-0000-00006A2D0000}"/>
    <cellStyle name="Normal 14 2 4 2 3 4 2" xfId="52924" xr:uid="{00000000-0005-0000-0000-00006B2D0000}"/>
    <cellStyle name="Normal 14 2 4 2 3 4 3" xfId="36824" xr:uid="{00000000-0005-0000-0000-00006C2D0000}"/>
    <cellStyle name="Normal 14 2 4 2 3 4 4" xfId="17688" xr:uid="{00000000-0005-0000-0000-00006D2D0000}"/>
    <cellStyle name="Normal 14 2 4 2 3 5" xfId="43357" xr:uid="{00000000-0005-0000-0000-00006E2D0000}"/>
    <cellStyle name="Normal 14 2 4 2 3 6" xfId="27257" xr:uid="{00000000-0005-0000-0000-00006F2D0000}"/>
    <cellStyle name="Normal 14 2 4 2 3 7" xfId="14193" xr:uid="{00000000-0005-0000-0000-0000702D0000}"/>
    <cellStyle name="Normal 14 2 4 2 4" xfId="7109" xr:uid="{00000000-0005-0000-0000-0000712D0000}"/>
    <cellStyle name="Normal 14 2 4 2 4 2" xfId="38850" xr:uid="{00000000-0005-0000-0000-0000722D0000}"/>
    <cellStyle name="Normal 14 2 4 2 4 2 2" xfId="54950" xr:uid="{00000000-0005-0000-0000-0000732D0000}"/>
    <cellStyle name="Normal 14 2 4 2 4 3" xfId="45383" xr:uid="{00000000-0005-0000-0000-0000742D0000}"/>
    <cellStyle name="Normal 14 2 4 2 4 4" xfId="29283" xr:uid="{00000000-0005-0000-0000-0000752D0000}"/>
    <cellStyle name="Normal 14 2 4 2 4 5" xfId="19714" xr:uid="{00000000-0005-0000-0000-0000762D0000}"/>
    <cellStyle name="Normal 14 2 4 2 5" xfId="10145" xr:uid="{00000000-0005-0000-0000-0000772D0000}"/>
    <cellStyle name="Normal 14 2 4 2 5 2" xfId="48419" xr:uid="{00000000-0005-0000-0000-0000782D0000}"/>
    <cellStyle name="Normal 14 2 4 2 5 3" xfId="32319" xr:uid="{00000000-0005-0000-0000-0000792D0000}"/>
    <cellStyle name="Normal 14 2 4 2 5 4" xfId="22750" xr:uid="{00000000-0005-0000-0000-00007A2D0000}"/>
    <cellStyle name="Normal 14 2 4 2 6" xfId="4073" xr:uid="{00000000-0005-0000-0000-00007B2D0000}"/>
    <cellStyle name="Normal 14 2 4 2 6 2" xfId="51914" xr:uid="{00000000-0005-0000-0000-00007C2D0000}"/>
    <cellStyle name="Normal 14 2 4 2 6 3" xfId="35814" xr:uid="{00000000-0005-0000-0000-00007D2D0000}"/>
    <cellStyle name="Normal 14 2 4 2 6 4" xfId="16678" xr:uid="{00000000-0005-0000-0000-00007E2D0000}"/>
    <cellStyle name="Normal 14 2 4 2 7" xfId="42347" xr:uid="{00000000-0005-0000-0000-00007F2D0000}"/>
    <cellStyle name="Normal 14 2 4 2 8" xfId="26247" xr:uid="{00000000-0005-0000-0000-0000802D0000}"/>
    <cellStyle name="Normal 14 2 4 2 9" xfId="13183" xr:uid="{00000000-0005-0000-0000-0000812D0000}"/>
    <cellStyle name="Normal 14 2 4 3" xfId="994" xr:uid="{00000000-0005-0000-0000-0000822D0000}"/>
    <cellStyle name="Normal 14 2 4 3 2" xfId="3022" xr:uid="{00000000-0005-0000-0000-0000832D0000}"/>
    <cellStyle name="Normal 14 2 4 3 2 2" xfId="9554" xr:uid="{00000000-0005-0000-0000-0000842D0000}"/>
    <cellStyle name="Normal 14 2 4 3 2 2 2" xfId="41295" xr:uid="{00000000-0005-0000-0000-0000852D0000}"/>
    <cellStyle name="Normal 14 2 4 3 2 2 2 2" xfId="57395" xr:uid="{00000000-0005-0000-0000-0000862D0000}"/>
    <cellStyle name="Normal 14 2 4 3 2 2 3" xfId="47828" xr:uid="{00000000-0005-0000-0000-0000872D0000}"/>
    <cellStyle name="Normal 14 2 4 3 2 2 4" xfId="31728" xr:uid="{00000000-0005-0000-0000-0000882D0000}"/>
    <cellStyle name="Normal 14 2 4 3 2 2 5" xfId="22159" xr:uid="{00000000-0005-0000-0000-0000892D0000}"/>
    <cellStyle name="Normal 14 2 4 3 2 3" xfId="12590" xr:uid="{00000000-0005-0000-0000-00008A2D0000}"/>
    <cellStyle name="Normal 14 2 4 3 2 3 2" xfId="50864" xr:uid="{00000000-0005-0000-0000-00008B2D0000}"/>
    <cellStyle name="Normal 14 2 4 3 2 3 3" xfId="34764" xr:uid="{00000000-0005-0000-0000-00008C2D0000}"/>
    <cellStyle name="Normal 14 2 4 3 2 3 4" xfId="25195" xr:uid="{00000000-0005-0000-0000-00008D2D0000}"/>
    <cellStyle name="Normal 14 2 4 3 2 4" xfId="6518" xr:uid="{00000000-0005-0000-0000-00008E2D0000}"/>
    <cellStyle name="Normal 14 2 4 3 2 4 2" xfId="54359" xr:uid="{00000000-0005-0000-0000-00008F2D0000}"/>
    <cellStyle name="Normal 14 2 4 3 2 4 3" xfId="38259" xr:uid="{00000000-0005-0000-0000-0000902D0000}"/>
    <cellStyle name="Normal 14 2 4 3 2 4 4" xfId="19123" xr:uid="{00000000-0005-0000-0000-0000912D0000}"/>
    <cellStyle name="Normal 14 2 4 3 2 5" xfId="44792" xr:uid="{00000000-0005-0000-0000-0000922D0000}"/>
    <cellStyle name="Normal 14 2 4 3 2 6" xfId="28692" xr:uid="{00000000-0005-0000-0000-0000932D0000}"/>
    <cellStyle name="Normal 14 2 4 3 2 7" xfId="15628" xr:uid="{00000000-0005-0000-0000-0000942D0000}"/>
    <cellStyle name="Normal 14 2 4 3 3" xfId="2004" xr:uid="{00000000-0005-0000-0000-0000952D0000}"/>
    <cellStyle name="Normal 14 2 4 3 3 2" xfId="8538" xr:uid="{00000000-0005-0000-0000-0000962D0000}"/>
    <cellStyle name="Normal 14 2 4 3 3 2 2" xfId="40279" xr:uid="{00000000-0005-0000-0000-0000972D0000}"/>
    <cellStyle name="Normal 14 2 4 3 3 2 2 2" xfId="56379" xr:uid="{00000000-0005-0000-0000-0000982D0000}"/>
    <cellStyle name="Normal 14 2 4 3 3 2 3" xfId="46812" xr:uid="{00000000-0005-0000-0000-0000992D0000}"/>
    <cellStyle name="Normal 14 2 4 3 3 2 4" xfId="30712" xr:uid="{00000000-0005-0000-0000-00009A2D0000}"/>
    <cellStyle name="Normal 14 2 4 3 3 2 5" xfId="21143" xr:uid="{00000000-0005-0000-0000-00009B2D0000}"/>
    <cellStyle name="Normal 14 2 4 3 3 3" xfId="11574" xr:uid="{00000000-0005-0000-0000-00009C2D0000}"/>
    <cellStyle name="Normal 14 2 4 3 3 3 2" xfId="49848" xr:uid="{00000000-0005-0000-0000-00009D2D0000}"/>
    <cellStyle name="Normal 14 2 4 3 3 3 3" xfId="33748" xr:uid="{00000000-0005-0000-0000-00009E2D0000}"/>
    <cellStyle name="Normal 14 2 4 3 3 3 4" xfId="24179" xr:uid="{00000000-0005-0000-0000-00009F2D0000}"/>
    <cellStyle name="Normal 14 2 4 3 3 4" xfId="5502" xr:uid="{00000000-0005-0000-0000-0000A02D0000}"/>
    <cellStyle name="Normal 14 2 4 3 3 4 2" xfId="53343" xr:uid="{00000000-0005-0000-0000-0000A12D0000}"/>
    <cellStyle name="Normal 14 2 4 3 3 4 3" xfId="37243" xr:uid="{00000000-0005-0000-0000-0000A22D0000}"/>
    <cellStyle name="Normal 14 2 4 3 3 4 4" xfId="18107" xr:uid="{00000000-0005-0000-0000-0000A32D0000}"/>
    <cellStyle name="Normal 14 2 4 3 3 5" xfId="43776" xr:uid="{00000000-0005-0000-0000-0000A42D0000}"/>
    <cellStyle name="Normal 14 2 4 3 3 6" xfId="27676" xr:uid="{00000000-0005-0000-0000-0000A52D0000}"/>
    <cellStyle name="Normal 14 2 4 3 3 7" xfId="14612" xr:uid="{00000000-0005-0000-0000-0000A62D0000}"/>
    <cellStyle name="Normal 14 2 4 3 4" xfId="7528" xr:uid="{00000000-0005-0000-0000-0000A72D0000}"/>
    <cellStyle name="Normal 14 2 4 3 4 2" xfId="39269" xr:uid="{00000000-0005-0000-0000-0000A82D0000}"/>
    <cellStyle name="Normal 14 2 4 3 4 2 2" xfId="55369" xr:uid="{00000000-0005-0000-0000-0000A92D0000}"/>
    <cellStyle name="Normal 14 2 4 3 4 3" xfId="45802" xr:uid="{00000000-0005-0000-0000-0000AA2D0000}"/>
    <cellStyle name="Normal 14 2 4 3 4 4" xfId="29702" xr:uid="{00000000-0005-0000-0000-0000AB2D0000}"/>
    <cellStyle name="Normal 14 2 4 3 4 5" xfId="20133" xr:uid="{00000000-0005-0000-0000-0000AC2D0000}"/>
    <cellStyle name="Normal 14 2 4 3 5" xfId="10564" xr:uid="{00000000-0005-0000-0000-0000AD2D0000}"/>
    <cellStyle name="Normal 14 2 4 3 5 2" xfId="48838" xr:uid="{00000000-0005-0000-0000-0000AE2D0000}"/>
    <cellStyle name="Normal 14 2 4 3 5 3" xfId="32738" xr:uid="{00000000-0005-0000-0000-0000AF2D0000}"/>
    <cellStyle name="Normal 14 2 4 3 5 4" xfId="23169" xr:uid="{00000000-0005-0000-0000-0000B02D0000}"/>
    <cellStyle name="Normal 14 2 4 3 6" xfId="4492" xr:uid="{00000000-0005-0000-0000-0000B12D0000}"/>
    <cellStyle name="Normal 14 2 4 3 6 2" xfId="52333" xr:uid="{00000000-0005-0000-0000-0000B22D0000}"/>
    <cellStyle name="Normal 14 2 4 3 6 3" xfId="36233" xr:uid="{00000000-0005-0000-0000-0000B32D0000}"/>
    <cellStyle name="Normal 14 2 4 3 6 4" xfId="17097" xr:uid="{00000000-0005-0000-0000-0000B42D0000}"/>
    <cellStyle name="Normal 14 2 4 3 7" xfId="42766" xr:uid="{00000000-0005-0000-0000-0000B52D0000}"/>
    <cellStyle name="Normal 14 2 4 3 8" xfId="26666" xr:uid="{00000000-0005-0000-0000-0000B62D0000}"/>
    <cellStyle name="Normal 14 2 4 3 9" xfId="13602" xr:uid="{00000000-0005-0000-0000-0000B72D0000}"/>
    <cellStyle name="Normal 14 2 4 4" xfId="2196" xr:uid="{00000000-0005-0000-0000-0000B82D0000}"/>
    <cellStyle name="Normal 14 2 4 4 2" xfId="8730" xr:uid="{00000000-0005-0000-0000-0000B92D0000}"/>
    <cellStyle name="Normal 14 2 4 4 2 2" xfId="40471" xr:uid="{00000000-0005-0000-0000-0000BA2D0000}"/>
    <cellStyle name="Normal 14 2 4 4 2 2 2" xfId="56571" xr:uid="{00000000-0005-0000-0000-0000BB2D0000}"/>
    <cellStyle name="Normal 14 2 4 4 2 3" xfId="47004" xr:uid="{00000000-0005-0000-0000-0000BC2D0000}"/>
    <cellStyle name="Normal 14 2 4 4 2 4" xfId="30904" xr:uid="{00000000-0005-0000-0000-0000BD2D0000}"/>
    <cellStyle name="Normal 14 2 4 4 2 5" xfId="21335" xr:uid="{00000000-0005-0000-0000-0000BE2D0000}"/>
    <cellStyle name="Normal 14 2 4 4 3" xfId="11766" xr:uid="{00000000-0005-0000-0000-0000BF2D0000}"/>
    <cellStyle name="Normal 14 2 4 4 3 2" xfId="50040" xr:uid="{00000000-0005-0000-0000-0000C02D0000}"/>
    <cellStyle name="Normal 14 2 4 4 3 3" xfId="33940" xr:uid="{00000000-0005-0000-0000-0000C12D0000}"/>
    <cellStyle name="Normal 14 2 4 4 3 4" xfId="24371" xr:uid="{00000000-0005-0000-0000-0000C22D0000}"/>
    <cellStyle name="Normal 14 2 4 4 4" xfId="5694" xr:uid="{00000000-0005-0000-0000-0000C32D0000}"/>
    <cellStyle name="Normal 14 2 4 4 4 2" xfId="53535" xr:uid="{00000000-0005-0000-0000-0000C42D0000}"/>
    <cellStyle name="Normal 14 2 4 4 4 3" xfId="37435" xr:uid="{00000000-0005-0000-0000-0000C52D0000}"/>
    <cellStyle name="Normal 14 2 4 4 4 4" xfId="18299" xr:uid="{00000000-0005-0000-0000-0000C62D0000}"/>
    <cellStyle name="Normal 14 2 4 4 5" xfId="43968" xr:uid="{00000000-0005-0000-0000-0000C72D0000}"/>
    <cellStyle name="Normal 14 2 4 4 6" xfId="27868" xr:uid="{00000000-0005-0000-0000-0000C82D0000}"/>
    <cellStyle name="Normal 14 2 4 4 7" xfId="14804" xr:uid="{00000000-0005-0000-0000-0000C92D0000}"/>
    <cellStyle name="Normal 14 2 4 5" xfId="1408" xr:uid="{00000000-0005-0000-0000-0000CA2D0000}"/>
    <cellStyle name="Normal 14 2 4 5 2" xfId="7942" xr:uid="{00000000-0005-0000-0000-0000CB2D0000}"/>
    <cellStyle name="Normal 14 2 4 5 2 2" xfId="39683" xr:uid="{00000000-0005-0000-0000-0000CC2D0000}"/>
    <cellStyle name="Normal 14 2 4 5 2 2 2" xfId="55783" xr:uid="{00000000-0005-0000-0000-0000CD2D0000}"/>
    <cellStyle name="Normal 14 2 4 5 2 3" xfId="46216" xr:uid="{00000000-0005-0000-0000-0000CE2D0000}"/>
    <cellStyle name="Normal 14 2 4 5 2 4" xfId="30116" xr:uid="{00000000-0005-0000-0000-0000CF2D0000}"/>
    <cellStyle name="Normal 14 2 4 5 2 5" xfId="20547" xr:uid="{00000000-0005-0000-0000-0000D02D0000}"/>
    <cellStyle name="Normal 14 2 4 5 3" xfId="10978" xr:uid="{00000000-0005-0000-0000-0000D12D0000}"/>
    <cellStyle name="Normal 14 2 4 5 3 2" xfId="49252" xr:uid="{00000000-0005-0000-0000-0000D22D0000}"/>
    <cellStyle name="Normal 14 2 4 5 3 3" xfId="33152" xr:uid="{00000000-0005-0000-0000-0000D32D0000}"/>
    <cellStyle name="Normal 14 2 4 5 3 4" xfId="23583" xr:uid="{00000000-0005-0000-0000-0000D42D0000}"/>
    <cellStyle name="Normal 14 2 4 5 4" xfId="4906" xr:uid="{00000000-0005-0000-0000-0000D52D0000}"/>
    <cellStyle name="Normal 14 2 4 5 4 2" xfId="52747" xr:uid="{00000000-0005-0000-0000-0000D62D0000}"/>
    <cellStyle name="Normal 14 2 4 5 4 3" xfId="36647" xr:uid="{00000000-0005-0000-0000-0000D72D0000}"/>
    <cellStyle name="Normal 14 2 4 5 4 4" xfId="17511" xr:uid="{00000000-0005-0000-0000-0000D82D0000}"/>
    <cellStyle name="Normal 14 2 4 5 5" xfId="43180" xr:uid="{00000000-0005-0000-0000-0000D92D0000}"/>
    <cellStyle name="Normal 14 2 4 5 6" xfId="27080" xr:uid="{00000000-0005-0000-0000-0000DA2D0000}"/>
    <cellStyle name="Normal 14 2 4 5 7" xfId="14016" xr:uid="{00000000-0005-0000-0000-0000DB2D0000}"/>
    <cellStyle name="Normal 14 2 4 6" xfId="6932" xr:uid="{00000000-0005-0000-0000-0000DC2D0000}"/>
    <cellStyle name="Normal 14 2 4 6 2" xfId="38673" xr:uid="{00000000-0005-0000-0000-0000DD2D0000}"/>
    <cellStyle name="Normal 14 2 4 6 2 2" xfId="54773" xr:uid="{00000000-0005-0000-0000-0000DE2D0000}"/>
    <cellStyle name="Normal 14 2 4 6 3" xfId="45206" xr:uid="{00000000-0005-0000-0000-0000DF2D0000}"/>
    <cellStyle name="Normal 14 2 4 6 4" xfId="29106" xr:uid="{00000000-0005-0000-0000-0000E02D0000}"/>
    <cellStyle name="Normal 14 2 4 6 5" xfId="19537" xr:uid="{00000000-0005-0000-0000-0000E12D0000}"/>
    <cellStyle name="Normal 14 2 4 7" xfId="9968" xr:uid="{00000000-0005-0000-0000-0000E22D0000}"/>
    <cellStyle name="Normal 14 2 4 7 2" xfId="48242" xr:uid="{00000000-0005-0000-0000-0000E32D0000}"/>
    <cellStyle name="Normal 14 2 4 7 3" xfId="32142" xr:uid="{00000000-0005-0000-0000-0000E42D0000}"/>
    <cellStyle name="Normal 14 2 4 7 4" xfId="22573" xr:uid="{00000000-0005-0000-0000-0000E52D0000}"/>
    <cellStyle name="Normal 14 2 4 8" xfId="3896" xr:uid="{00000000-0005-0000-0000-0000E62D0000}"/>
    <cellStyle name="Normal 14 2 4 8 2" xfId="51737" xr:uid="{00000000-0005-0000-0000-0000E72D0000}"/>
    <cellStyle name="Normal 14 2 4 8 3" xfId="35637" xr:uid="{00000000-0005-0000-0000-0000E82D0000}"/>
    <cellStyle name="Normal 14 2 4 8 4" xfId="16501" xr:uid="{00000000-0005-0000-0000-0000E92D0000}"/>
    <cellStyle name="Normal 14 2 4 9" xfId="42170" xr:uid="{00000000-0005-0000-0000-0000EA2D0000}"/>
    <cellStyle name="Normal 14 2 5" xfId="248" xr:uid="{00000000-0005-0000-0000-0000EB2D0000}"/>
    <cellStyle name="Normal 14 2 5 2" xfId="2267" xr:uid="{00000000-0005-0000-0000-0000EC2D0000}"/>
    <cellStyle name="Normal 14 2 5 2 2" xfId="8801" xr:uid="{00000000-0005-0000-0000-0000ED2D0000}"/>
    <cellStyle name="Normal 14 2 5 2 2 2" xfId="40542" xr:uid="{00000000-0005-0000-0000-0000EE2D0000}"/>
    <cellStyle name="Normal 14 2 5 2 2 2 2" xfId="56642" xr:uid="{00000000-0005-0000-0000-0000EF2D0000}"/>
    <cellStyle name="Normal 14 2 5 2 2 3" xfId="47075" xr:uid="{00000000-0005-0000-0000-0000F02D0000}"/>
    <cellStyle name="Normal 14 2 5 2 2 4" xfId="30975" xr:uid="{00000000-0005-0000-0000-0000F12D0000}"/>
    <cellStyle name="Normal 14 2 5 2 2 5" xfId="21406" xr:uid="{00000000-0005-0000-0000-0000F22D0000}"/>
    <cellStyle name="Normal 14 2 5 2 3" xfId="11837" xr:uid="{00000000-0005-0000-0000-0000F32D0000}"/>
    <cellStyle name="Normal 14 2 5 2 3 2" xfId="50111" xr:uid="{00000000-0005-0000-0000-0000F42D0000}"/>
    <cellStyle name="Normal 14 2 5 2 3 3" xfId="34011" xr:uid="{00000000-0005-0000-0000-0000F52D0000}"/>
    <cellStyle name="Normal 14 2 5 2 3 4" xfId="24442" xr:uid="{00000000-0005-0000-0000-0000F62D0000}"/>
    <cellStyle name="Normal 14 2 5 2 4" xfId="5765" xr:uid="{00000000-0005-0000-0000-0000F72D0000}"/>
    <cellStyle name="Normal 14 2 5 2 4 2" xfId="53606" xr:uid="{00000000-0005-0000-0000-0000F82D0000}"/>
    <cellStyle name="Normal 14 2 5 2 4 3" xfId="37506" xr:uid="{00000000-0005-0000-0000-0000F92D0000}"/>
    <cellStyle name="Normal 14 2 5 2 4 4" xfId="18370" xr:uid="{00000000-0005-0000-0000-0000FA2D0000}"/>
    <cellStyle name="Normal 14 2 5 2 5" xfId="44039" xr:uid="{00000000-0005-0000-0000-0000FB2D0000}"/>
    <cellStyle name="Normal 14 2 5 2 6" xfId="27939" xr:uid="{00000000-0005-0000-0000-0000FC2D0000}"/>
    <cellStyle name="Normal 14 2 5 2 7" xfId="14875" xr:uid="{00000000-0005-0000-0000-0000FD2D0000}"/>
    <cellStyle name="Normal 14 2 5 3" xfId="1479" xr:uid="{00000000-0005-0000-0000-0000FE2D0000}"/>
    <cellStyle name="Normal 14 2 5 3 2" xfId="8013" xr:uid="{00000000-0005-0000-0000-0000FF2D0000}"/>
    <cellStyle name="Normal 14 2 5 3 2 2" xfId="39754" xr:uid="{00000000-0005-0000-0000-0000002E0000}"/>
    <cellStyle name="Normal 14 2 5 3 2 2 2" xfId="55854" xr:uid="{00000000-0005-0000-0000-0000012E0000}"/>
    <cellStyle name="Normal 14 2 5 3 2 3" xfId="46287" xr:uid="{00000000-0005-0000-0000-0000022E0000}"/>
    <cellStyle name="Normal 14 2 5 3 2 4" xfId="30187" xr:uid="{00000000-0005-0000-0000-0000032E0000}"/>
    <cellStyle name="Normal 14 2 5 3 2 5" xfId="20618" xr:uid="{00000000-0005-0000-0000-0000042E0000}"/>
    <cellStyle name="Normal 14 2 5 3 3" xfId="11049" xr:uid="{00000000-0005-0000-0000-0000052E0000}"/>
    <cellStyle name="Normal 14 2 5 3 3 2" xfId="49323" xr:uid="{00000000-0005-0000-0000-0000062E0000}"/>
    <cellStyle name="Normal 14 2 5 3 3 3" xfId="33223" xr:uid="{00000000-0005-0000-0000-0000072E0000}"/>
    <cellStyle name="Normal 14 2 5 3 3 4" xfId="23654" xr:uid="{00000000-0005-0000-0000-0000082E0000}"/>
    <cellStyle name="Normal 14 2 5 3 4" xfId="4977" xr:uid="{00000000-0005-0000-0000-0000092E0000}"/>
    <cellStyle name="Normal 14 2 5 3 4 2" xfId="52818" xr:uid="{00000000-0005-0000-0000-00000A2E0000}"/>
    <cellStyle name="Normal 14 2 5 3 4 3" xfId="36718" xr:uid="{00000000-0005-0000-0000-00000B2E0000}"/>
    <cellStyle name="Normal 14 2 5 3 4 4" xfId="17582" xr:uid="{00000000-0005-0000-0000-00000C2E0000}"/>
    <cellStyle name="Normal 14 2 5 3 5" xfId="43251" xr:uid="{00000000-0005-0000-0000-00000D2E0000}"/>
    <cellStyle name="Normal 14 2 5 3 6" xfId="27151" xr:uid="{00000000-0005-0000-0000-00000E2E0000}"/>
    <cellStyle name="Normal 14 2 5 3 7" xfId="14087" xr:uid="{00000000-0005-0000-0000-00000F2E0000}"/>
    <cellStyle name="Normal 14 2 5 4" xfId="7003" xr:uid="{00000000-0005-0000-0000-0000102E0000}"/>
    <cellStyle name="Normal 14 2 5 4 2" xfId="38744" xr:uid="{00000000-0005-0000-0000-0000112E0000}"/>
    <cellStyle name="Normal 14 2 5 4 2 2" xfId="54844" xr:uid="{00000000-0005-0000-0000-0000122E0000}"/>
    <cellStyle name="Normal 14 2 5 4 3" xfId="45277" xr:uid="{00000000-0005-0000-0000-0000132E0000}"/>
    <cellStyle name="Normal 14 2 5 4 4" xfId="29177" xr:uid="{00000000-0005-0000-0000-0000142E0000}"/>
    <cellStyle name="Normal 14 2 5 4 5" xfId="19608" xr:uid="{00000000-0005-0000-0000-0000152E0000}"/>
    <cellStyle name="Normal 14 2 5 5" xfId="10039" xr:uid="{00000000-0005-0000-0000-0000162E0000}"/>
    <cellStyle name="Normal 14 2 5 5 2" xfId="48313" xr:uid="{00000000-0005-0000-0000-0000172E0000}"/>
    <cellStyle name="Normal 14 2 5 5 3" xfId="32213" xr:uid="{00000000-0005-0000-0000-0000182E0000}"/>
    <cellStyle name="Normal 14 2 5 5 4" xfId="22644" xr:uid="{00000000-0005-0000-0000-0000192E0000}"/>
    <cellStyle name="Normal 14 2 5 6" xfId="3967" xr:uid="{00000000-0005-0000-0000-00001A2E0000}"/>
    <cellStyle name="Normal 14 2 5 6 2" xfId="51808" xr:uid="{00000000-0005-0000-0000-00001B2E0000}"/>
    <cellStyle name="Normal 14 2 5 6 3" xfId="35708" xr:uid="{00000000-0005-0000-0000-00001C2E0000}"/>
    <cellStyle name="Normal 14 2 5 6 4" xfId="16572" xr:uid="{00000000-0005-0000-0000-00001D2E0000}"/>
    <cellStyle name="Normal 14 2 5 7" xfId="42241" xr:uid="{00000000-0005-0000-0000-00001E2E0000}"/>
    <cellStyle name="Normal 14 2 5 8" xfId="26141" xr:uid="{00000000-0005-0000-0000-00001F2E0000}"/>
    <cellStyle name="Normal 14 2 5 9" xfId="13077" xr:uid="{00000000-0005-0000-0000-0000202E0000}"/>
    <cellStyle name="Normal 14 2 6" xfId="523" xr:uid="{00000000-0005-0000-0000-0000212E0000}"/>
    <cellStyle name="Normal 14 2 6 2" xfId="2553" xr:uid="{00000000-0005-0000-0000-0000222E0000}"/>
    <cellStyle name="Normal 14 2 6 2 2" xfId="9085" xr:uid="{00000000-0005-0000-0000-0000232E0000}"/>
    <cellStyle name="Normal 14 2 6 2 2 2" xfId="40826" xr:uid="{00000000-0005-0000-0000-0000242E0000}"/>
    <cellStyle name="Normal 14 2 6 2 2 2 2" xfId="56926" xr:uid="{00000000-0005-0000-0000-0000252E0000}"/>
    <cellStyle name="Normal 14 2 6 2 2 3" xfId="47359" xr:uid="{00000000-0005-0000-0000-0000262E0000}"/>
    <cellStyle name="Normal 14 2 6 2 2 4" xfId="31259" xr:uid="{00000000-0005-0000-0000-0000272E0000}"/>
    <cellStyle name="Normal 14 2 6 2 2 5" xfId="21690" xr:uid="{00000000-0005-0000-0000-0000282E0000}"/>
    <cellStyle name="Normal 14 2 6 2 3" xfId="12121" xr:uid="{00000000-0005-0000-0000-0000292E0000}"/>
    <cellStyle name="Normal 14 2 6 2 3 2" xfId="50395" xr:uid="{00000000-0005-0000-0000-00002A2E0000}"/>
    <cellStyle name="Normal 14 2 6 2 3 3" xfId="34295" xr:uid="{00000000-0005-0000-0000-00002B2E0000}"/>
    <cellStyle name="Normal 14 2 6 2 3 4" xfId="24726" xr:uid="{00000000-0005-0000-0000-00002C2E0000}"/>
    <cellStyle name="Normal 14 2 6 2 4" xfId="6049" xr:uid="{00000000-0005-0000-0000-00002D2E0000}"/>
    <cellStyle name="Normal 14 2 6 2 4 2" xfId="53890" xr:uid="{00000000-0005-0000-0000-00002E2E0000}"/>
    <cellStyle name="Normal 14 2 6 2 4 3" xfId="37790" xr:uid="{00000000-0005-0000-0000-00002F2E0000}"/>
    <cellStyle name="Normal 14 2 6 2 4 4" xfId="18654" xr:uid="{00000000-0005-0000-0000-0000302E0000}"/>
    <cellStyle name="Normal 14 2 6 2 5" xfId="44323" xr:uid="{00000000-0005-0000-0000-0000312E0000}"/>
    <cellStyle name="Normal 14 2 6 2 6" xfId="28223" xr:uid="{00000000-0005-0000-0000-0000322E0000}"/>
    <cellStyle name="Normal 14 2 6 2 7" xfId="15159" xr:uid="{00000000-0005-0000-0000-0000332E0000}"/>
    <cellStyle name="Normal 14 2 6 3" xfId="1302" xr:uid="{00000000-0005-0000-0000-0000342E0000}"/>
    <cellStyle name="Normal 14 2 6 3 2" xfId="7836" xr:uid="{00000000-0005-0000-0000-0000352E0000}"/>
    <cellStyle name="Normal 14 2 6 3 2 2" xfId="39577" xr:uid="{00000000-0005-0000-0000-0000362E0000}"/>
    <cellStyle name="Normal 14 2 6 3 2 2 2" xfId="55677" xr:uid="{00000000-0005-0000-0000-0000372E0000}"/>
    <cellStyle name="Normal 14 2 6 3 2 3" xfId="46110" xr:uid="{00000000-0005-0000-0000-0000382E0000}"/>
    <cellStyle name="Normal 14 2 6 3 2 4" xfId="30010" xr:uid="{00000000-0005-0000-0000-0000392E0000}"/>
    <cellStyle name="Normal 14 2 6 3 2 5" xfId="20441" xr:uid="{00000000-0005-0000-0000-00003A2E0000}"/>
    <cellStyle name="Normal 14 2 6 3 3" xfId="10872" xr:uid="{00000000-0005-0000-0000-00003B2E0000}"/>
    <cellStyle name="Normal 14 2 6 3 3 2" xfId="49146" xr:uid="{00000000-0005-0000-0000-00003C2E0000}"/>
    <cellStyle name="Normal 14 2 6 3 3 3" xfId="33046" xr:uid="{00000000-0005-0000-0000-00003D2E0000}"/>
    <cellStyle name="Normal 14 2 6 3 3 4" xfId="23477" xr:uid="{00000000-0005-0000-0000-00003E2E0000}"/>
    <cellStyle name="Normal 14 2 6 3 4" xfId="4800" xr:uid="{00000000-0005-0000-0000-00003F2E0000}"/>
    <cellStyle name="Normal 14 2 6 3 4 2" xfId="52641" xr:uid="{00000000-0005-0000-0000-0000402E0000}"/>
    <cellStyle name="Normal 14 2 6 3 4 3" xfId="36541" xr:uid="{00000000-0005-0000-0000-0000412E0000}"/>
    <cellStyle name="Normal 14 2 6 3 4 4" xfId="17405" xr:uid="{00000000-0005-0000-0000-0000422E0000}"/>
    <cellStyle name="Normal 14 2 6 3 5" xfId="43074" xr:uid="{00000000-0005-0000-0000-0000432E0000}"/>
    <cellStyle name="Normal 14 2 6 3 6" xfId="26974" xr:uid="{00000000-0005-0000-0000-0000442E0000}"/>
    <cellStyle name="Normal 14 2 6 3 7" xfId="13910" xr:uid="{00000000-0005-0000-0000-0000452E0000}"/>
    <cellStyle name="Normal 14 2 6 4" xfId="6826" xr:uid="{00000000-0005-0000-0000-0000462E0000}"/>
    <cellStyle name="Normal 14 2 6 4 2" xfId="38567" xr:uid="{00000000-0005-0000-0000-0000472E0000}"/>
    <cellStyle name="Normal 14 2 6 4 2 2" xfId="54667" xr:uid="{00000000-0005-0000-0000-0000482E0000}"/>
    <cellStyle name="Normal 14 2 6 4 3" xfId="45100" xr:uid="{00000000-0005-0000-0000-0000492E0000}"/>
    <cellStyle name="Normal 14 2 6 4 4" xfId="29000" xr:uid="{00000000-0005-0000-0000-00004A2E0000}"/>
    <cellStyle name="Normal 14 2 6 4 5" xfId="19431" xr:uid="{00000000-0005-0000-0000-00004B2E0000}"/>
    <cellStyle name="Normal 14 2 6 5" xfId="9862" xr:uid="{00000000-0005-0000-0000-00004C2E0000}"/>
    <cellStyle name="Normal 14 2 6 5 2" xfId="48136" xr:uid="{00000000-0005-0000-0000-00004D2E0000}"/>
    <cellStyle name="Normal 14 2 6 5 3" xfId="32036" xr:uid="{00000000-0005-0000-0000-00004E2E0000}"/>
    <cellStyle name="Normal 14 2 6 5 4" xfId="22467" xr:uid="{00000000-0005-0000-0000-00004F2E0000}"/>
    <cellStyle name="Normal 14 2 6 6" xfId="3790" xr:uid="{00000000-0005-0000-0000-0000502E0000}"/>
    <cellStyle name="Normal 14 2 6 6 2" xfId="51631" xr:uid="{00000000-0005-0000-0000-0000512E0000}"/>
    <cellStyle name="Normal 14 2 6 6 3" xfId="35531" xr:uid="{00000000-0005-0000-0000-0000522E0000}"/>
    <cellStyle name="Normal 14 2 6 6 4" xfId="16395" xr:uid="{00000000-0005-0000-0000-0000532E0000}"/>
    <cellStyle name="Normal 14 2 6 7" xfId="42064" xr:uid="{00000000-0005-0000-0000-0000542E0000}"/>
    <cellStyle name="Normal 14 2 6 8" xfId="25964" xr:uid="{00000000-0005-0000-0000-0000552E0000}"/>
    <cellStyle name="Normal 14 2 6 9" xfId="12900" xr:uid="{00000000-0005-0000-0000-0000562E0000}"/>
    <cellStyle name="Normal 14 2 7" xfId="753" xr:uid="{00000000-0005-0000-0000-0000572E0000}"/>
    <cellStyle name="Normal 14 2 7 2" xfId="2781" xr:uid="{00000000-0005-0000-0000-0000582E0000}"/>
    <cellStyle name="Normal 14 2 7 2 2" xfId="9313" xr:uid="{00000000-0005-0000-0000-0000592E0000}"/>
    <cellStyle name="Normal 14 2 7 2 2 2" xfId="41054" xr:uid="{00000000-0005-0000-0000-00005A2E0000}"/>
    <cellStyle name="Normal 14 2 7 2 2 2 2" xfId="57154" xr:uid="{00000000-0005-0000-0000-00005B2E0000}"/>
    <cellStyle name="Normal 14 2 7 2 2 3" xfId="47587" xr:uid="{00000000-0005-0000-0000-00005C2E0000}"/>
    <cellStyle name="Normal 14 2 7 2 2 4" xfId="31487" xr:uid="{00000000-0005-0000-0000-00005D2E0000}"/>
    <cellStyle name="Normal 14 2 7 2 2 5" xfId="21918" xr:uid="{00000000-0005-0000-0000-00005E2E0000}"/>
    <cellStyle name="Normal 14 2 7 2 3" xfId="12349" xr:uid="{00000000-0005-0000-0000-00005F2E0000}"/>
    <cellStyle name="Normal 14 2 7 2 3 2" xfId="50623" xr:uid="{00000000-0005-0000-0000-0000602E0000}"/>
    <cellStyle name="Normal 14 2 7 2 3 3" xfId="34523" xr:uid="{00000000-0005-0000-0000-0000612E0000}"/>
    <cellStyle name="Normal 14 2 7 2 3 4" xfId="24954" xr:uid="{00000000-0005-0000-0000-0000622E0000}"/>
    <cellStyle name="Normal 14 2 7 2 4" xfId="6277" xr:uid="{00000000-0005-0000-0000-0000632E0000}"/>
    <cellStyle name="Normal 14 2 7 2 4 2" xfId="54118" xr:uid="{00000000-0005-0000-0000-0000642E0000}"/>
    <cellStyle name="Normal 14 2 7 2 4 3" xfId="38018" xr:uid="{00000000-0005-0000-0000-0000652E0000}"/>
    <cellStyle name="Normal 14 2 7 2 4 4" xfId="18882" xr:uid="{00000000-0005-0000-0000-0000662E0000}"/>
    <cellStyle name="Normal 14 2 7 2 5" xfId="44551" xr:uid="{00000000-0005-0000-0000-0000672E0000}"/>
    <cellStyle name="Normal 14 2 7 2 6" xfId="28451" xr:uid="{00000000-0005-0000-0000-0000682E0000}"/>
    <cellStyle name="Normal 14 2 7 2 7" xfId="15387" xr:uid="{00000000-0005-0000-0000-0000692E0000}"/>
    <cellStyle name="Normal 14 2 7 3" xfId="1763" xr:uid="{00000000-0005-0000-0000-00006A2E0000}"/>
    <cellStyle name="Normal 14 2 7 3 2" xfId="8297" xr:uid="{00000000-0005-0000-0000-00006B2E0000}"/>
    <cellStyle name="Normal 14 2 7 3 2 2" xfId="40038" xr:uid="{00000000-0005-0000-0000-00006C2E0000}"/>
    <cellStyle name="Normal 14 2 7 3 2 2 2" xfId="56138" xr:uid="{00000000-0005-0000-0000-00006D2E0000}"/>
    <cellStyle name="Normal 14 2 7 3 2 3" xfId="46571" xr:uid="{00000000-0005-0000-0000-00006E2E0000}"/>
    <cellStyle name="Normal 14 2 7 3 2 4" xfId="30471" xr:uid="{00000000-0005-0000-0000-00006F2E0000}"/>
    <cellStyle name="Normal 14 2 7 3 2 5" xfId="20902" xr:uid="{00000000-0005-0000-0000-0000702E0000}"/>
    <cellStyle name="Normal 14 2 7 3 3" xfId="11333" xr:uid="{00000000-0005-0000-0000-0000712E0000}"/>
    <cellStyle name="Normal 14 2 7 3 3 2" xfId="49607" xr:uid="{00000000-0005-0000-0000-0000722E0000}"/>
    <cellStyle name="Normal 14 2 7 3 3 3" xfId="33507" xr:uid="{00000000-0005-0000-0000-0000732E0000}"/>
    <cellStyle name="Normal 14 2 7 3 3 4" xfId="23938" xr:uid="{00000000-0005-0000-0000-0000742E0000}"/>
    <cellStyle name="Normal 14 2 7 3 4" xfId="5261" xr:uid="{00000000-0005-0000-0000-0000752E0000}"/>
    <cellStyle name="Normal 14 2 7 3 4 2" xfId="53102" xr:uid="{00000000-0005-0000-0000-0000762E0000}"/>
    <cellStyle name="Normal 14 2 7 3 4 3" xfId="37002" xr:uid="{00000000-0005-0000-0000-0000772E0000}"/>
    <cellStyle name="Normal 14 2 7 3 4 4" xfId="17866" xr:uid="{00000000-0005-0000-0000-0000782E0000}"/>
    <cellStyle name="Normal 14 2 7 3 5" xfId="43535" xr:uid="{00000000-0005-0000-0000-0000792E0000}"/>
    <cellStyle name="Normal 14 2 7 3 6" xfId="27435" xr:uid="{00000000-0005-0000-0000-00007A2E0000}"/>
    <cellStyle name="Normal 14 2 7 3 7" xfId="14371" xr:uid="{00000000-0005-0000-0000-00007B2E0000}"/>
    <cellStyle name="Normal 14 2 7 4" xfId="7287" xr:uid="{00000000-0005-0000-0000-00007C2E0000}"/>
    <cellStyle name="Normal 14 2 7 4 2" xfId="39028" xr:uid="{00000000-0005-0000-0000-00007D2E0000}"/>
    <cellStyle name="Normal 14 2 7 4 2 2" xfId="55128" xr:uid="{00000000-0005-0000-0000-00007E2E0000}"/>
    <cellStyle name="Normal 14 2 7 4 3" xfId="45561" xr:uid="{00000000-0005-0000-0000-00007F2E0000}"/>
    <cellStyle name="Normal 14 2 7 4 4" xfId="29461" xr:uid="{00000000-0005-0000-0000-0000802E0000}"/>
    <cellStyle name="Normal 14 2 7 4 5" xfId="19892" xr:uid="{00000000-0005-0000-0000-0000812E0000}"/>
    <cellStyle name="Normal 14 2 7 5" xfId="10323" xr:uid="{00000000-0005-0000-0000-0000822E0000}"/>
    <cellStyle name="Normal 14 2 7 5 2" xfId="48597" xr:uid="{00000000-0005-0000-0000-0000832E0000}"/>
    <cellStyle name="Normal 14 2 7 5 3" xfId="32497" xr:uid="{00000000-0005-0000-0000-0000842E0000}"/>
    <cellStyle name="Normal 14 2 7 5 4" xfId="22928" xr:uid="{00000000-0005-0000-0000-0000852E0000}"/>
    <cellStyle name="Normal 14 2 7 6" xfId="4251" xr:uid="{00000000-0005-0000-0000-0000862E0000}"/>
    <cellStyle name="Normal 14 2 7 6 2" xfId="52092" xr:uid="{00000000-0005-0000-0000-0000872E0000}"/>
    <cellStyle name="Normal 14 2 7 6 3" xfId="35992" xr:uid="{00000000-0005-0000-0000-0000882E0000}"/>
    <cellStyle name="Normal 14 2 7 6 4" xfId="16856" xr:uid="{00000000-0005-0000-0000-0000892E0000}"/>
    <cellStyle name="Normal 14 2 7 7" xfId="42525" xr:uid="{00000000-0005-0000-0000-00008A2E0000}"/>
    <cellStyle name="Normal 14 2 7 8" xfId="26425" xr:uid="{00000000-0005-0000-0000-00008B2E0000}"/>
    <cellStyle name="Normal 14 2 7 9" xfId="13361" xr:uid="{00000000-0005-0000-0000-00008C2E0000}"/>
    <cellStyle name="Normal 14 2 8" xfId="2090" xr:uid="{00000000-0005-0000-0000-00008D2E0000}"/>
    <cellStyle name="Normal 14 2 8 2" xfId="8624" xr:uid="{00000000-0005-0000-0000-00008E2E0000}"/>
    <cellStyle name="Normal 14 2 8 2 2" xfId="40365" xr:uid="{00000000-0005-0000-0000-00008F2E0000}"/>
    <cellStyle name="Normal 14 2 8 2 2 2" xfId="56465" xr:uid="{00000000-0005-0000-0000-0000902E0000}"/>
    <cellStyle name="Normal 14 2 8 2 3" xfId="46898" xr:uid="{00000000-0005-0000-0000-0000912E0000}"/>
    <cellStyle name="Normal 14 2 8 2 4" xfId="30798" xr:uid="{00000000-0005-0000-0000-0000922E0000}"/>
    <cellStyle name="Normal 14 2 8 2 5" xfId="21229" xr:uid="{00000000-0005-0000-0000-0000932E0000}"/>
    <cellStyle name="Normal 14 2 8 3" xfId="11660" xr:uid="{00000000-0005-0000-0000-0000942E0000}"/>
    <cellStyle name="Normal 14 2 8 3 2" xfId="49934" xr:uid="{00000000-0005-0000-0000-0000952E0000}"/>
    <cellStyle name="Normal 14 2 8 3 3" xfId="33834" xr:uid="{00000000-0005-0000-0000-0000962E0000}"/>
    <cellStyle name="Normal 14 2 8 3 4" xfId="24265" xr:uid="{00000000-0005-0000-0000-0000972E0000}"/>
    <cellStyle name="Normal 14 2 8 4" xfId="5588" xr:uid="{00000000-0005-0000-0000-0000982E0000}"/>
    <cellStyle name="Normal 14 2 8 4 2" xfId="53429" xr:uid="{00000000-0005-0000-0000-0000992E0000}"/>
    <cellStyle name="Normal 14 2 8 4 3" xfId="37329" xr:uid="{00000000-0005-0000-0000-00009A2E0000}"/>
    <cellStyle name="Normal 14 2 8 4 4" xfId="18193" xr:uid="{00000000-0005-0000-0000-00009B2E0000}"/>
    <cellStyle name="Normal 14 2 8 5" xfId="43862" xr:uid="{00000000-0005-0000-0000-00009C2E0000}"/>
    <cellStyle name="Normal 14 2 8 6" xfId="27762" xr:uid="{00000000-0005-0000-0000-00009D2E0000}"/>
    <cellStyle name="Normal 14 2 8 7" xfId="14698" xr:uid="{00000000-0005-0000-0000-00009E2E0000}"/>
    <cellStyle name="Normal 14 2 9" xfId="1080" xr:uid="{00000000-0005-0000-0000-00009F2E0000}"/>
    <cellStyle name="Normal 14 2 9 2" xfId="7614" xr:uid="{00000000-0005-0000-0000-0000A02E0000}"/>
    <cellStyle name="Normal 14 2 9 2 2" xfId="39355" xr:uid="{00000000-0005-0000-0000-0000A12E0000}"/>
    <cellStyle name="Normal 14 2 9 2 2 2" xfId="55455" xr:uid="{00000000-0005-0000-0000-0000A22E0000}"/>
    <cellStyle name="Normal 14 2 9 2 3" xfId="45888" xr:uid="{00000000-0005-0000-0000-0000A32E0000}"/>
    <cellStyle name="Normal 14 2 9 2 4" xfId="29788" xr:uid="{00000000-0005-0000-0000-0000A42E0000}"/>
    <cellStyle name="Normal 14 2 9 2 5" xfId="20219" xr:uid="{00000000-0005-0000-0000-0000A52E0000}"/>
    <cellStyle name="Normal 14 2 9 3" xfId="10650" xr:uid="{00000000-0005-0000-0000-0000A62E0000}"/>
    <cellStyle name="Normal 14 2 9 3 2" xfId="48924" xr:uid="{00000000-0005-0000-0000-0000A72E0000}"/>
    <cellStyle name="Normal 14 2 9 3 3" xfId="32824" xr:uid="{00000000-0005-0000-0000-0000A82E0000}"/>
    <cellStyle name="Normal 14 2 9 3 4" xfId="23255" xr:uid="{00000000-0005-0000-0000-0000A92E0000}"/>
    <cellStyle name="Normal 14 2 9 4" xfId="4578" xr:uid="{00000000-0005-0000-0000-0000AA2E0000}"/>
    <cellStyle name="Normal 14 2 9 4 2" xfId="52419" xr:uid="{00000000-0005-0000-0000-0000AB2E0000}"/>
    <cellStyle name="Normal 14 2 9 4 3" xfId="36319" xr:uid="{00000000-0005-0000-0000-0000AC2E0000}"/>
    <cellStyle name="Normal 14 2 9 4 4" xfId="17183" xr:uid="{00000000-0005-0000-0000-0000AD2E0000}"/>
    <cellStyle name="Normal 14 2 9 5" xfId="42852" xr:uid="{00000000-0005-0000-0000-0000AE2E0000}"/>
    <cellStyle name="Normal 14 2 9 6" xfId="26752" xr:uid="{00000000-0005-0000-0000-0000AF2E0000}"/>
    <cellStyle name="Normal 14 2 9 7" xfId="13688" xr:uid="{00000000-0005-0000-0000-0000B02E0000}"/>
    <cellStyle name="Normal 14 20" xfId="3090" xr:uid="{00000000-0005-0000-0000-0000B12E0000}"/>
    <cellStyle name="Normal 14 20 2" xfId="50932" xr:uid="{00000000-0005-0000-0000-0000B22E0000}"/>
    <cellStyle name="Normal 14 20 3" xfId="34832" xr:uid="{00000000-0005-0000-0000-0000B32E0000}"/>
    <cellStyle name="Normal 14 20 4" xfId="15696" xr:uid="{00000000-0005-0000-0000-0000B42E0000}"/>
    <cellStyle name="Normal 14 21" xfId="41365" xr:uid="{00000000-0005-0000-0000-0000B52E0000}"/>
    <cellStyle name="Normal 14 22" xfId="25265" xr:uid="{00000000-0005-0000-0000-0000B62E0000}"/>
    <cellStyle name="Normal 14 23" xfId="12660" xr:uid="{00000000-0005-0000-0000-0000B72E0000}"/>
    <cellStyle name="Normal 14 3" xfId="120" xr:uid="{00000000-0005-0000-0000-0000B82E0000}"/>
    <cellStyle name="Normal 14 3 10" xfId="9703" xr:uid="{00000000-0005-0000-0000-0000B92E0000}"/>
    <cellStyle name="Normal 14 3 10 2" xfId="47977" xr:uid="{00000000-0005-0000-0000-0000BA2E0000}"/>
    <cellStyle name="Normal 14 3 10 3" xfId="31877" xr:uid="{00000000-0005-0000-0000-0000BB2E0000}"/>
    <cellStyle name="Normal 14 3 10 4" xfId="22308" xr:uid="{00000000-0005-0000-0000-0000BC2E0000}"/>
    <cellStyle name="Normal 14 3 11" xfId="3171" xr:uid="{00000000-0005-0000-0000-0000BD2E0000}"/>
    <cellStyle name="Normal 14 3 11 2" xfId="51013" xr:uid="{00000000-0005-0000-0000-0000BE2E0000}"/>
    <cellStyle name="Normal 14 3 11 3" xfId="34913" xr:uid="{00000000-0005-0000-0000-0000BF2E0000}"/>
    <cellStyle name="Normal 14 3 11 4" xfId="15777" xr:uid="{00000000-0005-0000-0000-0000C02E0000}"/>
    <cellStyle name="Normal 14 3 12" xfId="41446" xr:uid="{00000000-0005-0000-0000-0000C12E0000}"/>
    <cellStyle name="Normal 14 3 13" xfId="25346" xr:uid="{00000000-0005-0000-0000-0000C22E0000}"/>
    <cellStyle name="Normal 14 3 14" xfId="12741" xr:uid="{00000000-0005-0000-0000-0000C32E0000}"/>
    <cellStyle name="Normal 14 3 2" xfId="195" xr:uid="{00000000-0005-0000-0000-0000C42E0000}"/>
    <cellStyle name="Normal 14 3 2 10" xfId="41683" xr:uid="{00000000-0005-0000-0000-0000C52E0000}"/>
    <cellStyle name="Normal 14 3 2 11" xfId="25583" xr:uid="{00000000-0005-0000-0000-0000C62E0000}"/>
    <cellStyle name="Normal 14 3 2 12" xfId="13024" xr:uid="{00000000-0005-0000-0000-0000C72E0000}"/>
    <cellStyle name="Normal 14 3 2 2" xfId="372" xr:uid="{00000000-0005-0000-0000-0000C82E0000}"/>
    <cellStyle name="Normal 14 3 2 2 2" xfId="2391" xr:uid="{00000000-0005-0000-0000-0000C92E0000}"/>
    <cellStyle name="Normal 14 3 2 2 2 2" xfId="8925" xr:uid="{00000000-0005-0000-0000-0000CA2E0000}"/>
    <cellStyle name="Normal 14 3 2 2 2 2 2" xfId="40666" xr:uid="{00000000-0005-0000-0000-0000CB2E0000}"/>
    <cellStyle name="Normal 14 3 2 2 2 2 2 2" xfId="56766" xr:uid="{00000000-0005-0000-0000-0000CC2E0000}"/>
    <cellStyle name="Normal 14 3 2 2 2 2 3" xfId="47199" xr:uid="{00000000-0005-0000-0000-0000CD2E0000}"/>
    <cellStyle name="Normal 14 3 2 2 2 2 4" xfId="31099" xr:uid="{00000000-0005-0000-0000-0000CE2E0000}"/>
    <cellStyle name="Normal 14 3 2 2 2 2 5" xfId="21530" xr:uid="{00000000-0005-0000-0000-0000CF2E0000}"/>
    <cellStyle name="Normal 14 3 2 2 2 3" xfId="11961" xr:uid="{00000000-0005-0000-0000-0000D02E0000}"/>
    <cellStyle name="Normal 14 3 2 2 2 3 2" xfId="50235" xr:uid="{00000000-0005-0000-0000-0000D12E0000}"/>
    <cellStyle name="Normal 14 3 2 2 2 3 3" xfId="34135" xr:uid="{00000000-0005-0000-0000-0000D22E0000}"/>
    <cellStyle name="Normal 14 3 2 2 2 3 4" xfId="24566" xr:uid="{00000000-0005-0000-0000-0000D32E0000}"/>
    <cellStyle name="Normal 14 3 2 2 2 4" xfId="5889" xr:uid="{00000000-0005-0000-0000-0000D42E0000}"/>
    <cellStyle name="Normal 14 3 2 2 2 4 2" xfId="53730" xr:uid="{00000000-0005-0000-0000-0000D52E0000}"/>
    <cellStyle name="Normal 14 3 2 2 2 4 3" xfId="37630" xr:uid="{00000000-0005-0000-0000-0000D62E0000}"/>
    <cellStyle name="Normal 14 3 2 2 2 4 4" xfId="18494" xr:uid="{00000000-0005-0000-0000-0000D72E0000}"/>
    <cellStyle name="Normal 14 3 2 2 2 5" xfId="44163" xr:uid="{00000000-0005-0000-0000-0000D82E0000}"/>
    <cellStyle name="Normal 14 3 2 2 2 6" xfId="28063" xr:uid="{00000000-0005-0000-0000-0000D92E0000}"/>
    <cellStyle name="Normal 14 3 2 2 2 7" xfId="14999" xr:uid="{00000000-0005-0000-0000-0000DA2E0000}"/>
    <cellStyle name="Normal 14 3 2 2 3" xfId="1603" xr:uid="{00000000-0005-0000-0000-0000DB2E0000}"/>
    <cellStyle name="Normal 14 3 2 2 3 2" xfId="8137" xr:uid="{00000000-0005-0000-0000-0000DC2E0000}"/>
    <cellStyle name="Normal 14 3 2 2 3 2 2" xfId="39878" xr:uid="{00000000-0005-0000-0000-0000DD2E0000}"/>
    <cellStyle name="Normal 14 3 2 2 3 2 2 2" xfId="55978" xr:uid="{00000000-0005-0000-0000-0000DE2E0000}"/>
    <cellStyle name="Normal 14 3 2 2 3 2 3" xfId="46411" xr:uid="{00000000-0005-0000-0000-0000DF2E0000}"/>
    <cellStyle name="Normal 14 3 2 2 3 2 4" xfId="30311" xr:uid="{00000000-0005-0000-0000-0000E02E0000}"/>
    <cellStyle name="Normal 14 3 2 2 3 2 5" xfId="20742" xr:uid="{00000000-0005-0000-0000-0000E12E0000}"/>
    <cellStyle name="Normal 14 3 2 2 3 3" xfId="11173" xr:uid="{00000000-0005-0000-0000-0000E22E0000}"/>
    <cellStyle name="Normal 14 3 2 2 3 3 2" xfId="49447" xr:uid="{00000000-0005-0000-0000-0000E32E0000}"/>
    <cellStyle name="Normal 14 3 2 2 3 3 3" xfId="33347" xr:uid="{00000000-0005-0000-0000-0000E42E0000}"/>
    <cellStyle name="Normal 14 3 2 2 3 3 4" xfId="23778" xr:uid="{00000000-0005-0000-0000-0000E52E0000}"/>
    <cellStyle name="Normal 14 3 2 2 3 4" xfId="5101" xr:uid="{00000000-0005-0000-0000-0000E62E0000}"/>
    <cellStyle name="Normal 14 3 2 2 3 4 2" xfId="52942" xr:uid="{00000000-0005-0000-0000-0000E72E0000}"/>
    <cellStyle name="Normal 14 3 2 2 3 4 3" xfId="36842" xr:uid="{00000000-0005-0000-0000-0000E82E0000}"/>
    <cellStyle name="Normal 14 3 2 2 3 4 4" xfId="17706" xr:uid="{00000000-0005-0000-0000-0000E92E0000}"/>
    <cellStyle name="Normal 14 3 2 2 3 5" xfId="43375" xr:uid="{00000000-0005-0000-0000-0000EA2E0000}"/>
    <cellStyle name="Normal 14 3 2 2 3 6" xfId="27275" xr:uid="{00000000-0005-0000-0000-0000EB2E0000}"/>
    <cellStyle name="Normal 14 3 2 2 3 7" xfId="14211" xr:uid="{00000000-0005-0000-0000-0000EC2E0000}"/>
    <cellStyle name="Normal 14 3 2 2 4" xfId="7127" xr:uid="{00000000-0005-0000-0000-0000ED2E0000}"/>
    <cellStyle name="Normal 14 3 2 2 4 2" xfId="38868" xr:uid="{00000000-0005-0000-0000-0000EE2E0000}"/>
    <cellStyle name="Normal 14 3 2 2 4 2 2" xfId="54968" xr:uid="{00000000-0005-0000-0000-0000EF2E0000}"/>
    <cellStyle name="Normal 14 3 2 2 4 3" xfId="45401" xr:uid="{00000000-0005-0000-0000-0000F02E0000}"/>
    <cellStyle name="Normal 14 3 2 2 4 4" xfId="29301" xr:uid="{00000000-0005-0000-0000-0000F12E0000}"/>
    <cellStyle name="Normal 14 3 2 2 4 5" xfId="19732" xr:uid="{00000000-0005-0000-0000-0000F22E0000}"/>
    <cellStyle name="Normal 14 3 2 2 5" xfId="10163" xr:uid="{00000000-0005-0000-0000-0000F32E0000}"/>
    <cellStyle name="Normal 14 3 2 2 5 2" xfId="48437" xr:uid="{00000000-0005-0000-0000-0000F42E0000}"/>
    <cellStyle name="Normal 14 3 2 2 5 3" xfId="32337" xr:uid="{00000000-0005-0000-0000-0000F52E0000}"/>
    <cellStyle name="Normal 14 3 2 2 5 4" xfId="22768" xr:uid="{00000000-0005-0000-0000-0000F62E0000}"/>
    <cellStyle name="Normal 14 3 2 2 6" xfId="4091" xr:uid="{00000000-0005-0000-0000-0000F72E0000}"/>
    <cellStyle name="Normal 14 3 2 2 6 2" xfId="51932" xr:uid="{00000000-0005-0000-0000-0000F82E0000}"/>
    <cellStyle name="Normal 14 3 2 2 6 3" xfId="35832" xr:uid="{00000000-0005-0000-0000-0000F92E0000}"/>
    <cellStyle name="Normal 14 3 2 2 6 4" xfId="16696" xr:uid="{00000000-0005-0000-0000-0000FA2E0000}"/>
    <cellStyle name="Normal 14 3 2 2 7" xfId="42365" xr:uid="{00000000-0005-0000-0000-0000FB2E0000}"/>
    <cellStyle name="Normal 14 3 2 2 8" xfId="26265" xr:uid="{00000000-0005-0000-0000-0000FC2E0000}"/>
    <cellStyle name="Normal 14 3 2 2 9" xfId="13201" xr:uid="{00000000-0005-0000-0000-0000FD2E0000}"/>
    <cellStyle name="Normal 14 3 2 3" xfId="1011" xr:uid="{00000000-0005-0000-0000-0000FE2E0000}"/>
    <cellStyle name="Normal 14 3 2 3 2" xfId="3039" xr:uid="{00000000-0005-0000-0000-0000FF2E0000}"/>
    <cellStyle name="Normal 14 3 2 3 2 2" xfId="9571" xr:uid="{00000000-0005-0000-0000-0000002F0000}"/>
    <cellStyle name="Normal 14 3 2 3 2 2 2" xfId="41312" xr:uid="{00000000-0005-0000-0000-0000012F0000}"/>
    <cellStyle name="Normal 14 3 2 3 2 2 2 2" xfId="57412" xr:uid="{00000000-0005-0000-0000-0000022F0000}"/>
    <cellStyle name="Normal 14 3 2 3 2 2 3" xfId="47845" xr:uid="{00000000-0005-0000-0000-0000032F0000}"/>
    <cellStyle name="Normal 14 3 2 3 2 2 4" xfId="31745" xr:uid="{00000000-0005-0000-0000-0000042F0000}"/>
    <cellStyle name="Normal 14 3 2 3 2 2 5" xfId="22176" xr:uid="{00000000-0005-0000-0000-0000052F0000}"/>
    <cellStyle name="Normal 14 3 2 3 2 3" xfId="12607" xr:uid="{00000000-0005-0000-0000-0000062F0000}"/>
    <cellStyle name="Normal 14 3 2 3 2 3 2" xfId="50881" xr:uid="{00000000-0005-0000-0000-0000072F0000}"/>
    <cellStyle name="Normal 14 3 2 3 2 3 3" xfId="34781" xr:uid="{00000000-0005-0000-0000-0000082F0000}"/>
    <cellStyle name="Normal 14 3 2 3 2 3 4" xfId="25212" xr:uid="{00000000-0005-0000-0000-0000092F0000}"/>
    <cellStyle name="Normal 14 3 2 3 2 4" xfId="6535" xr:uid="{00000000-0005-0000-0000-00000A2F0000}"/>
    <cellStyle name="Normal 14 3 2 3 2 4 2" xfId="54376" xr:uid="{00000000-0005-0000-0000-00000B2F0000}"/>
    <cellStyle name="Normal 14 3 2 3 2 4 3" xfId="38276" xr:uid="{00000000-0005-0000-0000-00000C2F0000}"/>
    <cellStyle name="Normal 14 3 2 3 2 4 4" xfId="19140" xr:uid="{00000000-0005-0000-0000-00000D2F0000}"/>
    <cellStyle name="Normal 14 3 2 3 2 5" xfId="44809" xr:uid="{00000000-0005-0000-0000-00000E2F0000}"/>
    <cellStyle name="Normal 14 3 2 3 2 6" xfId="28709" xr:uid="{00000000-0005-0000-0000-00000F2F0000}"/>
    <cellStyle name="Normal 14 3 2 3 2 7" xfId="15645" xr:uid="{00000000-0005-0000-0000-0000102F0000}"/>
    <cellStyle name="Normal 14 3 2 3 3" xfId="2021" xr:uid="{00000000-0005-0000-0000-0000112F0000}"/>
    <cellStyle name="Normal 14 3 2 3 3 2" xfId="8555" xr:uid="{00000000-0005-0000-0000-0000122F0000}"/>
    <cellStyle name="Normal 14 3 2 3 3 2 2" xfId="40296" xr:uid="{00000000-0005-0000-0000-0000132F0000}"/>
    <cellStyle name="Normal 14 3 2 3 3 2 2 2" xfId="56396" xr:uid="{00000000-0005-0000-0000-0000142F0000}"/>
    <cellStyle name="Normal 14 3 2 3 3 2 3" xfId="46829" xr:uid="{00000000-0005-0000-0000-0000152F0000}"/>
    <cellStyle name="Normal 14 3 2 3 3 2 4" xfId="30729" xr:uid="{00000000-0005-0000-0000-0000162F0000}"/>
    <cellStyle name="Normal 14 3 2 3 3 2 5" xfId="21160" xr:uid="{00000000-0005-0000-0000-0000172F0000}"/>
    <cellStyle name="Normal 14 3 2 3 3 3" xfId="11591" xr:uid="{00000000-0005-0000-0000-0000182F0000}"/>
    <cellStyle name="Normal 14 3 2 3 3 3 2" xfId="49865" xr:uid="{00000000-0005-0000-0000-0000192F0000}"/>
    <cellStyle name="Normal 14 3 2 3 3 3 3" xfId="33765" xr:uid="{00000000-0005-0000-0000-00001A2F0000}"/>
    <cellStyle name="Normal 14 3 2 3 3 3 4" xfId="24196" xr:uid="{00000000-0005-0000-0000-00001B2F0000}"/>
    <cellStyle name="Normal 14 3 2 3 3 4" xfId="5519" xr:uid="{00000000-0005-0000-0000-00001C2F0000}"/>
    <cellStyle name="Normal 14 3 2 3 3 4 2" xfId="53360" xr:uid="{00000000-0005-0000-0000-00001D2F0000}"/>
    <cellStyle name="Normal 14 3 2 3 3 4 3" xfId="37260" xr:uid="{00000000-0005-0000-0000-00001E2F0000}"/>
    <cellStyle name="Normal 14 3 2 3 3 4 4" xfId="18124" xr:uid="{00000000-0005-0000-0000-00001F2F0000}"/>
    <cellStyle name="Normal 14 3 2 3 3 5" xfId="43793" xr:uid="{00000000-0005-0000-0000-0000202F0000}"/>
    <cellStyle name="Normal 14 3 2 3 3 6" xfId="27693" xr:uid="{00000000-0005-0000-0000-0000212F0000}"/>
    <cellStyle name="Normal 14 3 2 3 3 7" xfId="14629" xr:uid="{00000000-0005-0000-0000-0000222F0000}"/>
    <cellStyle name="Normal 14 3 2 3 4" xfId="7545" xr:uid="{00000000-0005-0000-0000-0000232F0000}"/>
    <cellStyle name="Normal 14 3 2 3 4 2" xfId="39286" xr:uid="{00000000-0005-0000-0000-0000242F0000}"/>
    <cellStyle name="Normal 14 3 2 3 4 2 2" xfId="55386" xr:uid="{00000000-0005-0000-0000-0000252F0000}"/>
    <cellStyle name="Normal 14 3 2 3 4 3" xfId="45819" xr:uid="{00000000-0005-0000-0000-0000262F0000}"/>
    <cellStyle name="Normal 14 3 2 3 4 4" xfId="29719" xr:uid="{00000000-0005-0000-0000-0000272F0000}"/>
    <cellStyle name="Normal 14 3 2 3 4 5" xfId="20150" xr:uid="{00000000-0005-0000-0000-0000282F0000}"/>
    <cellStyle name="Normal 14 3 2 3 5" xfId="10581" xr:uid="{00000000-0005-0000-0000-0000292F0000}"/>
    <cellStyle name="Normal 14 3 2 3 5 2" xfId="48855" xr:uid="{00000000-0005-0000-0000-00002A2F0000}"/>
    <cellStyle name="Normal 14 3 2 3 5 3" xfId="32755" xr:uid="{00000000-0005-0000-0000-00002B2F0000}"/>
    <cellStyle name="Normal 14 3 2 3 5 4" xfId="23186" xr:uid="{00000000-0005-0000-0000-00002C2F0000}"/>
    <cellStyle name="Normal 14 3 2 3 6" xfId="4509" xr:uid="{00000000-0005-0000-0000-00002D2F0000}"/>
    <cellStyle name="Normal 14 3 2 3 6 2" xfId="52350" xr:uid="{00000000-0005-0000-0000-00002E2F0000}"/>
    <cellStyle name="Normal 14 3 2 3 6 3" xfId="36250" xr:uid="{00000000-0005-0000-0000-00002F2F0000}"/>
    <cellStyle name="Normal 14 3 2 3 6 4" xfId="17114" xr:uid="{00000000-0005-0000-0000-0000302F0000}"/>
    <cellStyle name="Normal 14 3 2 3 7" xfId="42783" xr:uid="{00000000-0005-0000-0000-0000312F0000}"/>
    <cellStyle name="Normal 14 3 2 3 8" xfId="26683" xr:uid="{00000000-0005-0000-0000-0000322F0000}"/>
    <cellStyle name="Normal 14 3 2 3 9" xfId="13619" xr:uid="{00000000-0005-0000-0000-0000332F0000}"/>
    <cellStyle name="Normal 14 3 2 4" xfId="2214" xr:uid="{00000000-0005-0000-0000-0000342F0000}"/>
    <cellStyle name="Normal 14 3 2 4 2" xfId="8748" xr:uid="{00000000-0005-0000-0000-0000352F0000}"/>
    <cellStyle name="Normal 14 3 2 4 2 2" xfId="40489" xr:uid="{00000000-0005-0000-0000-0000362F0000}"/>
    <cellStyle name="Normal 14 3 2 4 2 2 2" xfId="56589" xr:uid="{00000000-0005-0000-0000-0000372F0000}"/>
    <cellStyle name="Normal 14 3 2 4 2 3" xfId="47022" xr:uid="{00000000-0005-0000-0000-0000382F0000}"/>
    <cellStyle name="Normal 14 3 2 4 2 4" xfId="30922" xr:uid="{00000000-0005-0000-0000-0000392F0000}"/>
    <cellStyle name="Normal 14 3 2 4 2 5" xfId="21353" xr:uid="{00000000-0005-0000-0000-00003A2F0000}"/>
    <cellStyle name="Normal 14 3 2 4 3" xfId="11784" xr:uid="{00000000-0005-0000-0000-00003B2F0000}"/>
    <cellStyle name="Normal 14 3 2 4 3 2" xfId="50058" xr:uid="{00000000-0005-0000-0000-00003C2F0000}"/>
    <cellStyle name="Normal 14 3 2 4 3 3" xfId="33958" xr:uid="{00000000-0005-0000-0000-00003D2F0000}"/>
    <cellStyle name="Normal 14 3 2 4 3 4" xfId="24389" xr:uid="{00000000-0005-0000-0000-00003E2F0000}"/>
    <cellStyle name="Normal 14 3 2 4 4" xfId="5712" xr:uid="{00000000-0005-0000-0000-00003F2F0000}"/>
    <cellStyle name="Normal 14 3 2 4 4 2" xfId="53553" xr:uid="{00000000-0005-0000-0000-0000402F0000}"/>
    <cellStyle name="Normal 14 3 2 4 4 3" xfId="37453" xr:uid="{00000000-0005-0000-0000-0000412F0000}"/>
    <cellStyle name="Normal 14 3 2 4 4 4" xfId="18317" xr:uid="{00000000-0005-0000-0000-0000422F0000}"/>
    <cellStyle name="Normal 14 3 2 4 5" xfId="43986" xr:uid="{00000000-0005-0000-0000-0000432F0000}"/>
    <cellStyle name="Normal 14 3 2 4 6" xfId="27886" xr:uid="{00000000-0005-0000-0000-0000442F0000}"/>
    <cellStyle name="Normal 14 3 2 4 7" xfId="14822" xr:uid="{00000000-0005-0000-0000-0000452F0000}"/>
    <cellStyle name="Normal 14 3 2 5" xfId="1426" xr:uid="{00000000-0005-0000-0000-0000462F0000}"/>
    <cellStyle name="Normal 14 3 2 5 2" xfId="7960" xr:uid="{00000000-0005-0000-0000-0000472F0000}"/>
    <cellStyle name="Normal 14 3 2 5 2 2" xfId="39701" xr:uid="{00000000-0005-0000-0000-0000482F0000}"/>
    <cellStyle name="Normal 14 3 2 5 2 2 2" xfId="55801" xr:uid="{00000000-0005-0000-0000-0000492F0000}"/>
    <cellStyle name="Normal 14 3 2 5 2 3" xfId="46234" xr:uid="{00000000-0005-0000-0000-00004A2F0000}"/>
    <cellStyle name="Normal 14 3 2 5 2 4" xfId="30134" xr:uid="{00000000-0005-0000-0000-00004B2F0000}"/>
    <cellStyle name="Normal 14 3 2 5 2 5" xfId="20565" xr:uid="{00000000-0005-0000-0000-00004C2F0000}"/>
    <cellStyle name="Normal 14 3 2 5 3" xfId="10996" xr:uid="{00000000-0005-0000-0000-00004D2F0000}"/>
    <cellStyle name="Normal 14 3 2 5 3 2" xfId="49270" xr:uid="{00000000-0005-0000-0000-00004E2F0000}"/>
    <cellStyle name="Normal 14 3 2 5 3 3" xfId="33170" xr:uid="{00000000-0005-0000-0000-00004F2F0000}"/>
    <cellStyle name="Normal 14 3 2 5 3 4" xfId="23601" xr:uid="{00000000-0005-0000-0000-0000502F0000}"/>
    <cellStyle name="Normal 14 3 2 5 4" xfId="4924" xr:uid="{00000000-0005-0000-0000-0000512F0000}"/>
    <cellStyle name="Normal 14 3 2 5 4 2" xfId="52765" xr:uid="{00000000-0005-0000-0000-0000522F0000}"/>
    <cellStyle name="Normal 14 3 2 5 4 3" xfId="36665" xr:uid="{00000000-0005-0000-0000-0000532F0000}"/>
    <cellStyle name="Normal 14 3 2 5 4 4" xfId="17529" xr:uid="{00000000-0005-0000-0000-0000542F0000}"/>
    <cellStyle name="Normal 14 3 2 5 5" xfId="43198" xr:uid="{00000000-0005-0000-0000-0000552F0000}"/>
    <cellStyle name="Normal 14 3 2 5 6" xfId="27098" xr:uid="{00000000-0005-0000-0000-0000562F0000}"/>
    <cellStyle name="Normal 14 3 2 5 7" xfId="14034" xr:uid="{00000000-0005-0000-0000-0000572F0000}"/>
    <cellStyle name="Normal 14 3 2 6" xfId="3914" xr:uid="{00000000-0005-0000-0000-0000582F0000}"/>
    <cellStyle name="Normal 14 3 2 6 2" xfId="35655" xr:uid="{00000000-0005-0000-0000-0000592F0000}"/>
    <cellStyle name="Normal 14 3 2 6 2 2" xfId="51755" xr:uid="{00000000-0005-0000-0000-00005A2F0000}"/>
    <cellStyle name="Normal 14 3 2 6 3" xfId="42188" xr:uid="{00000000-0005-0000-0000-00005B2F0000}"/>
    <cellStyle name="Normal 14 3 2 6 4" xfId="26088" xr:uid="{00000000-0005-0000-0000-00005C2F0000}"/>
    <cellStyle name="Normal 14 3 2 6 5" xfId="16519" xr:uid="{00000000-0005-0000-0000-00005D2F0000}"/>
    <cellStyle name="Normal 14 3 2 7" xfId="6950" xr:uid="{00000000-0005-0000-0000-00005E2F0000}"/>
    <cellStyle name="Normal 14 3 2 7 2" xfId="38691" xr:uid="{00000000-0005-0000-0000-00005F2F0000}"/>
    <cellStyle name="Normal 14 3 2 7 2 2" xfId="54791" xr:uid="{00000000-0005-0000-0000-0000602F0000}"/>
    <cellStyle name="Normal 14 3 2 7 3" xfId="45224" xr:uid="{00000000-0005-0000-0000-0000612F0000}"/>
    <cellStyle name="Normal 14 3 2 7 4" xfId="29124" xr:uid="{00000000-0005-0000-0000-0000622F0000}"/>
    <cellStyle name="Normal 14 3 2 7 5" xfId="19555" xr:uid="{00000000-0005-0000-0000-0000632F0000}"/>
    <cellStyle name="Normal 14 3 2 8" xfId="9986" xr:uid="{00000000-0005-0000-0000-0000642F0000}"/>
    <cellStyle name="Normal 14 3 2 8 2" xfId="48260" xr:uid="{00000000-0005-0000-0000-0000652F0000}"/>
    <cellStyle name="Normal 14 3 2 8 3" xfId="32160" xr:uid="{00000000-0005-0000-0000-0000662F0000}"/>
    <cellStyle name="Normal 14 3 2 8 4" xfId="22591" xr:uid="{00000000-0005-0000-0000-0000672F0000}"/>
    <cellStyle name="Normal 14 3 2 9" xfId="3409" xr:uid="{00000000-0005-0000-0000-0000682F0000}"/>
    <cellStyle name="Normal 14 3 2 9 2" xfId="51250" xr:uid="{00000000-0005-0000-0000-0000692F0000}"/>
    <cellStyle name="Normal 14 3 2 9 3" xfId="35150" xr:uid="{00000000-0005-0000-0000-00006A2F0000}"/>
    <cellStyle name="Normal 14 3 2 9 4" xfId="16014" xr:uid="{00000000-0005-0000-0000-00006B2F0000}"/>
    <cellStyle name="Normal 14 3 3" xfId="301" xr:uid="{00000000-0005-0000-0000-00006C2F0000}"/>
    <cellStyle name="Normal 14 3 3 2" xfId="2320" xr:uid="{00000000-0005-0000-0000-00006D2F0000}"/>
    <cellStyle name="Normal 14 3 3 2 2" xfId="8854" xr:uid="{00000000-0005-0000-0000-00006E2F0000}"/>
    <cellStyle name="Normal 14 3 3 2 2 2" xfId="40595" xr:uid="{00000000-0005-0000-0000-00006F2F0000}"/>
    <cellStyle name="Normal 14 3 3 2 2 2 2" xfId="56695" xr:uid="{00000000-0005-0000-0000-0000702F0000}"/>
    <cellStyle name="Normal 14 3 3 2 2 3" xfId="47128" xr:uid="{00000000-0005-0000-0000-0000712F0000}"/>
    <cellStyle name="Normal 14 3 3 2 2 4" xfId="31028" xr:uid="{00000000-0005-0000-0000-0000722F0000}"/>
    <cellStyle name="Normal 14 3 3 2 2 5" xfId="21459" xr:uid="{00000000-0005-0000-0000-0000732F0000}"/>
    <cellStyle name="Normal 14 3 3 2 3" xfId="11890" xr:uid="{00000000-0005-0000-0000-0000742F0000}"/>
    <cellStyle name="Normal 14 3 3 2 3 2" xfId="50164" xr:uid="{00000000-0005-0000-0000-0000752F0000}"/>
    <cellStyle name="Normal 14 3 3 2 3 3" xfId="34064" xr:uid="{00000000-0005-0000-0000-0000762F0000}"/>
    <cellStyle name="Normal 14 3 3 2 3 4" xfId="24495" xr:uid="{00000000-0005-0000-0000-0000772F0000}"/>
    <cellStyle name="Normal 14 3 3 2 4" xfId="5818" xr:uid="{00000000-0005-0000-0000-0000782F0000}"/>
    <cellStyle name="Normal 14 3 3 2 4 2" xfId="53659" xr:uid="{00000000-0005-0000-0000-0000792F0000}"/>
    <cellStyle name="Normal 14 3 3 2 4 3" xfId="37559" xr:uid="{00000000-0005-0000-0000-00007A2F0000}"/>
    <cellStyle name="Normal 14 3 3 2 4 4" xfId="18423" xr:uid="{00000000-0005-0000-0000-00007B2F0000}"/>
    <cellStyle name="Normal 14 3 3 2 5" xfId="44092" xr:uid="{00000000-0005-0000-0000-00007C2F0000}"/>
    <cellStyle name="Normal 14 3 3 2 6" xfId="27992" xr:uid="{00000000-0005-0000-0000-00007D2F0000}"/>
    <cellStyle name="Normal 14 3 3 2 7" xfId="14928" xr:uid="{00000000-0005-0000-0000-00007E2F0000}"/>
    <cellStyle name="Normal 14 3 3 3" xfId="1532" xr:uid="{00000000-0005-0000-0000-00007F2F0000}"/>
    <cellStyle name="Normal 14 3 3 3 2" xfId="8066" xr:uid="{00000000-0005-0000-0000-0000802F0000}"/>
    <cellStyle name="Normal 14 3 3 3 2 2" xfId="39807" xr:uid="{00000000-0005-0000-0000-0000812F0000}"/>
    <cellStyle name="Normal 14 3 3 3 2 2 2" xfId="55907" xr:uid="{00000000-0005-0000-0000-0000822F0000}"/>
    <cellStyle name="Normal 14 3 3 3 2 3" xfId="46340" xr:uid="{00000000-0005-0000-0000-0000832F0000}"/>
    <cellStyle name="Normal 14 3 3 3 2 4" xfId="30240" xr:uid="{00000000-0005-0000-0000-0000842F0000}"/>
    <cellStyle name="Normal 14 3 3 3 2 5" xfId="20671" xr:uid="{00000000-0005-0000-0000-0000852F0000}"/>
    <cellStyle name="Normal 14 3 3 3 3" xfId="11102" xr:uid="{00000000-0005-0000-0000-0000862F0000}"/>
    <cellStyle name="Normal 14 3 3 3 3 2" xfId="49376" xr:uid="{00000000-0005-0000-0000-0000872F0000}"/>
    <cellStyle name="Normal 14 3 3 3 3 3" xfId="33276" xr:uid="{00000000-0005-0000-0000-0000882F0000}"/>
    <cellStyle name="Normal 14 3 3 3 3 4" xfId="23707" xr:uid="{00000000-0005-0000-0000-0000892F0000}"/>
    <cellStyle name="Normal 14 3 3 3 4" xfId="5030" xr:uid="{00000000-0005-0000-0000-00008A2F0000}"/>
    <cellStyle name="Normal 14 3 3 3 4 2" xfId="52871" xr:uid="{00000000-0005-0000-0000-00008B2F0000}"/>
    <cellStyle name="Normal 14 3 3 3 4 3" xfId="36771" xr:uid="{00000000-0005-0000-0000-00008C2F0000}"/>
    <cellStyle name="Normal 14 3 3 3 4 4" xfId="17635" xr:uid="{00000000-0005-0000-0000-00008D2F0000}"/>
    <cellStyle name="Normal 14 3 3 3 5" xfId="43304" xr:uid="{00000000-0005-0000-0000-00008E2F0000}"/>
    <cellStyle name="Normal 14 3 3 3 6" xfId="27204" xr:uid="{00000000-0005-0000-0000-00008F2F0000}"/>
    <cellStyle name="Normal 14 3 3 3 7" xfId="14140" xr:uid="{00000000-0005-0000-0000-0000902F0000}"/>
    <cellStyle name="Normal 14 3 3 4" xfId="7056" xr:uid="{00000000-0005-0000-0000-0000912F0000}"/>
    <cellStyle name="Normal 14 3 3 4 2" xfId="38797" xr:uid="{00000000-0005-0000-0000-0000922F0000}"/>
    <cellStyle name="Normal 14 3 3 4 2 2" xfId="54897" xr:uid="{00000000-0005-0000-0000-0000932F0000}"/>
    <cellStyle name="Normal 14 3 3 4 3" xfId="45330" xr:uid="{00000000-0005-0000-0000-0000942F0000}"/>
    <cellStyle name="Normal 14 3 3 4 4" xfId="29230" xr:uid="{00000000-0005-0000-0000-0000952F0000}"/>
    <cellStyle name="Normal 14 3 3 4 5" xfId="19661" xr:uid="{00000000-0005-0000-0000-0000962F0000}"/>
    <cellStyle name="Normal 14 3 3 5" xfId="10092" xr:uid="{00000000-0005-0000-0000-0000972F0000}"/>
    <cellStyle name="Normal 14 3 3 5 2" xfId="48366" xr:uid="{00000000-0005-0000-0000-0000982F0000}"/>
    <cellStyle name="Normal 14 3 3 5 3" xfId="32266" xr:uid="{00000000-0005-0000-0000-0000992F0000}"/>
    <cellStyle name="Normal 14 3 3 5 4" xfId="22697" xr:uid="{00000000-0005-0000-0000-00009A2F0000}"/>
    <cellStyle name="Normal 14 3 3 6" xfId="4020" xr:uid="{00000000-0005-0000-0000-00009B2F0000}"/>
    <cellStyle name="Normal 14 3 3 6 2" xfId="51861" xr:uid="{00000000-0005-0000-0000-00009C2F0000}"/>
    <cellStyle name="Normal 14 3 3 6 3" xfId="35761" xr:uid="{00000000-0005-0000-0000-00009D2F0000}"/>
    <cellStyle name="Normal 14 3 3 6 4" xfId="16625" xr:uid="{00000000-0005-0000-0000-00009E2F0000}"/>
    <cellStyle name="Normal 14 3 3 7" xfId="42294" xr:uid="{00000000-0005-0000-0000-00009F2F0000}"/>
    <cellStyle name="Normal 14 3 3 8" xfId="26194" xr:uid="{00000000-0005-0000-0000-0000A02F0000}"/>
    <cellStyle name="Normal 14 3 3 9" xfId="13130" xr:uid="{00000000-0005-0000-0000-0000A12F0000}"/>
    <cellStyle name="Normal 14 3 4" xfId="559" xr:uid="{00000000-0005-0000-0000-0000A22F0000}"/>
    <cellStyle name="Normal 14 3 4 2" xfId="2588" xr:uid="{00000000-0005-0000-0000-0000A32F0000}"/>
    <cellStyle name="Normal 14 3 4 2 2" xfId="9120" xr:uid="{00000000-0005-0000-0000-0000A42F0000}"/>
    <cellStyle name="Normal 14 3 4 2 2 2" xfId="40861" xr:uid="{00000000-0005-0000-0000-0000A52F0000}"/>
    <cellStyle name="Normal 14 3 4 2 2 2 2" xfId="56961" xr:uid="{00000000-0005-0000-0000-0000A62F0000}"/>
    <cellStyle name="Normal 14 3 4 2 2 3" xfId="47394" xr:uid="{00000000-0005-0000-0000-0000A72F0000}"/>
    <cellStyle name="Normal 14 3 4 2 2 4" xfId="31294" xr:uid="{00000000-0005-0000-0000-0000A82F0000}"/>
    <cellStyle name="Normal 14 3 4 2 2 5" xfId="21725" xr:uid="{00000000-0005-0000-0000-0000A92F0000}"/>
    <cellStyle name="Normal 14 3 4 2 3" xfId="12156" xr:uid="{00000000-0005-0000-0000-0000AA2F0000}"/>
    <cellStyle name="Normal 14 3 4 2 3 2" xfId="50430" xr:uid="{00000000-0005-0000-0000-0000AB2F0000}"/>
    <cellStyle name="Normal 14 3 4 2 3 3" xfId="34330" xr:uid="{00000000-0005-0000-0000-0000AC2F0000}"/>
    <cellStyle name="Normal 14 3 4 2 3 4" xfId="24761" xr:uid="{00000000-0005-0000-0000-0000AD2F0000}"/>
    <cellStyle name="Normal 14 3 4 2 4" xfId="6084" xr:uid="{00000000-0005-0000-0000-0000AE2F0000}"/>
    <cellStyle name="Normal 14 3 4 2 4 2" xfId="53925" xr:uid="{00000000-0005-0000-0000-0000AF2F0000}"/>
    <cellStyle name="Normal 14 3 4 2 4 3" xfId="37825" xr:uid="{00000000-0005-0000-0000-0000B02F0000}"/>
    <cellStyle name="Normal 14 3 4 2 4 4" xfId="18689" xr:uid="{00000000-0005-0000-0000-0000B12F0000}"/>
    <cellStyle name="Normal 14 3 4 2 5" xfId="44358" xr:uid="{00000000-0005-0000-0000-0000B22F0000}"/>
    <cellStyle name="Normal 14 3 4 2 6" xfId="28258" xr:uid="{00000000-0005-0000-0000-0000B32F0000}"/>
    <cellStyle name="Normal 14 3 4 2 7" xfId="15194" xr:uid="{00000000-0005-0000-0000-0000B42F0000}"/>
    <cellStyle name="Normal 14 3 4 3" xfId="1355" xr:uid="{00000000-0005-0000-0000-0000B52F0000}"/>
    <cellStyle name="Normal 14 3 4 3 2" xfId="7889" xr:uid="{00000000-0005-0000-0000-0000B62F0000}"/>
    <cellStyle name="Normal 14 3 4 3 2 2" xfId="39630" xr:uid="{00000000-0005-0000-0000-0000B72F0000}"/>
    <cellStyle name="Normal 14 3 4 3 2 2 2" xfId="55730" xr:uid="{00000000-0005-0000-0000-0000B82F0000}"/>
    <cellStyle name="Normal 14 3 4 3 2 3" xfId="46163" xr:uid="{00000000-0005-0000-0000-0000B92F0000}"/>
    <cellStyle name="Normal 14 3 4 3 2 4" xfId="30063" xr:uid="{00000000-0005-0000-0000-0000BA2F0000}"/>
    <cellStyle name="Normal 14 3 4 3 2 5" xfId="20494" xr:uid="{00000000-0005-0000-0000-0000BB2F0000}"/>
    <cellStyle name="Normal 14 3 4 3 3" xfId="10925" xr:uid="{00000000-0005-0000-0000-0000BC2F0000}"/>
    <cellStyle name="Normal 14 3 4 3 3 2" xfId="49199" xr:uid="{00000000-0005-0000-0000-0000BD2F0000}"/>
    <cellStyle name="Normal 14 3 4 3 3 3" xfId="33099" xr:uid="{00000000-0005-0000-0000-0000BE2F0000}"/>
    <cellStyle name="Normal 14 3 4 3 3 4" xfId="23530" xr:uid="{00000000-0005-0000-0000-0000BF2F0000}"/>
    <cellStyle name="Normal 14 3 4 3 4" xfId="4853" xr:uid="{00000000-0005-0000-0000-0000C02F0000}"/>
    <cellStyle name="Normal 14 3 4 3 4 2" xfId="52694" xr:uid="{00000000-0005-0000-0000-0000C12F0000}"/>
    <cellStyle name="Normal 14 3 4 3 4 3" xfId="36594" xr:uid="{00000000-0005-0000-0000-0000C22F0000}"/>
    <cellStyle name="Normal 14 3 4 3 4 4" xfId="17458" xr:uid="{00000000-0005-0000-0000-0000C32F0000}"/>
    <cellStyle name="Normal 14 3 4 3 5" xfId="43127" xr:uid="{00000000-0005-0000-0000-0000C42F0000}"/>
    <cellStyle name="Normal 14 3 4 3 6" xfId="27027" xr:uid="{00000000-0005-0000-0000-0000C52F0000}"/>
    <cellStyle name="Normal 14 3 4 3 7" xfId="13963" xr:uid="{00000000-0005-0000-0000-0000C62F0000}"/>
    <cellStyle name="Normal 14 3 4 4" xfId="6879" xr:uid="{00000000-0005-0000-0000-0000C72F0000}"/>
    <cellStyle name="Normal 14 3 4 4 2" xfId="38620" xr:uid="{00000000-0005-0000-0000-0000C82F0000}"/>
    <cellStyle name="Normal 14 3 4 4 2 2" xfId="54720" xr:uid="{00000000-0005-0000-0000-0000C92F0000}"/>
    <cellStyle name="Normal 14 3 4 4 3" xfId="45153" xr:uid="{00000000-0005-0000-0000-0000CA2F0000}"/>
    <cellStyle name="Normal 14 3 4 4 4" xfId="29053" xr:uid="{00000000-0005-0000-0000-0000CB2F0000}"/>
    <cellStyle name="Normal 14 3 4 4 5" xfId="19484" xr:uid="{00000000-0005-0000-0000-0000CC2F0000}"/>
    <cellStyle name="Normal 14 3 4 5" xfId="9915" xr:uid="{00000000-0005-0000-0000-0000CD2F0000}"/>
    <cellStyle name="Normal 14 3 4 5 2" xfId="48189" xr:uid="{00000000-0005-0000-0000-0000CE2F0000}"/>
    <cellStyle name="Normal 14 3 4 5 3" xfId="32089" xr:uid="{00000000-0005-0000-0000-0000CF2F0000}"/>
    <cellStyle name="Normal 14 3 4 5 4" xfId="22520" xr:uid="{00000000-0005-0000-0000-0000D02F0000}"/>
    <cellStyle name="Normal 14 3 4 6" xfId="3843" xr:uid="{00000000-0005-0000-0000-0000D12F0000}"/>
    <cellStyle name="Normal 14 3 4 6 2" xfId="51684" xr:uid="{00000000-0005-0000-0000-0000D22F0000}"/>
    <cellStyle name="Normal 14 3 4 6 3" xfId="35584" xr:uid="{00000000-0005-0000-0000-0000D32F0000}"/>
    <cellStyle name="Normal 14 3 4 6 4" xfId="16448" xr:uid="{00000000-0005-0000-0000-0000D42F0000}"/>
    <cellStyle name="Normal 14 3 4 7" xfId="42117" xr:uid="{00000000-0005-0000-0000-0000D52F0000}"/>
    <cellStyle name="Normal 14 3 4 8" xfId="26017" xr:uid="{00000000-0005-0000-0000-0000D62F0000}"/>
    <cellStyle name="Normal 14 3 4 9" xfId="12953" xr:uid="{00000000-0005-0000-0000-0000D72F0000}"/>
    <cellStyle name="Normal 14 3 5" xfId="816" xr:uid="{00000000-0005-0000-0000-0000D82F0000}"/>
    <cellStyle name="Normal 14 3 5 2" xfId="2844" xr:uid="{00000000-0005-0000-0000-0000D92F0000}"/>
    <cellStyle name="Normal 14 3 5 2 2" xfId="9376" xr:uid="{00000000-0005-0000-0000-0000DA2F0000}"/>
    <cellStyle name="Normal 14 3 5 2 2 2" xfId="41117" xr:uid="{00000000-0005-0000-0000-0000DB2F0000}"/>
    <cellStyle name="Normal 14 3 5 2 2 2 2" xfId="57217" xr:uid="{00000000-0005-0000-0000-0000DC2F0000}"/>
    <cellStyle name="Normal 14 3 5 2 2 3" xfId="47650" xr:uid="{00000000-0005-0000-0000-0000DD2F0000}"/>
    <cellStyle name="Normal 14 3 5 2 2 4" xfId="31550" xr:uid="{00000000-0005-0000-0000-0000DE2F0000}"/>
    <cellStyle name="Normal 14 3 5 2 2 5" xfId="21981" xr:uid="{00000000-0005-0000-0000-0000DF2F0000}"/>
    <cellStyle name="Normal 14 3 5 2 3" xfId="12412" xr:uid="{00000000-0005-0000-0000-0000E02F0000}"/>
    <cellStyle name="Normal 14 3 5 2 3 2" xfId="50686" xr:uid="{00000000-0005-0000-0000-0000E12F0000}"/>
    <cellStyle name="Normal 14 3 5 2 3 3" xfId="34586" xr:uid="{00000000-0005-0000-0000-0000E22F0000}"/>
    <cellStyle name="Normal 14 3 5 2 3 4" xfId="25017" xr:uid="{00000000-0005-0000-0000-0000E32F0000}"/>
    <cellStyle name="Normal 14 3 5 2 4" xfId="6340" xr:uid="{00000000-0005-0000-0000-0000E42F0000}"/>
    <cellStyle name="Normal 14 3 5 2 4 2" xfId="54181" xr:uid="{00000000-0005-0000-0000-0000E52F0000}"/>
    <cellStyle name="Normal 14 3 5 2 4 3" xfId="38081" xr:uid="{00000000-0005-0000-0000-0000E62F0000}"/>
    <cellStyle name="Normal 14 3 5 2 4 4" xfId="18945" xr:uid="{00000000-0005-0000-0000-0000E72F0000}"/>
    <cellStyle name="Normal 14 3 5 2 5" xfId="44614" xr:uid="{00000000-0005-0000-0000-0000E82F0000}"/>
    <cellStyle name="Normal 14 3 5 2 6" xfId="28514" xr:uid="{00000000-0005-0000-0000-0000E92F0000}"/>
    <cellStyle name="Normal 14 3 5 2 7" xfId="15450" xr:uid="{00000000-0005-0000-0000-0000EA2F0000}"/>
    <cellStyle name="Normal 14 3 5 3" xfId="1826" xr:uid="{00000000-0005-0000-0000-0000EB2F0000}"/>
    <cellStyle name="Normal 14 3 5 3 2" xfId="8360" xr:uid="{00000000-0005-0000-0000-0000EC2F0000}"/>
    <cellStyle name="Normal 14 3 5 3 2 2" xfId="40101" xr:uid="{00000000-0005-0000-0000-0000ED2F0000}"/>
    <cellStyle name="Normal 14 3 5 3 2 2 2" xfId="56201" xr:uid="{00000000-0005-0000-0000-0000EE2F0000}"/>
    <cellStyle name="Normal 14 3 5 3 2 3" xfId="46634" xr:uid="{00000000-0005-0000-0000-0000EF2F0000}"/>
    <cellStyle name="Normal 14 3 5 3 2 4" xfId="30534" xr:uid="{00000000-0005-0000-0000-0000F02F0000}"/>
    <cellStyle name="Normal 14 3 5 3 2 5" xfId="20965" xr:uid="{00000000-0005-0000-0000-0000F12F0000}"/>
    <cellStyle name="Normal 14 3 5 3 3" xfId="11396" xr:uid="{00000000-0005-0000-0000-0000F22F0000}"/>
    <cellStyle name="Normal 14 3 5 3 3 2" xfId="49670" xr:uid="{00000000-0005-0000-0000-0000F32F0000}"/>
    <cellStyle name="Normal 14 3 5 3 3 3" xfId="33570" xr:uid="{00000000-0005-0000-0000-0000F42F0000}"/>
    <cellStyle name="Normal 14 3 5 3 3 4" xfId="24001" xr:uid="{00000000-0005-0000-0000-0000F52F0000}"/>
    <cellStyle name="Normal 14 3 5 3 4" xfId="5324" xr:uid="{00000000-0005-0000-0000-0000F62F0000}"/>
    <cellStyle name="Normal 14 3 5 3 4 2" xfId="53165" xr:uid="{00000000-0005-0000-0000-0000F72F0000}"/>
    <cellStyle name="Normal 14 3 5 3 4 3" xfId="37065" xr:uid="{00000000-0005-0000-0000-0000F82F0000}"/>
    <cellStyle name="Normal 14 3 5 3 4 4" xfId="17929" xr:uid="{00000000-0005-0000-0000-0000F92F0000}"/>
    <cellStyle name="Normal 14 3 5 3 5" xfId="43598" xr:uid="{00000000-0005-0000-0000-0000FA2F0000}"/>
    <cellStyle name="Normal 14 3 5 3 6" xfId="27498" xr:uid="{00000000-0005-0000-0000-0000FB2F0000}"/>
    <cellStyle name="Normal 14 3 5 3 7" xfId="14434" xr:uid="{00000000-0005-0000-0000-0000FC2F0000}"/>
    <cellStyle name="Normal 14 3 5 4" xfId="7350" xr:uid="{00000000-0005-0000-0000-0000FD2F0000}"/>
    <cellStyle name="Normal 14 3 5 4 2" xfId="39091" xr:uid="{00000000-0005-0000-0000-0000FE2F0000}"/>
    <cellStyle name="Normal 14 3 5 4 2 2" xfId="55191" xr:uid="{00000000-0005-0000-0000-0000FF2F0000}"/>
    <cellStyle name="Normal 14 3 5 4 3" xfId="45624" xr:uid="{00000000-0005-0000-0000-000000300000}"/>
    <cellStyle name="Normal 14 3 5 4 4" xfId="29524" xr:uid="{00000000-0005-0000-0000-000001300000}"/>
    <cellStyle name="Normal 14 3 5 4 5" xfId="19955" xr:uid="{00000000-0005-0000-0000-000002300000}"/>
    <cellStyle name="Normal 14 3 5 5" xfId="10386" xr:uid="{00000000-0005-0000-0000-000003300000}"/>
    <cellStyle name="Normal 14 3 5 5 2" xfId="48660" xr:uid="{00000000-0005-0000-0000-000004300000}"/>
    <cellStyle name="Normal 14 3 5 5 3" xfId="32560" xr:uid="{00000000-0005-0000-0000-000005300000}"/>
    <cellStyle name="Normal 14 3 5 5 4" xfId="22991" xr:uid="{00000000-0005-0000-0000-000006300000}"/>
    <cellStyle name="Normal 14 3 5 6" xfId="4314" xr:uid="{00000000-0005-0000-0000-000007300000}"/>
    <cellStyle name="Normal 14 3 5 6 2" xfId="52155" xr:uid="{00000000-0005-0000-0000-000008300000}"/>
    <cellStyle name="Normal 14 3 5 6 3" xfId="36055" xr:uid="{00000000-0005-0000-0000-000009300000}"/>
    <cellStyle name="Normal 14 3 5 6 4" xfId="16919" xr:uid="{00000000-0005-0000-0000-00000A300000}"/>
    <cellStyle name="Normal 14 3 5 7" xfId="42588" xr:uid="{00000000-0005-0000-0000-00000B300000}"/>
    <cellStyle name="Normal 14 3 5 8" xfId="26488" xr:uid="{00000000-0005-0000-0000-00000C300000}"/>
    <cellStyle name="Normal 14 3 5 9" xfId="13424" xr:uid="{00000000-0005-0000-0000-00000D300000}"/>
    <cellStyle name="Normal 14 3 6" xfId="2143" xr:uid="{00000000-0005-0000-0000-00000E300000}"/>
    <cellStyle name="Normal 14 3 6 2" xfId="8677" xr:uid="{00000000-0005-0000-0000-00000F300000}"/>
    <cellStyle name="Normal 14 3 6 2 2" xfId="40418" xr:uid="{00000000-0005-0000-0000-000010300000}"/>
    <cellStyle name="Normal 14 3 6 2 2 2" xfId="56518" xr:uid="{00000000-0005-0000-0000-000011300000}"/>
    <cellStyle name="Normal 14 3 6 2 3" xfId="46951" xr:uid="{00000000-0005-0000-0000-000012300000}"/>
    <cellStyle name="Normal 14 3 6 2 4" xfId="30851" xr:uid="{00000000-0005-0000-0000-000013300000}"/>
    <cellStyle name="Normal 14 3 6 2 5" xfId="21282" xr:uid="{00000000-0005-0000-0000-000014300000}"/>
    <cellStyle name="Normal 14 3 6 3" xfId="11713" xr:uid="{00000000-0005-0000-0000-000015300000}"/>
    <cellStyle name="Normal 14 3 6 3 2" xfId="49987" xr:uid="{00000000-0005-0000-0000-000016300000}"/>
    <cellStyle name="Normal 14 3 6 3 3" xfId="33887" xr:uid="{00000000-0005-0000-0000-000017300000}"/>
    <cellStyle name="Normal 14 3 6 3 4" xfId="24318" xr:uid="{00000000-0005-0000-0000-000018300000}"/>
    <cellStyle name="Normal 14 3 6 4" xfId="5641" xr:uid="{00000000-0005-0000-0000-000019300000}"/>
    <cellStyle name="Normal 14 3 6 4 2" xfId="53482" xr:uid="{00000000-0005-0000-0000-00001A300000}"/>
    <cellStyle name="Normal 14 3 6 4 3" xfId="37382" xr:uid="{00000000-0005-0000-0000-00001B300000}"/>
    <cellStyle name="Normal 14 3 6 4 4" xfId="18246" xr:uid="{00000000-0005-0000-0000-00001C300000}"/>
    <cellStyle name="Normal 14 3 6 5" xfId="43915" xr:uid="{00000000-0005-0000-0000-00001D300000}"/>
    <cellStyle name="Normal 14 3 6 6" xfId="27815" xr:uid="{00000000-0005-0000-0000-00001E300000}"/>
    <cellStyle name="Normal 14 3 6 7" xfId="14751" xr:uid="{00000000-0005-0000-0000-00001F300000}"/>
    <cellStyle name="Normal 14 3 7" xfId="1143" xr:uid="{00000000-0005-0000-0000-000020300000}"/>
    <cellStyle name="Normal 14 3 7 2" xfId="7677" xr:uid="{00000000-0005-0000-0000-000021300000}"/>
    <cellStyle name="Normal 14 3 7 2 2" xfId="39418" xr:uid="{00000000-0005-0000-0000-000022300000}"/>
    <cellStyle name="Normal 14 3 7 2 2 2" xfId="55518" xr:uid="{00000000-0005-0000-0000-000023300000}"/>
    <cellStyle name="Normal 14 3 7 2 3" xfId="45951" xr:uid="{00000000-0005-0000-0000-000024300000}"/>
    <cellStyle name="Normal 14 3 7 2 4" xfId="29851" xr:uid="{00000000-0005-0000-0000-000025300000}"/>
    <cellStyle name="Normal 14 3 7 2 5" xfId="20282" xr:uid="{00000000-0005-0000-0000-000026300000}"/>
    <cellStyle name="Normal 14 3 7 3" xfId="10713" xr:uid="{00000000-0005-0000-0000-000027300000}"/>
    <cellStyle name="Normal 14 3 7 3 2" xfId="48987" xr:uid="{00000000-0005-0000-0000-000028300000}"/>
    <cellStyle name="Normal 14 3 7 3 3" xfId="32887" xr:uid="{00000000-0005-0000-0000-000029300000}"/>
    <cellStyle name="Normal 14 3 7 3 4" xfId="23318" xr:uid="{00000000-0005-0000-0000-00002A300000}"/>
    <cellStyle name="Normal 14 3 7 4" xfId="4641" xr:uid="{00000000-0005-0000-0000-00002B300000}"/>
    <cellStyle name="Normal 14 3 7 4 2" xfId="52482" xr:uid="{00000000-0005-0000-0000-00002C300000}"/>
    <cellStyle name="Normal 14 3 7 4 3" xfId="36382" xr:uid="{00000000-0005-0000-0000-00002D300000}"/>
    <cellStyle name="Normal 14 3 7 4 4" xfId="17246" xr:uid="{00000000-0005-0000-0000-00002E300000}"/>
    <cellStyle name="Normal 14 3 7 5" xfId="42915" xr:uid="{00000000-0005-0000-0000-00002F300000}"/>
    <cellStyle name="Normal 14 3 7 6" xfId="26815" xr:uid="{00000000-0005-0000-0000-000030300000}"/>
    <cellStyle name="Normal 14 3 7 7" xfId="13751" xr:uid="{00000000-0005-0000-0000-000031300000}"/>
    <cellStyle name="Normal 14 3 8" xfId="3631" xr:uid="{00000000-0005-0000-0000-000032300000}"/>
    <cellStyle name="Normal 14 3 8 2" xfId="35372" xr:uid="{00000000-0005-0000-0000-000033300000}"/>
    <cellStyle name="Normal 14 3 8 2 2" xfId="51472" xr:uid="{00000000-0005-0000-0000-000034300000}"/>
    <cellStyle name="Normal 14 3 8 3" xfId="41905" xr:uid="{00000000-0005-0000-0000-000035300000}"/>
    <cellStyle name="Normal 14 3 8 4" xfId="25805" xr:uid="{00000000-0005-0000-0000-000036300000}"/>
    <cellStyle name="Normal 14 3 8 5" xfId="16236" xr:uid="{00000000-0005-0000-0000-000037300000}"/>
    <cellStyle name="Normal 14 3 9" xfId="6667" xr:uid="{00000000-0005-0000-0000-000038300000}"/>
    <cellStyle name="Normal 14 3 9 2" xfId="38408" xr:uid="{00000000-0005-0000-0000-000039300000}"/>
    <cellStyle name="Normal 14 3 9 2 2" xfId="54508" xr:uid="{00000000-0005-0000-0000-00003A300000}"/>
    <cellStyle name="Normal 14 3 9 3" xfId="44941" xr:uid="{00000000-0005-0000-0000-00003B300000}"/>
    <cellStyle name="Normal 14 3 9 4" xfId="28841" xr:uid="{00000000-0005-0000-0000-00003C300000}"/>
    <cellStyle name="Normal 14 3 9 5" xfId="19272" xr:uid="{00000000-0005-0000-0000-00003D300000}"/>
    <cellStyle name="Normal 14 4" xfId="84" xr:uid="{00000000-0005-0000-0000-00003E300000}"/>
    <cellStyle name="Normal 14 4 10" xfId="3188" xr:uid="{00000000-0005-0000-0000-00003F300000}"/>
    <cellStyle name="Normal 14 4 10 2" xfId="51030" xr:uid="{00000000-0005-0000-0000-000040300000}"/>
    <cellStyle name="Normal 14 4 10 3" xfId="34930" xr:uid="{00000000-0005-0000-0000-000041300000}"/>
    <cellStyle name="Normal 14 4 10 4" xfId="15794" xr:uid="{00000000-0005-0000-0000-000042300000}"/>
    <cellStyle name="Normal 14 4 11" xfId="41463" xr:uid="{00000000-0005-0000-0000-000043300000}"/>
    <cellStyle name="Normal 14 4 12" xfId="25363" xr:uid="{00000000-0005-0000-0000-000044300000}"/>
    <cellStyle name="Normal 14 4 13" xfId="12758" xr:uid="{00000000-0005-0000-0000-000045300000}"/>
    <cellStyle name="Normal 14 4 2" xfId="265" xr:uid="{00000000-0005-0000-0000-000046300000}"/>
    <cellStyle name="Normal 14 4 2 10" xfId="25600" xr:uid="{00000000-0005-0000-0000-000047300000}"/>
    <cellStyle name="Normal 14 4 2 11" xfId="13094" xr:uid="{00000000-0005-0000-0000-000048300000}"/>
    <cellStyle name="Normal 14 4 2 2" xfId="1045" xr:uid="{00000000-0005-0000-0000-000049300000}"/>
    <cellStyle name="Normal 14 4 2 2 2" xfId="3073" xr:uid="{00000000-0005-0000-0000-00004A300000}"/>
    <cellStyle name="Normal 14 4 2 2 2 2" xfId="9605" xr:uid="{00000000-0005-0000-0000-00004B300000}"/>
    <cellStyle name="Normal 14 4 2 2 2 2 2" xfId="41346" xr:uid="{00000000-0005-0000-0000-00004C300000}"/>
    <cellStyle name="Normal 14 4 2 2 2 2 2 2" xfId="57446" xr:uid="{00000000-0005-0000-0000-00004D300000}"/>
    <cellStyle name="Normal 14 4 2 2 2 2 3" xfId="47879" xr:uid="{00000000-0005-0000-0000-00004E300000}"/>
    <cellStyle name="Normal 14 4 2 2 2 2 4" xfId="31779" xr:uid="{00000000-0005-0000-0000-00004F300000}"/>
    <cellStyle name="Normal 14 4 2 2 2 2 5" xfId="22210" xr:uid="{00000000-0005-0000-0000-000050300000}"/>
    <cellStyle name="Normal 14 4 2 2 2 3" xfId="12641" xr:uid="{00000000-0005-0000-0000-000051300000}"/>
    <cellStyle name="Normal 14 4 2 2 2 3 2" xfId="50915" xr:uid="{00000000-0005-0000-0000-000052300000}"/>
    <cellStyle name="Normal 14 4 2 2 2 3 3" xfId="34815" xr:uid="{00000000-0005-0000-0000-000053300000}"/>
    <cellStyle name="Normal 14 4 2 2 2 3 4" xfId="25246" xr:uid="{00000000-0005-0000-0000-000054300000}"/>
    <cellStyle name="Normal 14 4 2 2 2 4" xfId="6569" xr:uid="{00000000-0005-0000-0000-000055300000}"/>
    <cellStyle name="Normal 14 4 2 2 2 4 2" xfId="54410" xr:uid="{00000000-0005-0000-0000-000056300000}"/>
    <cellStyle name="Normal 14 4 2 2 2 4 3" xfId="38310" xr:uid="{00000000-0005-0000-0000-000057300000}"/>
    <cellStyle name="Normal 14 4 2 2 2 4 4" xfId="19174" xr:uid="{00000000-0005-0000-0000-000058300000}"/>
    <cellStyle name="Normal 14 4 2 2 2 5" xfId="44843" xr:uid="{00000000-0005-0000-0000-000059300000}"/>
    <cellStyle name="Normal 14 4 2 2 2 6" xfId="28743" xr:uid="{00000000-0005-0000-0000-00005A300000}"/>
    <cellStyle name="Normal 14 4 2 2 2 7" xfId="15679" xr:uid="{00000000-0005-0000-0000-00005B300000}"/>
    <cellStyle name="Normal 14 4 2 2 3" xfId="2055" xr:uid="{00000000-0005-0000-0000-00005C300000}"/>
    <cellStyle name="Normal 14 4 2 2 3 2" xfId="8589" xr:uid="{00000000-0005-0000-0000-00005D300000}"/>
    <cellStyle name="Normal 14 4 2 2 3 2 2" xfId="40330" xr:uid="{00000000-0005-0000-0000-00005E300000}"/>
    <cellStyle name="Normal 14 4 2 2 3 2 2 2" xfId="56430" xr:uid="{00000000-0005-0000-0000-00005F300000}"/>
    <cellStyle name="Normal 14 4 2 2 3 2 3" xfId="46863" xr:uid="{00000000-0005-0000-0000-000060300000}"/>
    <cellStyle name="Normal 14 4 2 2 3 2 4" xfId="30763" xr:uid="{00000000-0005-0000-0000-000061300000}"/>
    <cellStyle name="Normal 14 4 2 2 3 2 5" xfId="21194" xr:uid="{00000000-0005-0000-0000-000062300000}"/>
    <cellStyle name="Normal 14 4 2 2 3 3" xfId="11625" xr:uid="{00000000-0005-0000-0000-000063300000}"/>
    <cellStyle name="Normal 14 4 2 2 3 3 2" xfId="49899" xr:uid="{00000000-0005-0000-0000-000064300000}"/>
    <cellStyle name="Normal 14 4 2 2 3 3 3" xfId="33799" xr:uid="{00000000-0005-0000-0000-000065300000}"/>
    <cellStyle name="Normal 14 4 2 2 3 3 4" xfId="24230" xr:uid="{00000000-0005-0000-0000-000066300000}"/>
    <cellStyle name="Normal 14 4 2 2 3 4" xfId="5553" xr:uid="{00000000-0005-0000-0000-000067300000}"/>
    <cellStyle name="Normal 14 4 2 2 3 4 2" xfId="53394" xr:uid="{00000000-0005-0000-0000-000068300000}"/>
    <cellStyle name="Normal 14 4 2 2 3 4 3" xfId="37294" xr:uid="{00000000-0005-0000-0000-000069300000}"/>
    <cellStyle name="Normal 14 4 2 2 3 4 4" xfId="18158" xr:uid="{00000000-0005-0000-0000-00006A300000}"/>
    <cellStyle name="Normal 14 4 2 2 3 5" xfId="43827" xr:uid="{00000000-0005-0000-0000-00006B300000}"/>
    <cellStyle name="Normal 14 4 2 2 3 6" xfId="27727" xr:uid="{00000000-0005-0000-0000-00006C300000}"/>
    <cellStyle name="Normal 14 4 2 2 3 7" xfId="14663" xr:uid="{00000000-0005-0000-0000-00006D300000}"/>
    <cellStyle name="Normal 14 4 2 2 4" xfId="7579" xr:uid="{00000000-0005-0000-0000-00006E300000}"/>
    <cellStyle name="Normal 14 4 2 2 4 2" xfId="39320" xr:uid="{00000000-0005-0000-0000-00006F300000}"/>
    <cellStyle name="Normal 14 4 2 2 4 2 2" xfId="55420" xr:uid="{00000000-0005-0000-0000-000070300000}"/>
    <cellStyle name="Normal 14 4 2 2 4 3" xfId="45853" xr:uid="{00000000-0005-0000-0000-000071300000}"/>
    <cellStyle name="Normal 14 4 2 2 4 4" xfId="29753" xr:uid="{00000000-0005-0000-0000-000072300000}"/>
    <cellStyle name="Normal 14 4 2 2 4 5" xfId="20184" xr:uid="{00000000-0005-0000-0000-000073300000}"/>
    <cellStyle name="Normal 14 4 2 2 5" xfId="10615" xr:uid="{00000000-0005-0000-0000-000074300000}"/>
    <cellStyle name="Normal 14 4 2 2 5 2" xfId="48889" xr:uid="{00000000-0005-0000-0000-000075300000}"/>
    <cellStyle name="Normal 14 4 2 2 5 3" xfId="32789" xr:uid="{00000000-0005-0000-0000-000076300000}"/>
    <cellStyle name="Normal 14 4 2 2 5 4" xfId="23220" xr:uid="{00000000-0005-0000-0000-000077300000}"/>
    <cellStyle name="Normal 14 4 2 2 6" xfId="4543" xr:uid="{00000000-0005-0000-0000-000078300000}"/>
    <cellStyle name="Normal 14 4 2 2 6 2" xfId="52384" xr:uid="{00000000-0005-0000-0000-000079300000}"/>
    <cellStyle name="Normal 14 4 2 2 6 3" xfId="36284" xr:uid="{00000000-0005-0000-0000-00007A300000}"/>
    <cellStyle name="Normal 14 4 2 2 6 4" xfId="17148" xr:uid="{00000000-0005-0000-0000-00007B300000}"/>
    <cellStyle name="Normal 14 4 2 2 7" xfId="42817" xr:uid="{00000000-0005-0000-0000-00007C300000}"/>
    <cellStyle name="Normal 14 4 2 2 8" xfId="26717" xr:uid="{00000000-0005-0000-0000-00007D300000}"/>
    <cellStyle name="Normal 14 4 2 2 9" xfId="13653" xr:uid="{00000000-0005-0000-0000-00007E300000}"/>
    <cellStyle name="Normal 14 4 2 3" xfId="2284" xr:uid="{00000000-0005-0000-0000-00007F300000}"/>
    <cellStyle name="Normal 14 4 2 3 2" xfId="8818" xr:uid="{00000000-0005-0000-0000-000080300000}"/>
    <cellStyle name="Normal 14 4 2 3 2 2" xfId="40559" xr:uid="{00000000-0005-0000-0000-000081300000}"/>
    <cellStyle name="Normal 14 4 2 3 2 2 2" xfId="56659" xr:uid="{00000000-0005-0000-0000-000082300000}"/>
    <cellStyle name="Normal 14 4 2 3 2 3" xfId="47092" xr:uid="{00000000-0005-0000-0000-000083300000}"/>
    <cellStyle name="Normal 14 4 2 3 2 4" xfId="30992" xr:uid="{00000000-0005-0000-0000-000084300000}"/>
    <cellStyle name="Normal 14 4 2 3 2 5" xfId="21423" xr:uid="{00000000-0005-0000-0000-000085300000}"/>
    <cellStyle name="Normal 14 4 2 3 3" xfId="11854" xr:uid="{00000000-0005-0000-0000-000086300000}"/>
    <cellStyle name="Normal 14 4 2 3 3 2" xfId="50128" xr:uid="{00000000-0005-0000-0000-000087300000}"/>
    <cellStyle name="Normal 14 4 2 3 3 3" xfId="34028" xr:uid="{00000000-0005-0000-0000-000088300000}"/>
    <cellStyle name="Normal 14 4 2 3 3 4" xfId="24459" xr:uid="{00000000-0005-0000-0000-000089300000}"/>
    <cellStyle name="Normal 14 4 2 3 4" xfId="5782" xr:uid="{00000000-0005-0000-0000-00008A300000}"/>
    <cellStyle name="Normal 14 4 2 3 4 2" xfId="53623" xr:uid="{00000000-0005-0000-0000-00008B300000}"/>
    <cellStyle name="Normal 14 4 2 3 4 3" xfId="37523" xr:uid="{00000000-0005-0000-0000-00008C300000}"/>
    <cellStyle name="Normal 14 4 2 3 4 4" xfId="18387" xr:uid="{00000000-0005-0000-0000-00008D300000}"/>
    <cellStyle name="Normal 14 4 2 3 5" xfId="44056" xr:uid="{00000000-0005-0000-0000-00008E300000}"/>
    <cellStyle name="Normal 14 4 2 3 6" xfId="27956" xr:uid="{00000000-0005-0000-0000-00008F300000}"/>
    <cellStyle name="Normal 14 4 2 3 7" xfId="14892" xr:uid="{00000000-0005-0000-0000-000090300000}"/>
    <cellStyle name="Normal 14 4 2 4" xfId="1496" xr:uid="{00000000-0005-0000-0000-000091300000}"/>
    <cellStyle name="Normal 14 4 2 4 2" xfId="8030" xr:uid="{00000000-0005-0000-0000-000092300000}"/>
    <cellStyle name="Normal 14 4 2 4 2 2" xfId="39771" xr:uid="{00000000-0005-0000-0000-000093300000}"/>
    <cellStyle name="Normal 14 4 2 4 2 2 2" xfId="55871" xr:uid="{00000000-0005-0000-0000-000094300000}"/>
    <cellStyle name="Normal 14 4 2 4 2 3" xfId="46304" xr:uid="{00000000-0005-0000-0000-000095300000}"/>
    <cellStyle name="Normal 14 4 2 4 2 4" xfId="30204" xr:uid="{00000000-0005-0000-0000-000096300000}"/>
    <cellStyle name="Normal 14 4 2 4 2 5" xfId="20635" xr:uid="{00000000-0005-0000-0000-000097300000}"/>
    <cellStyle name="Normal 14 4 2 4 3" xfId="11066" xr:uid="{00000000-0005-0000-0000-000098300000}"/>
    <cellStyle name="Normal 14 4 2 4 3 2" xfId="49340" xr:uid="{00000000-0005-0000-0000-000099300000}"/>
    <cellStyle name="Normal 14 4 2 4 3 3" xfId="33240" xr:uid="{00000000-0005-0000-0000-00009A300000}"/>
    <cellStyle name="Normal 14 4 2 4 3 4" xfId="23671" xr:uid="{00000000-0005-0000-0000-00009B300000}"/>
    <cellStyle name="Normal 14 4 2 4 4" xfId="4994" xr:uid="{00000000-0005-0000-0000-00009C300000}"/>
    <cellStyle name="Normal 14 4 2 4 4 2" xfId="52835" xr:uid="{00000000-0005-0000-0000-00009D300000}"/>
    <cellStyle name="Normal 14 4 2 4 4 3" xfId="36735" xr:uid="{00000000-0005-0000-0000-00009E300000}"/>
    <cellStyle name="Normal 14 4 2 4 4 4" xfId="17599" xr:uid="{00000000-0005-0000-0000-00009F300000}"/>
    <cellStyle name="Normal 14 4 2 4 5" xfId="43268" xr:uid="{00000000-0005-0000-0000-0000A0300000}"/>
    <cellStyle name="Normal 14 4 2 4 6" xfId="27168" xr:uid="{00000000-0005-0000-0000-0000A1300000}"/>
    <cellStyle name="Normal 14 4 2 4 7" xfId="14104" xr:uid="{00000000-0005-0000-0000-0000A2300000}"/>
    <cellStyle name="Normal 14 4 2 5" xfId="3984" xr:uid="{00000000-0005-0000-0000-0000A3300000}"/>
    <cellStyle name="Normal 14 4 2 5 2" xfId="35725" xr:uid="{00000000-0005-0000-0000-0000A4300000}"/>
    <cellStyle name="Normal 14 4 2 5 2 2" xfId="51825" xr:uid="{00000000-0005-0000-0000-0000A5300000}"/>
    <cellStyle name="Normal 14 4 2 5 3" xfId="42258" xr:uid="{00000000-0005-0000-0000-0000A6300000}"/>
    <cellStyle name="Normal 14 4 2 5 4" xfId="26158" xr:uid="{00000000-0005-0000-0000-0000A7300000}"/>
    <cellStyle name="Normal 14 4 2 5 5" xfId="16589" xr:uid="{00000000-0005-0000-0000-0000A8300000}"/>
    <cellStyle name="Normal 14 4 2 6" xfId="7020" xr:uid="{00000000-0005-0000-0000-0000A9300000}"/>
    <cellStyle name="Normal 14 4 2 6 2" xfId="38761" xr:uid="{00000000-0005-0000-0000-0000AA300000}"/>
    <cellStyle name="Normal 14 4 2 6 2 2" xfId="54861" xr:uid="{00000000-0005-0000-0000-0000AB300000}"/>
    <cellStyle name="Normal 14 4 2 6 3" xfId="45294" xr:uid="{00000000-0005-0000-0000-0000AC300000}"/>
    <cellStyle name="Normal 14 4 2 6 4" xfId="29194" xr:uid="{00000000-0005-0000-0000-0000AD300000}"/>
    <cellStyle name="Normal 14 4 2 6 5" xfId="19625" xr:uid="{00000000-0005-0000-0000-0000AE300000}"/>
    <cellStyle name="Normal 14 4 2 7" xfId="10056" xr:uid="{00000000-0005-0000-0000-0000AF300000}"/>
    <cellStyle name="Normal 14 4 2 7 2" xfId="48330" xr:uid="{00000000-0005-0000-0000-0000B0300000}"/>
    <cellStyle name="Normal 14 4 2 7 3" xfId="32230" xr:uid="{00000000-0005-0000-0000-0000B1300000}"/>
    <cellStyle name="Normal 14 4 2 7 4" xfId="22661" xr:uid="{00000000-0005-0000-0000-0000B2300000}"/>
    <cellStyle name="Normal 14 4 2 8" xfId="3426" xr:uid="{00000000-0005-0000-0000-0000B3300000}"/>
    <cellStyle name="Normal 14 4 2 8 2" xfId="51267" xr:uid="{00000000-0005-0000-0000-0000B4300000}"/>
    <cellStyle name="Normal 14 4 2 8 3" xfId="35167" xr:uid="{00000000-0005-0000-0000-0000B5300000}"/>
    <cellStyle name="Normal 14 4 2 8 4" xfId="16031" xr:uid="{00000000-0005-0000-0000-0000B6300000}"/>
    <cellStyle name="Normal 14 4 2 9" xfId="41700" xr:uid="{00000000-0005-0000-0000-0000B7300000}"/>
    <cellStyle name="Normal 14 4 3" xfId="540" xr:uid="{00000000-0005-0000-0000-0000B8300000}"/>
    <cellStyle name="Normal 14 4 3 2" xfId="2570" xr:uid="{00000000-0005-0000-0000-0000B9300000}"/>
    <cellStyle name="Normal 14 4 3 2 2" xfId="9102" xr:uid="{00000000-0005-0000-0000-0000BA300000}"/>
    <cellStyle name="Normal 14 4 3 2 2 2" xfId="40843" xr:uid="{00000000-0005-0000-0000-0000BB300000}"/>
    <cellStyle name="Normal 14 4 3 2 2 2 2" xfId="56943" xr:uid="{00000000-0005-0000-0000-0000BC300000}"/>
    <cellStyle name="Normal 14 4 3 2 2 3" xfId="47376" xr:uid="{00000000-0005-0000-0000-0000BD300000}"/>
    <cellStyle name="Normal 14 4 3 2 2 4" xfId="31276" xr:uid="{00000000-0005-0000-0000-0000BE300000}"/>
    <cellStyle name="Normal 14 4 3 2 2 5" xfId="21707" xr:uid="{00000000-0005-0000-0000-0000BF300000}"/>
    <cellStyle name="Normal 14 4 3 2 3" xfId="12138" xr:uid="{00000000-0005-0000-0000-0000C0300000}"/>
    <cellStyle name="Normal 14 4 3 2 3 2" xfId="50412" xr:uid="{00000000-0005-0000-0000-0000C1300000}"/>
    <cellStyle name="Normal 14 4 3 2 3 3" xfId="34312" xr:uid="{00000000-0005-0000-0000-0000C2300000}"/>
    <cellStyle name="Normal 14 4 3 2 3 4" xfId="24743" xr:uid="{00000000-0005-0000-0000-0000C3300000}"/>
    <cellStyle name="Normal 14 4 3 2 4" xfId="6066" xr:uid="{00000000-0005-0000-0000-0000C4300000}"/>
    <cellStyle name="Normal 14 4 3 2 4 2" xfId="53907" xr:uid="{00000000-0005-0000-0000-0000C5300000}"/>
    <cellStyle name="Normal 14 4 3 2 4 3" xfId="37807" xr:uid="{00000000-0005-0000-0000-0000C6300000}"/>
    <cellStyle name="Normal 14 4 3 2 4 4" xfId="18671" xr:uid="{00000000-0005-0000-0000-0000C7300000}"/>
    <cellStyle name="Normal 14 4 3 2 5" xfId="44340" xr:uid="{00000000-0005-0000-0000-0000C8300000}"/>
    <cellStyle name="Normal 14 4 3 2 6" xfId="28240" xr:uid="{00000000-0005-0000-0000-0000C9300000}"/>
    <cellStyle name="Normal 14 4 3 2 7" xfId="15176" xr:uid="{00000000-0005-0000-0000-0000CA300000}"/>
    <cellStyle name="Normal 14 4 3 3" xfId="1319" xr:uid="{00000000-0005-0000-0000-0000CB300000}"/>
    <cellStyle name="Normal 14 4 3 3 2" xfId="7853" xr:uid="{00000000-0005-0000-0000-0000CC300000}"/>
    <cellStyle name="Normal 14 4 3 3 2 2" xfId="39594" xr:uid="{00000000-0005-0000-0000-0000CD300000}"/>
    <cellStyle name="Normal 14 4 3 3 2 2 2" xfId="55694" xr:uid="{00000000-0005-0000-0000-0000CE300000}"/>
    <cellStyle name="Normal 14 4 3 3 2 3" xfId="46127" xr:uid="{00000000-0005-0000-0000-0000CF300000}"/>
    <cellStyle name="Normal 14 4 3 3 2 4" xfId="30027" xr:uid="{00000000-0005-0000-0000-0000D0300000}"/>
    <cellStyle name="Normal 14 4 3 3 2 5" xfId="20458" xr:uid="{00000000-0005-0000-0000-0000D1300000}"/>
    <cellStyle name="Normal 14 4 3 3 3" xfId="10889" xr:uid="{00000000-0005-0000-0000-0000D2300000}"/>
    <cellStyle name="Normal 14 4 3 3 3 2" xfId="49163" xr:uid="{00000000-0005-0000-0000-0000D3300000}"/>
    <cellStyle name="Normal 14 4 3 3 3 3" xfId="33063" xr:uid="{00000000-0005-0000-0000-0000D4300000}"/>
    <cellStyle name="Normal 14 4 3 3 3 4" xfId="23494" xr:uid="{00000000-0005-0000-0000-0000D5300000}"/>
    <cellStyle name="Normal 14 4 3 3 4" xfId="4817" xr:uid="{00000000-0005-0000-0000-0000D6300000}"/>
    <cellStyle name="Normal 14 4 3 3 4 2" xfId="52658" xr:uid="{00000000-0005-0000-0000-0000D7300000}"/>
    <cellStyle name="Normal 14 4 3 3 4 3" xfId="36558" xr:uid="{00000000-0005-0000-0000-0000D8300000}"/>
    <cellStyle name="Normal 14 4 3 3 4 4" xfId="17422" xr:uid="{00000000-0005-0000-0000-0000D9300000}"/>
    <cellStyle name="Normal 14 4 3 3 5" xfId="43091" xr:uid="{00000000-0005-0000-0000-0000DA300000}"/>
    <cellStyle name="Normal 14 4 3 3 6" xfId="26991" xr:uid="{00000000-0005-0000-0000-0000DB300000}"/>
    <cellStyle name="Normal 14 4 3 3 7" xfId="13927" xr:uid="{00000000-0005-0000-0000-0000DC300000}"/>
    <cellStyle name="Normal 14 4 3 4" xfId="6843" xr:uid="{00000000-0005-0000-0000-0000DD300000}"/>
    <cellStyle name="Normal 14 4 3 4 2" xfId="38584" xr:uid="{00000000-0005-0000-0000-0000DE300000}"/>
    <cellStyle name="Normal 14 4 3 4 2 2" xfId="54684" xr:uid="{00000000-0005-0000-0000-0000DF300000}"/>
    <cellStyle name="Normal 14 4 3 4 3" xfId="45117" xr:uid="{00000000-0005-0000-0000-0000E0300000}"/>
    <cellStyle name="Normal 14 4 3 4 4" xfId="29017" xr:uid="{00000000-0005-0000-0000-0000E1300000}"/>
    <cellStyle name="Normal 14 4 3 4 5" xfId="19448" xr:uid="{00000000-0005-0000-0000-0000E2300000}"/>
    <cellStyle name="Normal 14 4 3 5" xfId="9879" xr:uid="{00000000-0005-0000-0000-0000E3300000}"/>
    <cellStyle name="Normal 14 4 3 5 2" xfId="48153" xr:uid="{00000000-0005-0000-0000-0000E4300000}"/>
    <cellStyle name="Normal 14 4 3 5 3" xfId="32053" xr:uid="{00000000-0005-0000-0000-0000E5300000}"/>
    <cellStyle name="Normal 14 4 3 5 4" xfId="22484" xr:uid="{00000000-0005-0000-0000-0000E6300000}"/>
    <cellStyle name="Normal 14 4 3 6" xfId="3807" xr:uid="{00000000-0005-0000-0000-0000E7300000}"/>
    <cellStyle name="Normal 14 4 3 6 2" xfId="51648" xr:uid="{00000000-0005-0000-0000-0000E8300000}"/>
    <cellStyle name="Normal 14 4 3 6 3" xfId="35548" xr:uid="{00000000-0005-0000-0000-0000E9300000}"/>
    <cellStyle name="Normal 14 4 3 6 4" xfId="16412" xr:uid="{00000000-0005-0000-0000-0000EA300000}"/>
    <cellStyle name="Normal 14 4 3 7" xfId="42081" xr:uid="{00000000-0005-0000-0000-0000EB300000}"/>
    <cellStyle name="Normal 14 4 3 8" xfId="25981" xr:uid="{00000000-0005-0000-0000-0000EC300000}"/>
    <cellStyle name="Normal 14 4 3 9" xfId="12917" xr:uid="{00000000-0005-0000-0000-0000ED300000}"/>
    <cellStyle name="Normal 14 4 4" xfId="833" xr:uid="{00000000-0005-0000-0000-0000EE300000}"/>
    <cellStyle name="Normal 14 4 4 2" xfId="2861" xr:uid="{00000000-0005-0000-0000-0000EF300000}"/>
    <cellStyle name="Normal 14 4 4 2 2" xfId="9393" xr:uid="{00000000-0005-0000-0000-0000F0300000}"/>
    <cellStyle name="Normal 14 4 4 2 2 2" xfId="41134" xr:uid="{00000000-0005-0000-0000-0000F1300000}"/>
    <cellStyle name="Normal 14 4 4 2 2 2 2" xfId="57234" xr:uid="{00000000-0005-0000-0000-0000F2300000}"/>
    <cellStyle name="Normal 14 4 4 2 2 3" xfId="47667" xr:uid="{00000000-0005-0000-0000-0000F3300000}"/>
    <cellStyle name="Normal 14 4 4 2 2 4" xfId="31567" xr:uid="{00000000-0005-0000-0000-0000F4300000}"/>
    <cellStyle name="Normal 14 4 4 2 2 5" xfId="21998" xr:uid="{00000000-0005-0000-0000-0000F5300000}"/>
    <cellStyle name="Normal 14 4 4 2 3" xfId="12429" xr:uid="{00000000-0005-0000-0000-0000F6300000}"/>
    <cellStyle name="Normal 14 4 4 2 3 2" xfId="50703" xr:uid="{00000000-0005-0000-0000-0000F7300000}"/>
    <cellStyle name="Normal 14 4 4 2 3 3" xfId="34603" xr:uid="{00000000-0005-0000-0000-0000F8300000}"/>
    <cellStyle name="Normal 14 4 4 2 3 4" xfId="25034" xr:uid="{00000000-0005-0000-0000-0000F9300000}"/>
    <cellStyle name="Normal 14 4 4 2 4" xfId="6357" xr:uid="{00000000-0005-0000-0000-0000FA300000}"/>
    <cellStyle name="Normal 14 4 4 2 4 2" xfId="54198" xr:uid="{00000000-0005-0000-0000-0000FB300000}"/>
    <cellStyle name="Normal 14 4 4 2 4 3" xfId="38098" xr:uid="{00000000-0005-0000-0000-0000FC300000}"/>
    <cellStyle name="Normal 14 4 4 2 4 4" xfId="18962" xr:uid="{00000000-0005-0000-0000-0000FD300000}"/>
    <cellStyle name="Normal 14 4 4 2 5" xfId="44631" xr:uid="{00000000-0005-0000-0000-0000FE300000}"/>
    <cellStyle name="Normal 14 4 4 2 6" xfId="28531" xr:uid="{00000000-0005-0000-0000-0000FF300000}"/>
    <cellStyle name="Normal 14 4 4 2 7" xfId="15467" xr:uid="{00000000-0005-0000-0000-000000310000}"/>
    <cellStyle name="Normal 14 4 4 3" xfId="1843" xr:uid="{00000000-0005-0000-0000-000001310000}"/>
    <cellStyle name="Normal 14 4 4 3 2" xfId="8377" xr:uid="{00000000-0005-0000-0000-000002310000}"/>
    <cellStyle name="Normal 14 4 4 3 2 2" xfId="40118" xr:uid="{00000000-0005-0000-0000-000003310000}"/>
    <cellStyle name="Normal 14 4 4 3 2 2 2" xfId="56218" xr:uid="{00000000-0005-0000-0000-000004310000}"/>
    <cellStyle name="Normal 14 4 4 3 2 3" xfId="46651" xr:uid="{00000000-0005-0000-0000-000005310000}"/>
    <cellStyle name="Normal 14 4 4 3 2 4" xfId="30551" xr:uid="{00000000-0005-0000-0000-000006310000}"/>
    <cellStyle name="Normal 14 4 4 3 2 5" xfId="20982" xr:uid="{00000000-0005-0000-0000-000007310000}"/>
    <cellStyle name="Normal 14 4 4 3 3" xfId="11413" xr:uid="{00000000-0005-0000-0000-000008310000}"/>
    <cellStyle name="Normal 14 4 4 3 3 2" xfId="49687" xr:uid="{00000000-0005-0000-0000-000009310000}"/>
    <cellStyle name="Normal 14 4 4 3 3 3" xfId="33587" xr:uid="{00000000-0005-0000-0000-00000A310000}"/>
    <cellStyle name="Normal 14 4 4 3 3 4" xfId="24018" xr:uid="{00000000-0005-0000-0000-00000B310000}"/>
    <cellStyle name="Normal 14 4 4 3 4" xfId="5341" xr:uid="{00000000-0005-0000-0000-00000C310000}"/>
    <cellStyle name="Normal 14 4 4 3 4 2" xfId="53182" xr:uid="{00000000-0005-0000-0000-00000D310000}"/>
    <cellStyle name="Normal 14 4 4 3 4 3" xfId="37082" xr:uid="{00000000-0005-0000-0000-00000E310000}"/>
    <cellStyle name="Normal 14 4 4 3 4 4" xfId="17946" xr:uid="{00000000-0005-0000-0000-00000F310000}"/>
    <cellStyle name="Normal 14 4 4 3 5" xfId="43615" xr:uid="{00000000-0005-0000-0000-000010310000}"/>
    <cellStyle name="Normal 14 4 4 3 6" xfId="27515" xr:uid="{00000000-0005-0000-0000-000011310000}"/>
    <cellStyle name="Normal 14 4 4 3 7" xfId="14451" xr:uid="{00000000-0005-0000-0000-000012310000}"/>
    <cellStyle name="Normal 14 4 4 4" xfId="7367" xr:uid="{00000000-0005-0000-0000-000013310000}"/>
    <cellStyle name="Normal 14 4 4 4 2" xfId="39108" xr:uid="{00000000-0005-0000-0000-000014310000}"/>
    <cellStyle name="Normal 14 4 4 4 2 2" xfId="55208" xr:uid="{00000000-0005-0000-0000-000015310000}"/>
    <cellStyle name="Normal 14 4 4 4 3" xfId="45641" xr:uid="{00000000-0005-0000-0000-000016310000}"/>
    <cellStyle name="Normal 14 4 4 4 4" xfId="29541" xr:uid="{00000000-0005-0000-0000-000017310000}"/>
    <cellStyle name="Normal 14 4 4 4 5" xfId="19972" xr:uid="{00000000-0005-0000-0000-000018310000}"/>
    <cellStyle name="Normal 14 4 4 5" xfId="10403" xr:uid="{00000000-0005-0000-0000-000019310000}"/>
    <cellStyle name="Normal 14 4 4 5 2" xfId="48677" xr:uid="{00000000-0005-0000-0000-00001A310000}"/>
    <cellStyle name="Normal 14 4 4 5 3" xfId="32577" xr:uid="{00000000-0005-0000-0000-00001B310000}"/>
    <cellStyle name="Normal 14 4 4 5 4" xfId="23008" xr:uid="{00000000-0005-0000-0000-00001C310000}"/>
    <cellStyle name="Normal 14 4 4 6" xfId="4331" xr:uid="{00000000-0005-0000-0000-00001D310000}"/>
    <cellStyle name="Normal 14 4 4 6 2" xfId="52172" xr:uid="{00000000-0005-0000-0000-00001E310000}"/>
    <cellStyle name="Normal 14 4 4 6 3" xfId="36072" xr:uid="{00000000-0005-0000-0000-00001F310000}"/>
    <cellStyle name="Normal 14 4 4 6 4" xfId="16936" xr:uid="{00000000-0005-0000-0000-000020310000}"/>
    <cellStyle name="Normal 14 4 4 7" xfId="42605" xr:uid="{00000000-0005-0000-0000-000021310000}"/>
    <cellStyle name="Normal 14 4 4 8" xfId="26505" xr:uid="{00000000-0005-0000-0000-000022310000}"/>
    <cellStyle name="Normal 14 4 4 9" xfId="13441" xr:uid="{00000000-0005-0000-0000-000023310000}"/>
    <cellStyle name="Normal 14 4 5" xfId="2107" xr:uid="{00000000-0005-0000-0000-000024310000}"/>
    <cellStyle name="Normal 14 4 5 2" xfId="8641" xr:uid="{00000000-0005-0000-0000-000025310000}"/>
    <cellStyle name="Normal 14 4 5 2 2" xfId="40382" xr:uid="{00000000-0005-0000-0000-000026310000}"/>
    <cellStyle name="Normal 14 4 5 2 2 2" xfId="56482" xr:uid="{00000000-0005-0000-0000-000027310000}"/>
    <cellStyle name="Normal 14 4 5 2 3" xfId="46915" xr:uid="{00000000-0005-0000-0000-000028310000}"/>
    <cellStyle name="Normal 14 4 5 2 4" xfId="30815" xr:uid="{00000000-0005-0000-0000-000029310000}"/>
    <cellStyle name="Normal 14 4 5 2 5" xfId="21246" xr:uid="{00000000-0005-0000-0000-00002A310000}"/>
    <cellStyle name="Normal 14 4 5 3" xfId="11677" xr:uid="{00000000-0005-0000-0000-00002B310000}"/>
    <cellStyle name="Normal 14 4 5 3 2" xfId="49951" xr:uid="{00000000-0005-0000-0000-00002C310000}"/>
    <cellStyle name="Normal 14 4 5 3 3" xfId="33851" xr:uid="{00000000-0005-0000-0000-00002D310000}"/>
    <cellStyle name="Normal 14 4 5 3 4" xfId="24282" xr:uid="{00000000-0005-0000-0000-00002E310000}"/>
    <cellStyle name="Normal 14 4 5 4" xfId="5605" xr:uid="{00000000-0005-0000-0000-00002F310000}"/>
    <cellStyle name="Normal 14 4 5 4 2" xfId="53446" xr:uid="{00000000-0005-0000-0000-000030310000}"/>
    <cellStyle name="Normal 14 4 5 4 3" xfId="37346" xr:uid="{00000000-0005-0000-0000-000031310000}"/>
    <cellStyle name="Normal 14 4 5 4 4" xfId="18210" xr:uid="{00000000-0005-0000-0000-000032310000}"/>
    <cellStyle name="Normal 14 4 5 5" xfId="43879" xr:uid="{00000000-0005-0000-0000-000033310000}"/>
    <cellStyle name="Normal 14 4 5 6" xfId="27779" xr:uid="{00000000-0005-0000-0000-000034310000}"/>
    <cellStyle name="Normal 14 4 5 7" xfId="14715" xr:uid="{00000000-0005-0000-0000-000035310000}"/>
    <cellStyle name="Normal 14 4 6" xfId="1160" xr:uid="{00000000-0005-0000-0000-000036310000}"/>
    <cellStyle name="Normal 14 4 6 2" xfId="7694" xr:uid="{00000000-0005-0000-0000-000037310000}"/>
    <cellStyle name="Normal 14 4 6 2 2" xfId="39435" xr:uid="{00000000-0005-0000-0000-000038310000}"/>
    <cellStyle name="Normal 14 4 6 2 2 2" xfId="55535" xr:uid="{00000000-0005-0000-0000-000039310000}"/>
    <cellStyle name="Normal 14 4 6 2 3" xfId="45968" xr:uid="{00000000-0005-0000-0000-00003A310000}"/>
    <cellStyle name="Normal 14 4 6 2 4" xfId="29868" xr:uid="{00000000-0005-0000-0000-00003B310000}"/>
    <cellStyle name="Normal 14 4 6 2 5" xfId="20299" xr:uid="{00000000-0005-0000-0000-00003C310000}"/>
    <cellStyle name="Normal 14 4 6 3" xfId="10730" xr:uid="{00000000-0005-0000-0000-00003D310000}"/>
    <cellStyle name="Normal 14 4 6 3 2" xfId="49004" xr:uid="{00000000-0005-0000-0000-00003E310000}"/>
    <cellStyle name="Normal 14 4 6 3 3" xfId="32904" xr:uid="{00000000-0005-0000-0000-00003F310000}"/>
    <cellStyle name="Normal 14 4 6 3 4" xfId="23335" xr:uid="{00000000-0005-0000-0000-000040310000}"/>
    <cellStyle name="Normal 14 4 6 4" xfId="4658" xr:uid="{00000000-0005-0000-0000-000041310000}"/>
    <cellStyle name="Normal 14 4 6 4 2" xfId="52499" xr:uid="{00000000-0005-0000-0000-000042310000}"/>
    <cellStyle name="Normal 14 4 6 4 3" xfId="36399" xr:uid="{00000000-0005-0000-0000-000043310000}"/>
    <cellStyle name="Normal 14 4 6 4 4" xfId="17263" xr:uid="{00000000-0005-0000-0000-000044310000}"/>
    <cellStyle name="Normal 14 4 6 5" xfId="42932" xr:uid="{00000000-0005-0000-0000-000045310000}"/>
    <cellStyle name="Normal 14 4 6 6" xfId="26832" xr:uid="{00000000-0005-0000-0000-000046310000}"/>
    <cellStyle name="Normal 14 4 6 7" xfId="13768" xr:uid="{00000000-0005-0000-0000-000047310000}"/>
    <cellStyle name="Normal 14 4 7" xfId="3648" xr:uid="{00000000-0005-0000-0000-000048310000}"/>
    <cellStyle name="Normal 14 4 7 2" xfId="35389" xr:uid="{00000000-0005-0000-0000-000049310000}"/>
    <cellStyle name="Normal 14 4 7 2 2" xfId="51489" xr:uid="{00000000-0005-0000-0000-00004A310000}"/>
    <cellStyle name="Normal 14 4 7 3" xfId="41922" xr:uid="{00000000-0005-0000-0000-00004B310000}"/>
    <cellStyle name="Normal 14 4 7 4" xfId="25822" xr:uid="{00000000-0005-0000-0000-00004C310000}"/>
    <cellStyle name="Normal 14 4 7 5" xfId="16253" xr:uid="{00000000-0005-0000-0000-00004D310000}"/>
    <cellStyle name="Normal 14 4 8" xfId="6684" xr:uid="{00000000-0005-0000-0000-00004E310000}"/>
    <cellStyle name="Normal 14 4 8 2" xfId="38425" xr:uid="{00000000-0005-0000-0000-00004F310000}"/>
    <cellStyle name="Normal 14 4 8 2 2" xfId="54525" xr:uid="{00000000-0005-0000-0000-000050310000}"/>
    <cellStyle name="Normal 14 4 8 3" xfId="44958" xr:uid="{00000000-0005-0000-0000-000051310000}"/>
    <cellStyle name="Normal 14 4 8 4" xfId="28858" xr:uid="{00000000-0005-0000-0000-000052310000}"/>
    <cellStyle name="Normal 14 4 8 5" xfId="19289" xr:uid="{00000000-0005-0000-0000-000053310000}"/>
    <cellStyle name="Normal 14 4 9" xfId="9720" xr:uid="{00000000-0005-0000-0000-000054310000}"/>
    <cellStyle name="Normal 14 4 9 2" xfId="47994" xr:uid="{00000000-0005-0000-0000-000055310000}"/>
    <cellStyle name="Normal 14 4 9 3" xfId="31894" xr:uid="{00000000-0005-0000-0000-000056310000}"/>
    <cellStyle name="Normal 14 4 9 4" xfId="22325" xr:uid="{00000000-0005-0000-0000-000057310000}"/>
    <cellStyle name="Normal 14 5" xfId="159" xr:uid="{00000000-0005-0000-0000-000058310000}"/>
    <cellStyle name="Normal 14 5 10" xfId="3205" xr:uid="{00000000-0005-0000-0000-000059310000}"/>
    <cellStyle name="Normal 14 5 10 2" xfId="51047" xr:uid="{00000000-0005-0000-0000-00005A310000}"/>
    <cellStyle name="Normal 14 5 10 3" xfId="34947" xr:uid="{00000000-0005-0000-0000-00005B310000}"/>
    <cellStyle name="Normal 14 5 10 4" xfId="15811" xr:uid="{00000000-0005-0000-0000-00005C310000}"/>
    <cellStyle name="Normal 14 5 11" xfId="41480" xr:uid="{00000000-0005-0000-0000-00005D310000}"/>
    <cellStyle name="Normal 14 5 12" xfId="25380" xr:uid="{00000000-0005-0000-0000-00005E310000}"/>
    <cellStyle name="Normal 14 5 13" xfId="12775" xr:uid="{00000000-0005-0000-0000-00005F310000}"/>
    <cellStyle name="Normal 14 5 2" xfId="336" xr:uid="{00000000-0005-0000-0000-000060310000}"/>
    <cellStyle name="Normal 14 5 2 10" xfId="13165" xr:uid="{00000000-0005-0000-0000-000061310000}"/>
    <cellStyle name="Normal 14 5 2 2" xfId="2355" xr:uid="{00000000-0005-0000-0000-000062310000}"/>
    <cellStyle name="Normal 14 5 2 2 2" xfId="8889" xr:uid="{00000000-0005-0000-0000-000063310000}"/>
    <cellStyle name="Normal 14 5 2 2 2 2" xfId="40630" xr:uid="{00000000-0005-0000-0000-000064310000}"/>
    <cellStyle name="Normal 14 5 2 2 2 2 2" xfId="56730" xr:uid="{00000000-0005-0000-0000-000065310000}"/>
    <cellStyle name="Normal 14 5 2 2 2 3" xfId="47163" xr:uid="{00000000-0005-0000-0000-000066310000}"/>
    <cellStyle name="Normal 14 5 2 2 2 4" xfId="31063" xr:uid="{00000000-0005-0000-0000-000067310000}"/>
    <cellStyle name="Normal 14 5 2 2 2 5" xfId="21494" xr:uid="{00000000-0005-0000-0000-000068310000}"/>
    <cellStyle name="Normal 14 5 2 2 3" xfId="11925" xr:uid="{00000000-0005-0000-0000-000069310000}"/>
    <cellStyle name="Normal 14 5 2 2 3 2" xfId="50199" xr:uid="{00000000-0005-0000-0000-00006A310000}"/>
    <cellStyle name="Normal 14 5 2 2 3 3" xfId="34099" xr:uid="{00000000-0005-0000-0000-00006B310000}"/>
    <cellStyle name="Normal 14 5 2 2 3 4" xfId="24530" xr:uid="{00000000-0005-0000-0000-00006C310000}"/>
    <cellStyle name="Normal 14 5 2 2 4" xfId="5853" xr:uid="{00000000-0005-0000-0000-00006D310000}"/>
    <cellStyle name="Normal 14 5 2 2 4 2" xfId="53694" xr:uid="{00000000-0005-0000-0000-00006E310000}"/>
    <cellStyle name="Normal 14 5 2 2 4 3" xfId="37594" xr:uid="{00000000-0005-0000-0000-00006F310000}"/>
    <cellStyle name="Normal 14 5 2 2 4 4" xfId="18458" xr:uid="{00000000-0005-0000-0000-000070310000}"/>
    <cellStyle name="Normal 14 5 2 2 5" xfId="44127" xr:uid="{00000000-0005-0000-0000-000071310000}"/>
    <cellStyle name="Normal 14 5 2 2 6" xfId="28027" xr:uid="{00000000-0005-0000-0000-000072310000}"/>
    <cellStyle name="Normal 14 5 2 2 7" xfId="14963" xr:uid="{00000000-0005-0000-0000-000073310000}"/>
    <cellStyle name="Normal 14 5 2 3" xfId="1567" xr:uid="{00000000-0005-0000-0000-000074310000}"/>
    <cellStyle name="Normal 14 5 2 3 2" xfId="8101" xr:uid="{00000000-0005-0000-0000-000075310000}"/>
    <cellStyle name="Normal 14 5 2 3 2 2" xfId="39842" xr:uid="{00000000-0005-0000-0000-000076310000}"/>
    <cellStyle name="Normal 14 5 2 3 2 2 2" xfId="55942" xr:uid="{00000000-0005-0000-0000-000077310000}"/>
    <cellStyle name="Normal 14 5 2 3 2 3" xfId="46375" xr:uid="{00000000-0005-0000-0000-000078310000}"/>
    <cellStyle name="Normal 14 5 2 3 2 4" xfId="30275" xr:uid="{00000000-0005-0000-0000-000079310000}"/>
    <cellStyle name="Normal 14 5 2 3 2 5" xfId="20706" xr:uid="{00000000-0005-0000-0000-00007A310000}"/>
    <cellStyle name="Normal 14 5 2 3 3" xfId="11137" xr:uid="{00000000-0005-0000-0000-00007B310000}"/>
    <cellStyle name="Normal 14 5 2 3 3 2" xfId="49411" xr:uid="{00000000-0005-0000-0000-00007C310000}"/>
    <cellStyle name="Normal 14 5 2 3 3 3" xfId="33311" xr:uid="{00000000-0005-0000-0000-00007D310000}"/>
    <cellStyle name="Normal 14 5 2 3 3 4" xfId="23742" xr:uid="{00000000-0005-0000-0000-00007E310000}"/>
    <cellStyle name="Normal 14 5 2 3 4" xfId="5065" xr:uid="{00000000-0005-0000-0000-00007F310000}"/>
    <cellStyle name="Normal 14 5 2 3 4 2" xfId="52906" xr:uid="{00000000-0005-0000-0000-000080310000}"/>
    <cellStyle name="Normal 14 5 2 3 4 3" xfId="36806" xr:uid="{00000000-0005-0000-0000-000081310000}"/>
    <cellStyle name="Normal 14 5 2 3 4 4" xfId="17670" xr:uid="{00000000-0005-0000-0000-000082310000}"/>
    <cellStyle name="Normal 14 5 2 3 5" xfId="43339" xr:uid="{00000000-0005-0000-0000-000083310000}"/>
    <cellStyle name="Normal 14 5 2 3 6" xfId="27239" xr:uid="{00000000-0005-0000-0000-000084310000}"/>
    <cellStyle name="Normal 14 5 2 3 7" xfId="14175" xr:uid="{00000000-0005-0000-0000-000085310000}"/>
    <cellStyle name="Normal 14 5 2 4" xfId="4055" xr:uid="{00000000-0005-0000-0000-000086310000}"/>
    <cellStyle name="Normal 14 5 2 4 2" xfId="35796" xr:uid="{00000000-0005-0000-0000-000087310000}"/>
    <cellStyle name="Normal 14 5 2 4 2 2" xfId="51896" xr:uid="{00000000-0005-0000-0000-000088310000}"/>
    <cellStyle name="Normal 14 5 2 4 3" xfId="42329" xr:uid="{00000000-0005-0000-0000-000089310000}"/>
    <cellStyle name="Normal 14 5 2 4 4" xfId="26229" xr:uid="{00000000-0005-0000-0000-00008A310000}"/>
    <cellStyle name="Normal 14 5 2 4 5" xfId="16660" xr:uid="{00000000-0005-0000-0000-00008B310000}"/>
    <cellStyle name="Normal 14 5 2 5" xfId="7091" xr:uid="{00000000-0005-0000-0000-00008C310000}"/>
    <cellStyle name="Normal 14 5 2 5 2" xfId="38832" xr:uid="{00000000-0005-0000-0000-00008D310000}"/>
    <cellStyle name="Normal 14 5 2 5 2 2" xfId="54932" xr:uid="{00000000-0005-0000-0000-00008E310000}"/>
    <cellStyle name="Normal 14 5 2 5 3" xfId="45365" xr:uid="{00000000-0005-0000-0000-00008F310000}"/>
    <cellStyle name="Normal 14 5 2 5 4" xfId="29265" xr:uid="{00000000-0005-0000-0000-000090310000}"/>
    <cellStyle name="Normal 14 5 2 5 5" xfId="19696" xr:uid="{00000000-0005-0000-0000-000091310000}"/>
    <cellStyle name="Normal 14 5 2 6" xfId="10127" xr:uid="{00000000-0005-0000-0000-000092310000}"/>
    <cellStyle name="Normal 14 5 2 6 2" xfId="48401" xr:uid="{00000000-0005-0000-0000-000093310000}"/>
    <cellStyle name="Normal 14 5 2 6 3" xfId="32301" xr:uid="{00000000-0005-0000-0000-000094310000}"/>
    <cellStyle name="Normal 14 5 2 6 4" xfId="22732" xr:uid="{00000000-0005-0000-0000-000095310000}"/>
    <cellStyle name="Normal 14 5 2 7" xfId="3443" xr:uid="{00000000-0005-0000-0000-000096310000}"/>
    <cellStyle name="Normal 14 5 2 7 2" xfId="51284" xr:uid="{00000000-0005-0000-0000-000097310000}"/>
    <cellStyle name="Normal 14 5 2 7 3" xfId="35184" xr:uid="{00000000-0005-0000-0000-000098310000}"/>
    <cellStyle name="Normal 14 5 2 7 4" xfId="16048" xr:uid="{00000000-0005-0000-0000-000099310000}"/>
    <cellStyle name="Normal 14 5 2 8" xfId="41717" xr:uid="{00000000-0005-0000-0000-00009A310000}"/>
    <cellStyle name="Normal 14 5 2 9" xfId="25617" xr:uid="{00000000-0005-0000-0000-00009B310000}"/>
    <cellStyle name="Normal 14 5 3" xfId="594" xr:uid="{00000000-0005-0000-0000-00009C310000}"/>
    <cellStyle name="Normal 14 5 3 2" xfId="2622" xr:uid="{00000000-0005-0000-0000-00009D310000}"/>
    <cellStyle name="Normal 14 5 3 2 2" xfId="9154" xr:uid="{00000000-0005-0000-0000-00009E310000}"/>
    <cellStyle name="Normal 14 5 3 2 2 2" xfId="40895" xr:uid="{00000000-0005-0000-0000-00009F310000}"/>
    <cellStyle name="Normal 14 5 3 2 2 2 2" xfId="56995" xr:uid="{00000000-0005-0000-0000-0000A0310000}"/>
    <cellStyle name="Normal 14 5 3 2 2 3" xfId="47428" xr:uid="{00000000-0005-0000-0000-0000A1310000}"/>
    <cellStyle name="Normal 14 5 3 2 2 4" xfId="31328" xr:uid="{00000000-0005-0000-0000-0000A2310000}"/>
    <cellStyle name="Normal 14 5 3 2 2 5" xfId="21759" xr:uid="{00000000-0005-0000-0000-0000A3310000}"/>
    <cellStyle name="Normal 14 5 3 2 3" xfId="12190" xr:uid="{00000000-0005-0000-0000-0000A4310000}"/>
    <cellStyle name="Normal 14 5 3 2 3 2" xfId="50464" xr:uid="{00000000-0005-0000-0000-0000A5310000}"/>
    <cellStyle name="Normal 14 5 3 2 3 3" xfId="34364" xr:uid="{00000000-0005-0000-0000-0000A6310000}"/>
    <cellStyle name="Normal 14 5 3 2 3 4" xfId="24795" xr:uid="{00000000-0005-0000-0000-0000A7310000}"/>
    <cellStyle name="Normal 14 5 3 2 4" xfId="6118" xr:uid="{00000000-0005-0000-0000-0000A8310000}"/>
    <cellStyle name="Normal 14 5 3 2 4 2" xfId="53959" xr:uid="{00000000-0005-0000-0000-0000A9310000}"/>
    <cellStyle name="Normal 14 5 3 2 4 3" xfId="37859" xr:uid="{00000000-0005-0000-0000-0000AA310000}"/>
    <cellStyle name="Normal 14 5 3 2 4 4" xfId="18723" xr:uid="{00000000-0005-0000-0000-0000AB310000}"/>
    <cellStyle name="Normal 14 5 3 2 5" xfId="44392" xr:uid="{00000000-0005-0000-0000-0000AC310000}"/>
    <cellStyle name="Normal 14 5 3 2 6" xfId="28292" xr:uid="{00000000-0005-0000-0000-0000AD310000}"/>
    <cellStyle name="Normal 14 5 3 2 7" xfId="15228" xr:uid="{00000000-0005-0000-0000-0000AE310000}"/>
    <cellStyle name="Normal 14 5 3 3" xfId="1390" xr:uid="{00000000-0005-0000-0000-0000AF310000}"/>
    <cellStyle name="Normal 14 5 3 3 2" xfId="7924" xr:uid="{00000000-0005-0000-0000-0000B0310000}"/>
    <cellStyle name="Normal 14 5 3 3 2 2" xfId="39665" xr:uid="{00000000-0005-0000-0000-0000B1310000}"/>
    <cellStyle name="Normal 14 5 3 3 2 2 2" xfId="55765" xr:uid="{00000000-0005-0000-0000-0000B2310000}"/>
    <cellStyle name="Normal 14 5 3 3 2 3" xfId="46198" xr:uid="{00000000-0005-0000-0000-0000B3310000}"/>
    <cellStyle name="Normal 14 5 3 3 2 4" xfId="30098" xr:uid="{00000000-0005-0000-0000-0000B4310000}"/>
    <cellStyle name="Normal 14 5 3 3 2 5" xfId="20529" xr:uid="{00000000-0005-0000-0000-0000B5310000}"/>
    <cellStyle name="Normal 14 5 3 3 3" xfId="10960" xr:uid="{00000000-0005-0000-0000-0000B6310000}"/>
    <cellStyle name="Normal 14 5 3 3 3 2" xfId="49234" xr:uid="{00000000-0005-0000-0000-0000B7310000}"/>
    <cellStyle name="Normal 14 5 3 3 3 3" xfId="33134" xr:uid="{00000000-0005-0000-0000-0000B8310000}"/>
    <cellStyle name="Normal 14 5 3 3 3 4" xfId="23565" xr:uid="{00000000-0005-0000-0000-0000B9310000}"/>
    <cellStyle name="Normal 14 5 3 3 4" xfId="4888" xr:uid="{00000000-0005-0000-0000-0000BA310000}"/>
    <cellStyle name="Normal 14 5 3 3 4 2" xfId="52729" xr:uid="{00000000-0005-0000-0000-0000BB310000}"/>
    <cellStyle name="Normal 14 5 3 3 4 3" xfId="36629" xr:uid="{00000000-0005-0000-0000-0000BC310000}"/>
    <cellStyle name="Normal 14 5 3 3 4 4" xfId="17493" xr:uid="{00000000-0005-0000-0000-0000BD310000}"/>
    <cellStyle name="Normal 14 5 3 3 5" xfId="43162" xr:uid="{00000000-0005-0000-0000-0000BE310000}"/>
    <cellStyle name="Normal 14 5 3 3 6" xfId="27062" xr:uid="{00000000-0005-0000-0000-0000BF310000}"/>
    <cellStyle name="Normal 14 5 3 3 7" xfId="13998" xr:uid="{00000000-0005-0000-0000-0000C0310000}"/>
    <cellStyle name="Normal 14 5 3 4" xfId="6914" xr:uid="{00000000-0005-0000-0000-0000C1310000}"/>
    <cellStyle name="Normal 14 5 3 4 2" xfId="38655" xr:uid="{00000000-0005-0000-0000-0000C2310000}"/>
    <cellStyle name="Normal 14 5 3 4 2 2" xfId="54755" xr:uid="{00000000-0005-0000-0000-0000C3310000}"/>
    <cellStyle name="Normal 14 5 3 4 3" xfId="45188" xr:uid="{00000000-0005-0000-0000-0000C4310000}"/>
    <cellStyle name="Normal 14 5 3 4 4" xfId="29088" xr:uid="{00000000-0005-0000-0000-0000C5310000}"/>
    <cellStyle name="Normal 14 5 3 4 5" xfId="19519" xr:uid="{00000000-0005-0000-0000-0000C6310000}"/>
    <cellStyle name="Normal 14 5 3 5" xfId="9950" xr:uid="{00000000-0005-0000-0000-0000C7310000}"/>
    <cellStyle name="Normal 14 5 3 5 2" xfId="48224" xr:uid="{00000000-0005-0000-0000-0000C8310000}"/>
    <cellStyle name="Normal 14 5 3 5 3" xfId="32124" xr:uid="{00000000-0005-0000-0000-0000C9310000}"/>
    <cellStyle name="Normal 14 5 3 5 4" xfId="22555" xr:uid="{00000000-0005-0000-0000-0000CA310000}"/>
    <cellStyle name="Normal 14 5 3 6" xfId="3878" xr:uid="{00000000-0005-0000-0000-0000CB310000}"/>
    <cellStyle name="Normal 14 5 3 6 2" xfId="51719" xr:uid="{00000000-0005-0000-0000-0000CC310000}"/>
    <cellStyle name="Normal 14 5 3 6 3" xfId="35619" xr:uid="{00000000-0005-0000-0000-0000CD310000}"/>
    <cellStyle name="Normal 14 5 3 6 4" xfId="16483" xr:uid="{00000000-0005-0000-0000-0000CE310000}"/>
    <cellStyle name="Normal 14 5 3 7" xfId="42152" xr:uid="{00000000-0005-0000-0000-0000CF310000}"/>
    <cellStyle name="Normal 14 5 3 8" xfId="26052" xr:uid="{00000000-0005-0000-0000-0000D0310000}"/>
    <cellStyle name="Normal 14 5 3 9" xfId="12988" xr:uid="{00000000-0005-0000-0000-0000D1310000}"/>
    <cellStyle name="Normal 14 5 4" xfId="850" xr:uid="{00000000-0005-0000-0000-0000D2310000}"/>
    <cellStyle name="Normal 14 5 4 2" xfId="2878" xr:uid="{00000000-0005-0000-0000-0000D3310000}"/>
    <cellStyle name="Normal 14 5 4 2 2" xfId="9410" xr:uid="{00000000-0005-0000-0000-0000D4310000}"/>
    <cellStyle name="Normal 14 5 4 2 2 2" xfId="41151" xr:uid="{00000000-0005-0000-0000-0000D5310000}"/>
    <cellStyle name="Normal 14 5 4 2 2 2 2" xfId="57251" xr:uid="{00000000-0005-0000-0000-0000D6310000}"/>
    <cellStyle name="Normal 14 5 4 2 2 3" xfId="47684" xr:uid="{00000000-0005-0000-0000-0000D7310000}"/>
    <cellStyle name="Normal 14 5 4 2 2 4" xfId="31584" xr:uid="{00000000-0005-0000-0000-0000D8310000}"/>
    <cellStyle name="Normal 14 5 4 2 2 5" xfId="22015" xr:uid="{00000000-0005-0000-0000-0000D9310000}"/>
    <cellStyle name="Normal 14 5 4 2 3" xfId="12446" xr:uid="{00000000-0005-0000-0000-0000DA310000}"/>
    <cellStyle name="Normal 14 5 4 2 3 2" xfId="50720" xr:uid="{00000000-0005-0000-0000-0000DB310000}"/>
    <cellStyle name="Normal 14 5 4 2 3 3" xfId="34620" xr:uid="{00000000-0005-0000-0000-0000DC310000}"/>
    <cellStyle name="Normal 14 5 4 2 3 4" xfId="25051" xr:uid="{00000000-0005-0000-0000-0000DD310000}"/>
    <cellStyle name="Normal 14 5 4 2 4" xfId="6374" xr:uid="{00000000-0005-0000-0000-0000DE310000}"/>
    <cellStyle name="Normal 14 5 4 2 4 2" xfId="54215" xr:uid="{00000000-0005-0000-0000-0000DF310000}"/>
    <cellStyle name="Normal 14 5 4 2 4 3" xfId="38115" xr:uid="{00000000-0005-0000-0000-0000E0310000}"/>
    <cellStyle name="Normal 14 5 4 2 4 4" xfId="18979" xr:uid="{00000000-0005-0000-0000-0000E1310000}"/>
    <cellStyle name="Normal 14 5 4 2 5" xfId="44648" xr:uid="{00000000-0005-0000-0000-0000E2310000}"/>
    <cellStyle name="Normal 14 5 4 2 6" xfId="28548" xr:uid="{00000000-0005-0000-0000-0000E3310000}"/>
    <cellStyle name="Normal 14 5 4 2 7" xfId="15484" xr:uid="{00000000-0005-0000-0000-0000E4310000}"/>
    <cellStyle name="Normal 14 5 4 3" xfId="1860" xr:uid="{00000000-0005-0000-0000-0000E5310000}"/>
    <cellStyle name="Normal 14 5 4 3 2" xfId="8394" xr:uid="{00000000-0005-0000-0000-0000E6310000}"/>
    <cellStyle name="Normal 14 5 4 3 2 2" xfId="40135" xr:uid="{00000000-0005-0000-0000-0000E7310000}"/>
    <cellStyle name="Normal 14 5 4 3 2 2 2" xfId="56235" xr:uid="{00000000-0005-0000-0000-0000E8310000}"/>
    <cellStyle name="Normal 14 5 4 3 2 3" xfId="46668" xr:uid="{00000000-0005-0000-0000-0000E9310000}"/>
    <cellStyle name="Normal 14 5 4 3 2 4" xfId="30568" xr:uid="{00000000-0005-0000-0000-0000EA310000}"/>
    <cellStyle name="Normal 14 5 4 3 2 5" xfId="20999" xr:uid="{00000000-0005-0000-0000-0000EB310000}"/>
    <cellStyle name="Normal 14 5 4 3 3" xfId="11430" xr:uid="{00000000-0005-0000-0000-0000EC310000}"/>
    <cellStyle name="Normal 14 5 4 3 3 2" xfId="49704" xr:uid="{00000000-0005-0000-0000-0000ED310000}"/>
    <cellStyle name="Normal 14 5 4 3 3 3" xfId="33604" xr:uid="{00000000-0005-0000-0000-0000EE310000}"/>
    <cellStyle name="Normal 14 5 4 3 3 4" xfId="24035" xr:uid="{00000000-0005-0000-0000-0000EF310000}"/>
    <cellStyle name="Normal 14 5 4 3 4" xfId="5358" xr:uid="{00000000-0005-0000-0000-0000F0310000}"/>
    <cellStyle name="Normal 14 5 4 3 4 2" xfId="53199" xr:uid="{00000000-0005-0000-0000-0000F1310000}"/>
    <cellStyle name="Normal 14 5 4 3 4 3" xfId="37099" xr:uid="{00000000-0005-0000-0000-0000F2310000}"/>
    <cellStyle name="Normal 14 5 4 3 4 4" xfId="17963" xr:uid="{00000000-0005-0000-0000-0000F3310000}"/>
    <cellStyle name="Normal 14 5 4 3 5" xfId="43632" xr:uid="{00000000-0005-0000-0000-0000F4310000}"/>
    <cellStyle name="Normal 14 5 4 3 6" xfId="27532" xr:uid="{00000000-0005-0000-0000-0000F5310000}"/>
    <cellStyle name="Normal 14 5 4 3 7" xfId="14468" xr:uid="{00000000-0005-0000-0000-0000F6310000}"/>
    <cellStyle name="Normal 14 5 4 4" xfId="7384" xr:uid="{00000000-0005-0000-0000-0000F7310000}"/>
    <cellStyle name="Normal 14 5 4 4 2" xfId="39125" xr:uid="{00000000-0005-0000-0000-0000F8310000}"/>
    <cellStyle name="Normal 14 5 4 4 2 2" xfId="55225" xr:uid="{00000000-0005-0000-0000-0000F9310000}"/>
    <cellStyle name="Normal 14 5 4 4 3" xfId="45658" xr:uid="{00000000-0005-0000-0000-0000FA310000}"/>
    <cellStyle name="Normal 14 5 4 4 4" xfId="29558" xr:uid="{00000000-0005-0000-0000-0000FB310000}"/>
    <cellStyle name="Normal 14 5 4 4 5" xfId="19989" xr:uid="{00000000-0005-0000-0000-0000FC310000}"/>
    <cellStyle name="Normal 14 5 4 5" xfId="10420" xr:uid="{00000000-0005-0000-0000-0000FD310000}"/>
    <cellStyle name="Normal 14 5 4 5 2" xfId="48694" xr:uid="{00000000-0005-0000-0000-0000FE310000}"/>
    <cellStyle name="Normal 14 5 4 5 3" xfId="32594" xr:uid="{00000000-0005-0000-0000-0000FF310000}"/>
    <cellStyle name="Normal 14 5 4 5 4" xfId="23025" xr:uid="{00000000-0005-0000-0000-000000320000}"/>
    <cellStyle name="Normal 14 5 4 6" xfId="4348" xr:uid="{00000000-0005-0000-0000-000001320000}"/>
    <cellStyle name="Normal 14 5 4 6 2" xfId="52189" xr:uid="{00000000-0005-0000-0000-000002320000}"/>
    <cellStyle name="Normal 14 5 4 6 3" xfId="36089" xr:uid="{00000000-0005-0000-0000-000003320000}"/>
    <cellStyle name="Normal 14 5 4 6 4" xfId="16953" xr:uid="{00000000-0005-0000-0000-000004320000}"/>
    <cellStyle name="Normal 14 5 4 7" xfId="42622" xr:uid="{00000000-0005-0000-0000-000005320000}"/>
    <cellStyle name="Normal 14 5 4 8" xfId="26522" xr:uid="{00000000-0005-0000-0000-000006320000}"/>
    <cellStyle name="Normal 14 5 4 9" xfId="13458" xr:uid="{00000000-0005-0000-0000-000007320000}"/>
    <cellStyle name="Normal 14 5 5" xfId="2178" xr:uid="{00000000-0005-0000-0000-000008320000}"/>
    <cellStyle name="Normal 14 5 5 2" xfId="8712" xr:uid="{00000000-0005-0000-0000-000009320000}"/>
    <cellStyle name="Normal 14 5 5 2 2" xfId="40453" xr:uid="{00000000-0005-0000-0000-00000A320000}"/>
    <cellStyle name="Normal 14 5 5 2 2 2" xfId="56553" xr:uid="{00000000-0005-0000-0000-00000B320000}"/>
    <cellStyle name="Normal 14 5 5 2 3" xfId="46986" xr:uid="{00000000-0005-0000-0000-00000C320000}"/>
    <cellStyle name="Normal 14 5 5 2 4" xfId="30886" xr:uid="{00000000-0005-0000-0000-00000D320000}"/>
    <cellStyle name="Normal 14 5 5 2 5" xfId="21317" xr:uid="{00000000-0005-0000-0000-00000E320000}"/>
    <cellStyle name="Normal 14 5 5 3" xfId="11748" xr:uid="{00000000-0005-0000-0000-00000F320000}"/>
    <cellStyle name="Normal 14 5 5 3 2" xfId="50022" xr:uid="{00000000-0005-0000-0000-000010320000}"/>
    <cellStyle name="Normal 14 5 5 3 3" xfId="33922" xr:uid="{00000000-0005-0000-0000-000011320000}"/>
    <cellStyle name="Normal 14 5 5 3 4" xfId="24353" xr:uid="{00000000-0005-0000-0000-000012320000}"/>
    <cellStyle name="Normal 14 5 5 4" xfId="5676" xr:uid="{00000000-0005-0000-0000-000013320000}"/>
    <cellStyle name="Normal 14 5 5 4 2" xfId="53517" xr:uid="{00000000-0005-0000-0000-000014320000}"/>
    <cellStyle name="Normal 14 5 5 4 3" xfId="37417" xr:uid="{00000000-0005-0000-0000-000015320000}"/>
    <cellStyle name="Normal 14 5 5 4 4" xfId="18281" xr:uid="{00000000-0005-0000-0000-000016320000}"/>
    <cellStyle name="Normal 14 5 5 5" xfId="43950" xr:uid="{00000000-0005-0000-0000-000017320000}"/>
    <cellStyle name="Normal 14 5 5 6" xfId="27850" xr:uid="{00000000-0005-0000-0000-000018320000}"/>
    <cellStyle name="Normal 14 5 5 7" xfId="14786" xr:uid="{00000000-0005-0000-0000-000019320000}"/>
    <cellStyle name="Normal 14 5 6" xfId="1177" xr:uid="{00000000-0005-0000-0000-00001A320000}"/>
    <cellStyle name="Normal 14 5 6 2" xfId="7711" xr:uid="{00000000-0005-0000-0000-00001B320000}"/>
    <cellStyle name="Normal 14 5 6 2 2" xfId="39452" xr:uid="{00000000-0005-0000-0000-00001C320000}"/>
    <cellStyle name="Normal 14 5 6 2 2 2" xfId="55552" xr:uid="{00000000-0005-0000-0000-00001D320000}"/>
    <cellStyle name="Normal 14 5 6 2 3" xfId="45985" xr:uid="{00000000-0005-0000-0000-00001E320000}"/>
    <cellStyle name="Normal 14 5 6 2 4" xfId="29885" xr:uid="{00000000-0005-0000-0000-00001F320000}"/>
    <cellStyle name="Normal 14 5 6 2 5" xfId="20316" xr:uid="{00000000-0005-0000-0000-000020320000}"/>
    <cellStyle name="Normal 14 5 6 3" xfId="10747" xr:uid="{00000000-0005-0000-0000-000021320000}"/>
    <cellStyle name="Normal 14 5 6 3 2" xfId="49021" xr:uid="{00000000-0005-0000-0000-000022320000}"/>
    <cellStyle name="Normal 14 5 6 3 3" xfId="32921" xr:uid="{00000000-0005-0000-0000-000023320000}"/>
    <cellStyle name="Normal 14 5 6 3 4" xfId="23352" xr:uid="{00000000-0005-0000-0000-000024320000}"/>
    <cellStyle name="Normal 14 5 6 4" xfId="4675" xr:uid="{00000000-0005-0000-0000-000025320000}"/>
    <cellStyle name="Normal 14 5 6 4 2" xfId="52516" xr:uid="{00000000-0005-0000-0000-000026320000}"/>
    <cellStyle name="Normal 14 5 6 4 3" xfId="36416" xr:uid="{00000000-0005-0000-0000-000027320000}"/>
    <cellStyle name="Normal 14 5 6 4 4" xfId="17280" xr:uid="{00000000-0005-0000-0000-000028320000}"/>
    <cellStyle name="Normal 14 5 6 5" xfId="42949" xr:uid="{00000000-0005-0000-0000-000029320000}"/>
    <cellStyle name="Normal 14 5 6 6" xfId="26849" xr:uid="{00000000-0005-0000-0000-00002A320000}"/>
    <cellStyle name="Normal 14 5 6 7" xfId="13785" xr:uid="{00000000-0005-0000-0000-00002B320000}"/>
    <cellStyle name="Normal 14 5 7" xfId="3665" xr:uid="{00000000-0005-0000-0000-00002C320000}"/>
    <cellStyle name="Normal 14 5 7 2" xfId="35406" xr:uid="{00000000-0005-0000-0000-00002D320000}"/>
    <cellStyle name="Normal 14 5 7 2 2" xfId="51506" xr:uid="{00000000-0005-0000-0000-00002E320000}"/>
    <cellStyle name="Normal 14 5 7 3" xfId="41939" xr:uid="{00000000-0005-0000-0000-00002F320000}"/>
    <cellStyle name="Normal 14 5 7 4" xfId="25839" xr:uid="{00000000-0005-0000-0000-000030320000}"/>
    <cellStyle name="Normal 14 5 7 5" xfId="16270" xr:uid="{00000000-0005-0000-0000-000031320000}"/>
    <cellStyle name="Normal 14 5 8" xfId="6701" xr:uid="{00000000-0005-0000-0000-000032320000}"/>
    <cellStyle name="Normal 14 5 8 2" xfId="38442" xr:uid="{00000000-0005-0000-0000-000033320000}"/>
    <cellStyle name="Normal 14 5 8 2 2" xfId="54542" xr:uid="{00000000-0005-0000-0000-000034320000}"/>
    <cellStyle name="Normal 14 5 8 3" xfId="44975" xr:uid="{00000000-0005-0000-0000-000035320000}"/>
    <cellStyle name="Normal 14 5 8 4" xfId="28875" xr:uid="{00000000-0005-0000-0000-000036320000}"/>
    <cellStyle name="Normal 14 5 8 5" xfId="19306" xr:uid="{00000000-0005-0000-0000-000037320000}"/>
    <cellStyle name="Normal 14 5 9" xfId="9737" xr:uid="{00000000-0005-0000-0000-000038320000}"/>
    <cellStyle name="Normal 14 5 9 2" xfId="48011" xr:uid="{00000000-0005-0000-0000-000039320000}"/>
    <cellStyle name="Normal 14 5 9 3" xfId="31911" xr:uid="{00000000-0005-0000-0000-00003A320000}"/>
    <cellStyle name="Normal 14 5 9 4" xfId="22342" xr:uid="{00000000-0005-0000-0000-00003B320000}"/>
    <cellStyle name="Normal 14 6" xfId="230" xr:uid="{00000000-0005-0000-0000-00003C320000}"/>
    <cellStyle name="Normal 14 6 10" xfId="41497" xr:uid="{00000000-0005-0000-0000-00003D320000}"/>
    <cellStyle name="Normal 14 6 11" xfId="25397" xr:uid="{00000000-0005-0000-0000-00003E320000}"/>
    <cellStyle name="Normal 14 6 12" xfId="12792" xr:uid="{00000000-0005-0000-0000-00003F320000}"/>
    <cellStyle name="Normal 14 6 2" xfId="611" xr:uid="{00000000-0005-0000-0000-000040320000}"/>
    <cellStyle name="Normal 14 6 2 10" xfId="13059" xr:uid="{00000000-0005-0000-0000-000041320000}"/>
    <cellStyle name="Normal 14 6 2 2" xfId="2639" xr:uid="{00000000-0005-0000-0000-000042320000}"/>
    <cellStyle name="Normal 14 6 2 2 2" xfId="9171" xr:uid="{00000000-0005-0000-0000-000043320000}"/>
    <cellStyle name="Normal 14 6 2 2 2 2" xfId="40912" xr:uid="{00000000-0005-0000-0000-000044320000}"/>
    <cellStyle name="Normal 14 6 2 2 2 2 2" xfId="57012" xr:uid="{00000000-0005-0000-0000-000045320000}"/>
    <cellStyle name="Normal 14 6 2 2 2 3" xfId="47445" xr:uid="{00000000-0005-0000-0000-000046320000}"/>
    <cellStyle name="Normal 14 6 2 2 2 4" xfId="31345" xr:uid="{00000000-0005-0000-0000-000047320000}"/>
    <cellStyle name="Normal 14 6 2 2 2 5" xfId="21776" xr:uid="{00000000-0005-0000-0000-000048320000}"/>
    <cellStyle name="Normal 14 6 2 2 3" xfId="12207" xr:uid="{00000000-0005-0000-0000-000049320000}"/>
    <cellStyle name="Normal 14 6 2 2 3 2" xfId="50481" xr:uid="{00000000-0005-0000-0000-00004A320000}"/>
    <cellStyle name="Normal 14 6 2 2 3 3" xfId="34381" xr:uid="{00000000-0005-0000-0000-00004B320000}"/>
    <cellStyle name="Normal 14 6 2 2 3 4" xfId="24812" xr:uid="{00000000-0005-0000-0000-00004C320000}"/>
    <cellStyle name="Normal 14 6 2 2 4" xfId="6135" xr:uid="{00000000-0005-0000-0000-00004D320000}"/>
    <cellStyle name="Normal 14 6 2 2 4 2" xfId="53976" xr:uid="{00000000-0005-0000-0000-00004E320000}"/>
    <cellStyle name="Normal 14 6 2 2 4 3" xfId="37876" xr:uid="{00000000-0005-0000-0000-00004F320000}"/>
    <cellStyle name="Normal 14 6 2 2 4 4" xfId="18740" xr:uid="{00000000-0005-0000-0000-000050320000}"/>
    <cellStyle name="Normal 14 6 2 2 5" xfId="44409" xr:uid="{00000000-0005-0000-0000-000051320000}"/>
    <cellStyle name="Normal 14 6 2 2 6" xfId="28309" xr:uid="{00000000-0005-0000-0000-000052320000}"/>
    <cellStyle name="Normal 14 6 2 2 7" xfId="15245" xr:uid="{00000000-0005-0000-0000-000053320000}"/>
    <cellStyle name="Normal 14 6 2 3" xfId="1461" xr:uid="{00000000-0005-0000-0000-000054320000}"/>
    <cellStyle name="Normal 14 6 2 3 2" xfId="7995" xr:uid="{00000000-0005-0000-0000-000055320000}"/>
    <cellStyle name="Normal 14 6 2 3 2 2" xfId="39736" xr:uid="{00000000-0005-0000-0000-000056320000}"/>
    <cellStyle name="Normal 14 6 2 3 2 2 2" xfId="55836" xr:uid="{00000000-0005-0000-0000-000057320000}"/>
    <cellStyle name="Normal 14 6 2 3 2 3" xfId="46269" xr:uid="{00000000-0005-0000-0000-000058320000}"/>
    <cellStyle name="Normal 14 6 2 3 2 4" xfId="30169" xr:uid="{00000000-0005-0000-0000-000059320000}"/>
    <cellStyle name="Normal 14 6 2 3 2 5" xfId="20600" xr:uid="{00000000-0005-0000-0000-00005A320000}"/>
    <cellStyle name="Normal 14 6 2 3 3" xfId="11031" xr:uid="{00000000-0005-0000-0000-00005B320000}"/>
    <cellStyle name="Normal 14 6 2 3 3 2" xfId="49305" xr:uid="{00000000-0005-0000-0000-00005C320000}"/>
    <cellStyle name="Normal 14 6 2 3 3 3" xfId="33205" xr:uid="{00000000-0005-0000-0000-00005D320000}"/>
    <cellStyle name="Normal 14 6 2 3 3 4" xfId="23636" xr:uid="{00000000-0005-0000-0000-00005E320000}"/>
    <cellStyle name="Normal 14 6 2 3 4" xfId="4959" xr:uid="{00000000-0005-0000-0000-00005F320000}"/>
    <cellStyle name="Normal 14 6 2 3 4 2" xfId="52800" xr:uid="{00000000-0005-0000-0000-000060320000}"/>
    <cellStyle name="Normal 14 6 2 3 4 3" xfId="36700" xr:uid="{00000000-0005-0000-0000-000061320000}"/>
    <cellStyle name="Normal 14 6 2 3 4 4" xfId="17564" xr:uid="{00000000-0005-0000-0000-000062320000}"/>
    <cellStyle name="Normal 14 6 2 3 5" xfId="43233" xr:uid="{00000000-0005-0000-0000-000063320000}"/>
    <cellStyle name="Normal 14 6 2 3 6" xfId="27133" xr:uid="{00000000-0005-0000-0000-000064320000}"/>
    <cellStyle name="Normal 14 6 2 3 7" xfId="14069" xr:uid="{00000000-0005-0000-0000-000065320000}"/>
    <cellStyle name="Normal 14 6 2 4" xfId="3949" xr:uid="{00000000-0005-0000-0000-000066320000}"/>
    <cellStyle name="Normal 14 6 2 4 2" xfId="35690" xr:uid="{00000000-0005-0000-0000-000067320000}"/>
    <cellStyle name="Normal 14 6 2 4 2 2" xfId="51790" xr:uid="{00000000-0005-0000-0000-000068320000}"/>
    <cellStyle name="Normal 14 6 2 4 3" xfId="42223" xr:uid="{00000000-0005-0000-0000-000069320000}"/>
    <cellStyle name="Normal 14 6 2 4 4" xfId="26123" xr:uid="{00000000-0005-0000-0000-00006A320000}"/>
    <cellStyle name="Normal 14 6 2 4 5" xfId="16554" xr:uid="{00000000-0005-0000-0000-00006B320000}"/>
    <cellStyle name="Normal 14 6 2 5" xfId="6985" xr:uid="{00000000-0005-0000-0000-00006C320000}"/>
    <cellStyle name="Normal 14 6 2 5 2" xfId="38726" xr:uid="{00000000-0005-0000-0000-00006D320000}"/>
    <cellStyle name="Normal 14 6 2 5 2 2" xfId="54826" xr:uid="{00000000-0005-0000-0000-00006E320000}"/>
    <cellStyle name="Normal 14 6 2 5 3" xfId="45259" xr:uid="{00000000-0005-0000-0000-00006F320000}"/>
    <cellStyle name="Normal 14 6 2 5 4" xfId="29159" xr:uid="{00000000-0005-0000-0000-000070320000}"/>
    <cellStyle name="Normal 14 6 2 5 5" xfId="19590" xr:uid="{00000000-0005-0000-0000-000071320000}"/>
    <cellStyle name="Normal 14 6 2 6" xfId="10021" xr:uid="{00000000-0005-0000-0000-000072320000}"/>
    <cellStyle name="Normal 14 6 2 6 2" xfId="48295" xr:uid="{00000000-0005-0000-0000-000073320000}"/>
    <cellStyle name="Normal 14 6 2 6 3" xfId="32195" xr:uid="{00000000-0005-0000-0000-000074320000}"/>
    <cellStyle name="Normal 14 6 2 6 4" xfId="22626" xr:uid="{00000000-0005-0000-0000-000075320000}"/>
    <cellStyle name="Normal 14 6 2 7" xfId="3460" xr:uid="{00000000-0005-0000-0000-000076320000}"/>
    <cellStyle name="Normal 14 6 2 7 2" xfId="51301" xr:uid="{00000000-0005-0000-0000-000077320000}"/>
    <cellStyle name="Normal 14 6 2 7 3" xfId="35201" xr:uid="{00000000-0005-0000-0000-000078320000}"/>
    <cellStyle name="Normal 14 6 2 7 4" xfId="16065" xr:uid="{00000000-0005-0000-0000-000079320000}"/>
    <cellStyle name="Normal 14 6 2 8" xfId="41734" xr:uid="{00000000-0005-0000-0000-00007A320000}"/>
    <cellStyle name="Normal 14 6 2 9" xfId="25634" xr:uid="{00000000-0005-0000-0000-00007B320000}"/>
    <cellStyle name="Normal 14 6 3" xfId="867" xr:uid="{00000000-0005-0000-0000-00007C320000}"/>
    <cellStyle name="Normal 14 6 3 2" xfId="2895" xr:uid="{00000000-0005-0000-0000-00007D320000}"/>
    <cellStyle name="Normal 14 6 3 2 2" xfId="9427" xr:uid="{00000000-0005-0000-0000-00007E320000}"/>
    <cellStyle name="Normal 14 6 3 2 2 2" xfId="41168" xr:uid="{00000000-0005-0000-0000-00007F320000}"/>
    <cellStyle name="Normal 14 6 3 2 2 2 2" xfId="57268" xr:uid="{00000000-0005-0000-0000-000080320000}"/>
    <cellStyle name="Normal 14 6 3 2 2 3" xfId="47701" xr:uid="{00000000-0005-0000-0000-000081320000}"/>
    <cellStyle name="Normal 14 6 3 2 2 4" xfId="31601" xr:uid="{00000000-0005-0000-0000-000082320000}"/>
    <cellStyle name="Normal 14 6 3 2 2 5" xfId="22032" xr:uid="{00000000-0005-0000-0000-000083320000}"/>
    <cellStyle name="Normal 14 6 3 2 3" xfId="12463" xr:uid="{00000000-0005-0000-0000-000084320000}"/>
    <cellStyle name="Normal 14 6 3 2 3 2" xfId="50737" xr:uid="{00000000-0005-0000-0000-000085320000}"/>
    <cellStyle name="Normal 14 6 3 2 3 3" xfId="34637" xr:uid="{00000000-0005-0000-0000-000086320000}"/>
    <cellStyle name="Normal 14 6 3 2 3 4" xfId="25068" xr:uid="{00000000-0005-0000-0000-000087320000}"/>
    <cellStyle name="Normal 14 6 3 2 4" xfId="6391" xr:uid="{00000000-0005-0000-0000-000088320000}"/>
    <cellStyle name="Normal 14 6 3 2 4 2" xfId="54232" xr:uid="{00000000-0005-0000-0000-000089320000}"/>
    <cellStyle name="Normal 14 6 3 2 4 3" xfId="38132" xr:uid="{00000000-0005-0000-0000-00008A320000}"/>
    <cellStyle name="Normal 14 6 3 2 4 4" xfId="18996" xr:uid="{00000000-0005-0000-0000-00008B320000}"/>
    <cellStyle name="Normal 14 6 3 2 5" xfId="44665" xr:uid="{00000000-0005-0000-0000-00008C320000}"/>
    <cellStyle name="Normal 14 6 3 2 6" xfId="28565" xr:uid="{00000000-0005-0000-0000-00008D320000}"/>
    <cellStyle name="Normal 14 6 3 2 7" xfId="15501" xr:uid="{00000000-0005-0000-0000-00008E320000}"/>
    <cellStyle name="Normal 14 6 3 3" xfId="1877" xr:uid="{00000000-0005-0000-0000-00008F320000}"/>
    <cellStyle name="Normal 14 6 3 3 2" xfId="8411" xr:uid="{00000000-0005-0000-0000-000090320000}"/>
    <cellStyle name="Normal 14 6 3 3 2 2" xfId="40152" xr:uid="{00000000-0005-0000-0000-000091320000}"/>
    <cellStyle name="Normal 14 6 3 3 2 2 2" xfId="56252" xr:uid="{00000000-0005-0000-0000-000092320000}"/>
    <cellStyle name="Normal 14 6 3 3 2 3" xfId="46685" xr:uid="{00000000-0005-0000-0000-000093320000}"/>
    <cellStyle name="Normal 14 6 3 3 2 4" xfId="30585" xr:uid="{00000000-0005-0000-0000-000094320000}"/>
    <cellStyle name="Normal 14 6 3 3 2 5" xfId="21016" xr:uid="{00000000-0005-0000-0000-000095320000}"/>
    <cellStyle name="Normal 14 6 3 3 3" xfId="11447" xr:uid="{00000000-0005-0000-0000-000096320000}"/>
    <cellStyle name="Normal 14 6 3 3 3 2" xfId="49721" xr:uid="{00000000-0005-0000-0000-000097320000}"/>
    <cellStyle name="Normal 14 6 3 3 3 3" xfId="33621" xr:uid="{00000000-0005-0000-0000-000098320000}"/>
    <cellStyle name="Normal 14 6 3 3 3 4" xfId="24052" xr:uid="{00000000-0005-0000-0000-000099320000}"/>
    <cellStyle name="Normal 14 6 3 3 4" xfId="5375" xr:uid="{00000000-0005-0000-0000-00009A320000}"/>
    <cellStyle name="Normal 14 6 3 3 4 2" xfId="53216" xr:uid="{00000000-0005-0000-0000-00009B320000}"/>
    <cellStyle name="Normal 14 6 3 3 4 3" xfId="37116" xr:uid="{00000000-0005-0000-0000-00009C320000}"/>
    <cellStyle name="Normal 14 6 3 3 4 4" xfId="17980" xr:uid="{00000000-0005-0000-0000-00009D320000}"/>
    <cellStyle name="Normal 14 6 3 3 5" xfId="43649" xr:uid="{00000000-0005-0000-0000-00009E320000}"/>
    <cellStyle name="Normal 14 6 3 3 6" xfId="27549" xr:uid="{00000000-0005-0000-0000-00009F320000}"/>
    <cellStyle name="Normal 14 6 3 3 7" xfId="14485" xr:uid="{00000000-0005-0000-0000-0000A0320000}"/>
    <cellStyle name="Normal 14 6 3 4" xfId="7401" xr:uid="{00000000-0005-0000-0000-0000A1320000}"/>
    <cellStyle name="Normal 14 6 3 4 2" xfId="39142" xr:uid="{00000000-0005-0000-0000-0000A2320000}"/>
    <cellStyle name="Normal 14 6 3 4 2 2" xfId="55242" xr:uid="{00000000-0005-0000-0000-0000A3320000}"/>
    <cellStyle name="Normal 14 6 3 4 3" xfId="45675" xr:uid="{00000000-0005-0000-0000-0000A4320000}"/>
    <cellStyle name="Normal 14 6 3 4 4" xfId="29575" xr:uid="{00000000-0005-0000-0000-0000A5320000}"/>
    <cellStyle name="Normal 14 6 3 4 5" xfId="20006" xr:uid="{00000000-0005-0000-0000-0000A6320000}"/>
    <cellStyle name="Normal 14 6 3 5" xfId="10437" xr:uid="{00000000-0005-0000-0000-0000A7320000}"/>
    <cellStyle name="Normal 14 6 3 5 2" xfId="48711" xr:uid="{00000000-0005-0000-0000-0000A8320000}"/>
    <cellStyle name="Normal 14 6 3 5 3" xfId="32611" xr:uid="{00000000-0005-0000-0000-0000A9320000}"/>
    <cellStyle name="Normal 14 6 3 5 4" xfId="23042" xr:uid="{00000000-0005-0000-0000-0000AA320000}"/>
    <cellStyle name="Normal 14 6 3 6" xfId="4365" xr:uid="{00000000-0005-0000-0000-0000AB320000}"/>
    <cellStyle name="Normal 14 6 3 6 2" xfId="52206" xr:uid="{00000000-0005-0000-0000-0000AC320000}"/>
    <cellStyle name="Normal 14 6 3 6 3" xfId="36106" xr:uid="{00000000-0005-0000-0000-0000AD320000}"/>
    <cellStyle name="Normal 14 6 3 6 4" xfId="16970" xr:uid="{00000000-0005-0000-0000-0000AE320000}"/>
    <cellStyle name="Normal 14 6 3 7" xfId="42639" xr:uid="{00000000-0005-0000-0000-0000AF320000}"/>
    <cellStyle name="Normal 14 6 3 8" xfId="26539" xr:uid="{00000000-0005-0000-0000-0000B0320000}"/>
    <cellStyle name="Normal 14 6 3 9" xfId="13475" xr:uid="{00000000-0005-0000-0000-0000B1320000}"/>
    <cellStyle name="Normal 14 6 4" xfId="2249" xr:uid="{00000000-0005-0000-0000-0000B2320000}"/>
    <cellStyle name="Normal 14 6 4 2" xfId="8783" xr:uid="{00000000-0005-0000-0000-0000B3320000}"/>
    <cellStyle name="Normal 14 6 4 2 2" xfId="40524" xr:uid="{00000000-0005-0000-0000-0000B4320000}"/>
    <cellStyle name="Normal 14 6 4 2 2 2" xfId="56624" xr:uid="{00000000-0005-0000-0000-0000B5320000}"/>
    <cellStyle name="Normal 14 6 4 2 3" xfId="47057" xr:uid="{00000000-0005-0000-0000-0000B6320000}"/>
    <cellStyle name="Normal 14 6 4 2 4" xfId="30957" xr:uid="{00000000-0005-0000-0000-0000B7320000}"/>
    <cellStyle name="Normal 14 6 4 2 5" xfId="21388" xr:uid="{00000000-0005-0000-0000-0000B8320000}"/>
    <cellStyle name="Normal 14 6 4 3" xfId="11819" xr:uid="{00000000-0005-0000-0000-0000B9320000}"/>
    <cellStyle name="Normal 14 6 4 3 2" xfId="50093" xr:uid="{00000000-0005-0000-0000-0000BA320000}"/>
    <cellStyle name="Normal 14 6 4 3 3" xfId="33993" xr:uid="{00000000-0005-0000-0000-0000BB320000}"/>
    <cellStyle name="Normal 14 6 4 3 4" xfId="24424" xr:uid="{00000000-0005-0000-0000-0000BC320000}"/>
    <cellStyle name="Normal 14 6 4 4" xfId="5747" xr:uid="{00000000-0005-0000-0000-0000BD320000}"/>
    <cellStyle name="Normal 14 6 4 4 2" xfId="53588" xr:uid="{00000000-0005-0000-0000-0000BE320000}"/>
    <cellStyle name="Normal 14 6 4 4 3" xfId="37488" xr:uid="{00000000-0005-0000-0000-0000BF320000}"/>
    <cellStyle name="Normal 14 6 4 4 4" xfId="18352" xr:uid="{00000000-0005-0000-0000-0000C0320000}"/>
    <cellStyle name="Normal 14 6 4 5" xfId="44021" xr:uid="{00000000-0005-0000-0000-0000C1320000}"/>
    <cellStyle name="Normal 14 6 4 6" xfId="27921" xr:uid="{00000000-0005-0000-0000-0000C2320000}"/>
    <cellStyle name="Normal 14 6 4 7" xfId="14857" xr:uid="{00000000-0005-0000-0000-0000C3320000}"/>
    <cellStyle name="Normal 14 6 5" xfId="1194" xr:uid="{00000000-0005-0000-0000-0000C4320000}"/>
    <cellStyle name="Normal 14 6 5 2" xfId="7728" xr:uid="{00000000-0005-0000-0000-0000C5320000}"/>
    <cellStyle name="Normal 14 6 5 2 2" xfId="39469" xr:uid="{00000000-0005-0000-0000-0000C6320000}"/>
    <cellStyle name="Normal 14 6 5 2 2 2" xfId="55569" xr:uid="{00000000-0005-0000-0000-0000C7320000}"/>
    <cellStyle name="Normal 14 6 5 2 3" xfId="46002" xr:uid="{00000000-0005-0000-0000-0000C8320000}"/>
    <cellStyle name="Normal 14 6 5 2 4" xfId="29902" xr:uid="{00000000-0005-0000-0000-0000C9320000}"/>
    <cellStyle name="Normal 14 6 5 2 5" xfId="20333" xr:uid="{00000000-0005-0000-0000-0000CA320000}"/>
    <cellStyle name="Normal 14 6 5 3" xfId="10764" xr:uid="{00000000-0005-0000-0000-0000CB320000}"/>
    <cellStyle name="Normal 14 6 5 3 2" xfId="49038" xr:uid="{00000000-0005-0000-0000-0000CC320000}"/>
    <cellStyle name="Normal 14 6 5 3 3" xfId="32938" xr:uid="{00000000-0005-0000-0000-0000CD320000}"/>
    <cellStyle name="Normal 14 6 5 3 4" xfId="23369" xr:uid="{00000000-0005-0000-0000-0000CE320000}"/>
    <cellStyle name="Normal 14 6 5 4" xfId="4692" xr:uid="{00000000-0005-0000-0000-0000CF320000}"/>
    <cellStyle name="Normal 14 6 5 4 2" xfId="52533" xr:uid="{00000000-0005-0000-0000-0000D0320000}"/>
    <cellStyle name="Normal 14 6 5 4 3" xfId="36433" xr:uid="{00000000-0005-0000-0000-0000D1320000}"/>
    <cellStyle name="Normal 14 6 5 4 4" xfId="17297" xr:uid="{00000000-0005-0000-0000-0000D2320000}"/>
    <cellStyle name="Normal 14 6 5 5" xfId="42966" xr:uid="{00000000-0005-0000-0000-0000D3320000}"/>
    <cellStyle name="Normal 14 6 5 6" xfId="26866" xr:uid="{00000000-0005-0000-0000-0000D4320000}"/>
    <cellStyle name="Normal 14 6 5 7" xfId="13802" xr:uid="{00000000-0005-0000-0000-0000D5320000}"/>
    <cellStyle name="Normal 14 6 6" xfId="3682" xr:uid="{00000000-0005-0000-0000-0000D6320000}"/>
    <cellStyle name="Normal 14 6 6 2" xfId="35423" xr:uid="{00000000-0005-0000-0000-0000D7320000}"/>
    <cellStyle name="Normal 14 6 6 2 2" xfId="51523" xr:uid="{00000000-0005-0000-0000-0000D8320000}"/>
    <cellStyle name="Normal 14 6 6 3" xfId="41956" xr:uid="{00000000-0005-0000-0000-0000D9320000}"/>
    <cellStyle name="Normal 14 6 6 4" xfId="25856" xr:uid="{00000000-0005-0000-0000-0000DA320000}"/>
    <cellStyle name="Normal 14 6 6 5" xfId="16287" xr:uid="{00000000-0005-0000-0000-0000DB320000}"/>
    <cellStyle name="Normal 14 6 7" xfId="6718" xr:uid="{00000000-0005-0000-0000-0000DC320000}"/>
    <cellStyle name="Normal 14 6 7 2" xfId="38459" xr:uid="{00000000-0005-0000-0000-0000DD320000}"/>
    <cellStyle name="Normal 14 6 7 2 2" xfId="54559" xr:uid="{00000000-0005-0000-0000-0000DE320000}"/>
    <cellStyle name="Normal 14 6 7 3" xfId="44992" xr:uid="{00000000-0005-0000-0000-0000DF320000}"/>
    <cellStyle name="Normal 14 6 7 4" xfId="28892" xr:uid="{00000000-0005-0000-0000-0000E0320000}"/>
    <cellStyle name="Normal 14 6 7 5" xfId="19323" xr:uid="{00000000-0005-0000-0000-0000E1320000}"/>
    <cellStyle name="Normal 14 6 8" xfId="9754" xr:uid="{00000000-0005-0000-0000-0000E2320000}"/>
    <cellStyle name="Normal 14 6 8 2" xfId="48028" xr:uid="{00000000-0005-0000-0000-0000E3320000}"/>
    <cellStyle name="Normal 14 6 8 3" xfId="31928" xr:uid="{00000000-0005-0000-0000-0000E4320000}"/>
    <cellStyle name="Normal 14 6 8 4" xfId="22359" xr:uid="{00000000-0005-0000-0000-0000E5320000}"/>
    <cellStyle name="Normal 14 6 9" xfId="3222" xr:uid="{00000000-0005-0000-0000-0000E6320000}"/>
    <cellStyle name="Normal 14 6 9 2" xfId="51064" xr:uid="{00000000-0005-0000-0000-0000E7320000}"/>
    <cellStyle name="Normal 14 6 9 3" xfId="34964" xr:uid="{00000000-0005-0000-0000-0000E8320000}"/>
    <cellStyle name="Normal 14 6 9 4" xfId="15828" xr:uid="{00000000-0005-0000-0000-0000E9320000}"/>
    <cellStyle name="Normal 14 7" xfId="47" xr:uid="{00000000-0005-0000-0000-0000EA320000}"/>
    <cellStyle name="Normal 14 7 10" xfId="41514" xr:uid="{00000000-0005-0000-0000-0000EB320000}"/>
    <cellStyle name="Normal 14 7 11" xfId="25414" xr:uid="{00000000-0005-0000-0000-0000EC320000}"/>
    <cellStyle name="Normal 14 7 12" xfId="12809" xr:uid="{00000000-0005-0000-0000-0000ED320000}"/>
    <cellStyle name="Normal 14 7 2" xfId="884" xr:uid="{00000000-0005-0000-0000-0000EE320000}"/>
    <cellStyle name="Normal 14 7 2 10" xfId="13492" xr:uid="{00000000-0005-0000-0000-0000EF320000}"/>
    <cellStyle name="Normal 14 7 2 2" xfId="2912" xr:uid="{00000000-0005-0000-0000-0000F0320000}"/>
    <cellStyle name="Normal 14 7 2 2 2" xfId="9444" xr:uid="{00000000-0005-0000-0000-0000F1320000}"/>
    <cellStyle name="Normal 14 7 2 2 2 2" xfId="41185" xr:uid="{00000000-0005-0000-0000-0000F2320000}"/>
    <cellStyle name="Normal 14 7 2 2 2 2 2" xfId="57285" xr:uid="{00000000-0005-0000-0000-0000F3320000}"/>
    <cellStyle name="Normal 14 7 2 2 2 3" xfId="47718" xr:uid="{00000000-0005-0000-0000-0000F4320000}"/>
    <cellStyle name="Normal 14 7 2 2 2 4" xfId="31618" xr:uid="{00000000-0005-0000-0000-0000F5320000}"/>
    <cellStyle name="Normal 14 7 2 2 2 5" xfId="22049" xr:uid="{00000000-0005-0000-0000-0000F6320000}"/>
    <cellStyle name="Normal 14 7 2 2 3" xfId="12480" xr:uid="{00000000-0005-0000-0000-0000F7320000}"/>
    <cellStyle name="Normal 14 7 2 2 3 2" xfId="50754" xr:uid="{00000000-0005-0000-0000-0000F8320000}"/>
    <cellStyle name="Normal 14 7 2 2 3 3" xfId="34654" xr:uid="{00000000-0005-0000-0000-0000F9320000}"/>
    <cellStyle name="Normal 14 7 2 2 3 4" xfId="25085" xr:uid="{00000000-0005-0000-0000-0000FA320000}"/>
    <cellStyle name="Normal 14 7 2 2 4" xfId="6408" xr:uid="{00000000-0005-0000-0000-0000FB320000}"/>
    <cellStyle name="Normal 14 7 2 2 4 2" xfId="54249" xr:uid="{00000000-0005-0000-0000-0000FC320000}"/>
    <cellStyle name="Normal 14 7 2 2 4 3" xfId="38149" xr:uid="{00000000-0005-0000-0000-0000FD320000}"/>
    <cellStyle name="Normal 14 7 2 2 4 4" xfId="19013" xr:uid="{00000000-0005-0000-0000-0000FE320000}"/>
    <cellStyle name="Normal 14 7 2 2 5" xfId="44682" xr:uid="{00000000-0005-0000-0000-0000FF320000}"/>
    <cellStyle name="Normal 14 7 2 2 6" xfId="28582" xr:uid="{00000000-0005-0000-0000-000000330000}"/>
    <cellStyle name="Normal 14 7 2 2 7" xfId="15518" xr:uid="{00000000-0005-0000-0000-000001330000}"/>
    <cellStyle name="Normal 14 7 2 3" xfId="1894" xr:uid="{00000000-0005-0000-0000-000002330000}"/>
    <cellStyle name="Normal 14 7 2 3 2" xfId="8428" xr:uid="{00000000-0005-0000-0000-000003330000}"/>
    <cellStyle name="Normal 14 7 2 3 2 2" xfId="40169" xr:uid="{00000000-0005-0000-0000-000004330000}"/>
    <cellStyle name="Normal 14 7 2 3 2 2 2" xfId="56269" xr:uid="{00000000-0005-0000-0000-000005330000}"/>
    <cellStyle name="Normal 14 7 2 3 2 3" xfId="46702" xr:uid="{00000000-0005-0000-0000-000006330000}"/>
    <cellStyle name="Normal 14 7 2 3 2 4" xfId="30602" xr:uid="{00000000-0005-0000-0000-000007330000}"/>
    <cellStyle name="Normal 14 7 2 3 2 5" xfId="21033" xr:uid="{00000000-0005-0000-0000-000008330000}"/>
    <cellStyle name="Normal 14 7 2 3 3" xfId="11464" xr:uid="{00000000-0005-0000-0000-000009330000}"/>
    <cellStyle name="Normal 14 7 2 3 3 2" xfId="49738" xr:uid="{00000000-0005-0000-0000-00000A330000}"/>
    <cellStyle name="Normal 14 7 2 3 3 3" xfId="33638" xr:uid="{00000000-0005-0000-0000-00000B330000}"/>
    <cellStyle name="Normal 14 7 2 3 3 4" xfId="24069" xr:uid="{00000000-0005-0000-0000-00000C330000}"/>
    <cellStyle name="Normal 14 7 2 3 4" xfId="5392" xr:uid="{00000000-0005-0000-0000-00000D330000}"/>
    <cellStyle name="Normal 14 7 2 3 4 2" xfId="53233" xr:uid="{00000000-0005-0000-0000-00000E330000}"/>
    <cellStyle name="Normal 14 7 2 3 4 3" xfId="37133" xr:uid="{00000000-0005-0000-0000-00000F330000}"/>
    <cellStyle name="Normal 14 7 2 3 4 4" xfId="17997" xr:uid="{00000000-0005-0000-0000-000010330000}"/>
    <cellStyle name="Normal 14 7 2 3 5" xfId="43666" xr:uid="{00000000-0005-0000-0000-000011330000}"/>
    <cellStyle name="Normal 14 7 2 3 6" xfId="27566" xr:uid="{00000000-0005-0000-0000-000012330000}"/>
    <cellStyle name="Normal 14 7 2 3 7" xfId="14502" xr:uid="{00000000-0005-0000-0000-000013330000}"/>
    <cellStyle name="Normal 14 7 2 4" xfId="4382" xr:uid="{00000000-0005-0000-0000-000014330000}"/>
    <cellStyle name="Normal 14 7 2 4 2" xfId="36123" xr:uid="{00000000-0005-0000-0000-000015330000}"/>
    <cellStyle name="Normal 14 7 2 4 2 2" xfId="52223" xr:uid="{00000000-0005-0000-0000-000016330000}"/>
    <cellStyle name="Normal 14 7 2 4 3" xfId="42656" xr:uid="{00000000-0005-0000-0000-000017330000}"/>
    <cellStyle name="Normal 14 7 2 4 4" xfId="26556" xr:uid="{00000000-0005-0000-0000-000018330000}"/>
    <cellStyle name="Normal 14 7 2 4 5" xfId="16987" xr:uid="{00000000-0005-0000-0000-000019330000}"/>
    <cellStyle name="Normal 14 7 2 5" xfId="7418" xr:uid="{00000000-0005-0000-0000-00001A330000}"/>
    <cellStyle name="Normal 14 7 2 5 2" xfId="39159" xr:uid="{00000000-0005-0000-0000-00001B330000}"/>
    <cellStyle name="Normal 14 7 2 5 2 2" xfId="55259" xr:uid="{00000000-0005-0000-0000-00001C330000}"/>
    <cellStyle name="Normal 14 7 2 5 3" xfId="45692" xr:uid="{00000000-0005-0000-0000-00001D330000}"/>
    <cellStyle name="Normal 14 7 2 5 4" xfId="29592" xr:uid="{00000000-0005-0000-0000-00001E330000}"/>
    <cellStyle name="Normal 14 7 2 5 5" xfId="20023" xr:uid="{00000000-0005-0000-0000-00001F330000}"/>
    <cellStyle name="Normal 14 7 2 6" xfId="10454" xr:uid="{00000000-0005-0000-0000-000020330000}"/>
    <cellStyle name="Normal 14 7 2 6 2" xfId="48728" xr:uid="{00000000-0005-0000-0000-000021330000}"/>
    <cellStyle name="Normal 14 7 2 6 3" xfId="32628" xr:uid="{00000000-0005-0000-0000-000022330000}"/>
    <cellStyle name="Normal 14 7 2 6 4" xfId="23059" xr:uid="{00000000-0005-0000-0000-000023330000}"/>
    <cellStyle name="Normal 14 7 2 7" xfId="3477" xr:uid="{00000000-0005-0000-0000-000024330000}"/>
    <cellStyle name="Normal 14 7 2 7 2" xfId="51318" xr:uid="{00000000-0005-0000-0000-000025330000}"/>
    <cellStyle name="Normal 14 7 2 7 3" xfId="35218" xr:uid="{00000000-0005-0000-0000-000026330000}"/>
    <cellStyle name="Normal 14 7 2 7 4" xfId="16082" xr:uid="{00000000-0005-0000-0000-000027330000}"/>
    <cellStyle name="Normal 14 7 2 8" xfId="41751" xr:uid="{00000000-0005-0000-0000-000028330000}"/>
    <cellStyle name="Normal 14 7 2 9" xfId="25651" xr:uid="{00000000-0005-0000-0000-000029330000}"/>
    <cellStyle name="Normal 14 7 3" xfId="662" xr:uid="{00000000-0005-0000-0000-00002A330000}"/>
    <cellStyle name="Normal 14 7 3 2" xfId="2690" xr:uid="{00000000-0005-0000-0000-00002B330000}"/>
    <cellStyle name="Normal 14 7 3 2 2" xfId="9222" xr:uid="{00000000-0005-0000-0000-00002C330000}"/>
    <cellStyle name="Normal 14 7 3 2 2 2" xfId="40963" xr:uid="{00000000-0005-0000-0000-00002D330000}"/>
    <cellStyle name="Normal 14 7 3 2 2 2 2" xfId="57063" xr:uid="{00000000-0005-0000-0000-00002E330000}"/>
    <cellStyle name="Normal 14 7 3 2 2 3" xfId="47496" xr:uid="{00000000-0005-0000-0000-00002F330000}"/>
    <cellStyle name="Normal 14 7 3 2 2 4" xfId="31396" xr:uid="{00000000-0005-0000-0000-000030330000}"/>
    <cellStyle name="Normal 14 7 3 2 2 5" xfId="21827" xr:uid="{00000000-0005-0000-0000-000031330000}"/>
    <cellStyle name="Normal 14 7 3 2 3" xfId="12258" xr:uid="{00000000-0005-0000-0000-000032330000}"/>
    <cellStyle name="Normal 14 7 3 2 3 2" xfId="50532" xr:uid="{00000000-0005-0000-0000-000033330000}"/>
    <cellStyle name="Normal 14 7 3 2 3 3" xfId="34432" xr:uid="{00000000-0005-0000-0000-000034330000}"/>
    <cellStyle name="Normal 14 7 3 2 3 4" xfId="24863" xr:uid="{00000000-0005-0000-0000-000035330000}"/>
    <cellStyle name="Normal 14 7 3 2 4" xfId="6186" xr:uid="{00000000-0005-0000-0000-000036330000}"/>
    <cellStyle name="Normal 14 7 3 2 4 2" xfId="54027" xr:uid="{00000000-0005-0000-0000-000037330000}"/>
    <cellStyle name="Normal 14 7 3 2 4 3" xfId="37927" xr:uid="{00000000-0005-0000-0000-000038330000}"/>
    <cellStyle name="Normal 14 7 3 2 4 4" xfId="18791" xr:uid="{00000000-0005-0000-0000-000039330000}"/>
    <cellStyle name="Normal 14 7 3 2 5" xfId="44460" xr:uid="{00000000-0005-0000-0000-00003A330000}"/>
    <cellStyle name="Normal 14 7 3 2 6" xfId="28360" xr:uid="{00000000-0005-0000-0000-00003B330000}"/>
    <cellStyle name="Normal 14 7 3 2 7" xfId="15296" xr:uid="{00000000-0005-0000-0000-00003C330000}"/>
    <cellStyle name="Normal 14 7 3 3" xfId="1672" xr:uid="{00000000-0005-0000-0000-00003D330000}"/>
    <cellStyle name="Normal 14 7 3 3 2" xfId="8206" xr:uid="{00000000-0005-0000-0000-00003E330000}"/>
    <cellStyle name="Normal 14 7 3 3 2 2" xfId="39947" xr:uid="{00000000-0005-0000-0000-00003F330000}"/>
    <cellStyle name="Normal 14 7 3 3 2 2 2" xfId="56047" xr:uid="{00000000-0005-0000-0000-000040330000}"/>
    <cellStyle name="Normal 14 7 3 3 2 3" xfId="46480" xr:uid="{00000000-0005-0000-0000-000041330000}"/>
    <cellStyle name="Normal 14 7 3 3 2 4" xfId="30380" xr:uid="{00000000-0005-0000-0000-000042330000}"/>
    <cellStyle name="Normal 14 7 3 3 2 5" xfId="20811" xr:uid="{00000000-0005-0000-0000-000043330000}"/>
    <cellStyle name="Normal 14 7 3 3 3" xfId="11242" xr:uid="{00000000-0005-0000-0000-000044330000}"/>
    <cellStyle name="Normal 14 7 3 3 3 2" xfId="49516" xr:uid="{00000000-0005-0000-0000-000045330000}"/>
    <cellStyle name="Normal 14 7 3 3 3 3" xfId="33416" xr:uid="{00000000-0005-0000-0000-000046330000}"/>
    <cellStyle name="Normal 14 7 3 3 3 4" xfId="23847" xr:uid="{00000000-0005-0000-0000-000047330000}"/>
    <cellStyle name="Normal 14 7 3 3 4" xfId="5170" xr:uid="{00000000-0005-0000-0000-000048330000}"/>
    <cellStyle name="Normal 14 7 3 3 4 2" xfId="53011" xr:uid="{00000000-0005-0000-0000-000049330000}"/>
    <cellStyle name="Normal 14 7 3 3 4 3" xfId="36911" xr:uid="{00000000-0005-0000-0000-00004A330000}"/>
    <cellStyle name="Normal 14 7 3 3 4 4" xfId="17775" xr:uid="{00000000-0005-0000-0000-00004B330000}"/>
    <cellStyle name="Normal 14 7 3 3 5" xfId="43444" xr:uid="{00000000-0005-0000-0000-00004C330000}"/>
    <cellStyle name="Normal 14 7 3 3 6" xfId="27344" xr:uid="{00000000-0005-0000-0000-00004D330000}"/>
    <cellStyle name="Normal 14 7 3 3 7" xfId="14280" xr:uid="{00000000-0005-0000-0000-00004E330000}"/>
    <cellStyle name="Normal 14 7 3 4" xfId="7196" xr:uid="{00000000-0005-0000-0000-00004F330000}"/>
    <cellStyle name="Normal 14 7 3 4 2" xfId="38937" xr:uid="{00000000-0005-0000-0000-000050330000}"/>
    <cellStyle name="Normal 14 7 3 4 2 2" xfId="55037" xr:uid="{00000000-0005-0000-0000-000051330000}"/>
    <cellStyle name="Normal 14 7 3 4 3" xfId="45470" xr:uid="{00000000-0005-0000-0000-000052330000}"/>
    <cellStyle name="Normal 14 7 3 4 4" xfId="29370" xr:uid="{00000000-0005-0000-0000-000053330000}"/>
    <cellStyle name="Normal 14 7 3 4 5" xfId="19801" xr:uid="{00000000-0005-0000-0000-000054330000}"/>
    <cellStyle name="Normal 14 7 3 5" xfId="10232" xr:uid="{00000000-0005-0000-0000-000055330000}"/>
    <cellStyle name="Normal 14 7 3 5 2" xfId="48506" xr:uid="{00000000-0005-0000-0000-000056330000}"/>
    <cellStyle name="Normal 14 7 3 5 3" xfId="32406" xr:uid="{00000000-0005-0000-0000-000057330000}"/>
    <cellStyle name="Normal 14 7 3 5 4" xfId="22837" xr:uid="{00000000-0005-0000-0000-000058330000}"/>
    <cellStyle name="Normal 14 7 3 6" xfId="4160" xr:uid="{00000000-0005-0000-0000-000059330000}"/>
    <cellStyle name="Normal 14 7 3 6 2" xfId="52001" xr:uid="{00000000-0005-0000-0000-00005A330000}"/>
    <cellStyle name="Normal 14 7 3 6 3" xfId="35901" xr:uid="{00000000-0005-0000-0000-00005B330000}"/>
    <cellStyle name="Normal 14 7 3 6 4" xfId="16765" xr:uid="{00000000-0005-0000-0000-00005C330000}"/>
    <cellStyle name="Normal 14 7 3 7" xfId="42434" xr:uid="{00000000-0005-0000-0000-00005D330000}"/>
    <cellStyle name="Normal 14 7 3 8" xfId="26334" xr:uid="{00000000-0005-0000-0000-00005E330000}"/>
    <cellStyle name="Normal 14 7 3 9" xfId="13270" xr:uid="{00000000-0005-0000-0000-00005F330000}"/>
    <cellStyle name="Normal 14 7 4" xfId="2462" xr:uid="{00000000-0005-0000-0000-000060330000}"/>
    <cellStyle name="Normal 14 7 4 2" xfId="8994" xr:uid="{00000000-0005-0000-0000-000061330000}"/>
    <cellStyle name="Normal 14 7 4 2 2" xfId="40735" xr:uid="{00000000-0005-0000-0000-000062330000}"/>
    <cellStyle name="Normal 14 7 4 2 2 2" xfId="56835" xr:uid="{00000000-0005-0000-0000-000063330000}"/>
    <cellStyle name="Normal 14 7 4 2 3" xfId="47268" xr:uid="{00000000-0005-0000-0000-000064330000}"/>
    <cellStyle name="Normal 14 7 4 2 4" xfId="31168" xr:uid="{00000000-0005-0000-0000-000065330000}"/>
    <cellStyle name="Normal 14 7 4 2 5" xfId="21599" xr:uid="{00000000-0005-0000-0000-000066330000}"/>
    <cellStyle name="Normal 14 7 4 3" xfId="12030" xr:uid="{00000000-0005-0000-0000-000067330000}"/>
    <cellStyle name="Normal 14 7 4 3 2" xfId="50304" xr:uid="{00000000-0005-0000-0000-000068330000}"/>
    <cellStyle name="Normal 14 7 4 3 3" xfId="34204" xr:uid="{00000000-0005-0000-0000-000069330000}"/>
    <cellStyle name="Normal 14 7 4 3 4" xfId="24635" xr:uid="{00000000-0005-0000-0000-00006A330000}"/>
    <cellStyle name="Normal 14 7 4 4" xfId="5958" xr:uid="{00000000-0005-0000-0000-00006B330000}"/>
    <cellStyle name="Normal 14 7 4 4 2" xfId="53799" xr:uid="{00000000-0005-0000-0000-00006C330000}"/>
    <cellStyle name="Normal 14 7 4 4 3" xfId="37699" xr:uid="{00000000-0005-0000-0000-00006D330000}"/>
    <cellStyle name="Normal 14 7 4 4 4" xfId="18563" xr:uid="{00000000-0005-0000-0000-00006E330000}"/>
    <cellStyle name="Normal 14 7 4 5" xfId="44232" xr:uid="{00000000-0005-0000-0000-00006F330000}"/>
    <cellStyle name="Normal 14 7 4 6" xfId="28132" xr:uid="{00000000-0005-0000-0000-000070330000}"/>
    <cellStyle name="Normal 14 7 4 7" xfId="15068" xr:uid="{00000000-0005-0000-0000-000071330000}"/>
    <cellStyle name="Normal 14 7 5" xfId="1211" xr:uid="{00000000-0005-0000-0000-000072330000}"/>
    <cellStyle name="Normal 14 7 5 2" xfId="7745" xr:uid="{00000000-0005-0000-0000-000073330000}"/>
    <cellStyle name="Normal 14 7 5 2 2" xfId="39486" xr:uid="{00000000-0005-0000-0000-000074330000}"/>
    <cellStyle name="Normal 14 7 5 2 2 2" xfId="55586" xr:uid="{00000000-0005-0000-0000-000075330000}"/>
    <cellStyle name="Normal 14 7 5 2 3" xfId="46019" xr:uid="{00000000-0005-0000-0000-000076330000}"/>
    <cellStyle name="Normal 14 7 5 2 4" xfId="29919" xr:uid="{00000000-0005-0000-0000-000077330000}"/>
    <cellStyle name="Normal 14 7 5 2 5" xfId="20350" xr:uid="{00000000-0005-0000-0000-000078330000}"/>
    <cellStyle name="Normal 14 7 5 3" xfId="10781" xr:uid="{00000000-0005-0000-0000-000079330000}"/>
    <cellStyle name="Normal 14 7 5 3 2" xfId="49055" xr:uid="{00000000-0005-0000-0000-00007A330000}"/>
    <cellStyle name="Normal 14 7 5 3 3" xfId="32955" xr:uid="{00000000-0005-0000-0000-00007B330000}"/>
    <cellStyle name="Normal 14 7 5 3 4" xfId="23386" xr:uid="{00000000-0005-0000-0000-00007C330000}"/>
    <cellStyle name="Normal 14 7 5 4" xfId="4709" xr:uid="{00000000-0005-0000-0000-00007D330000}"/>
    <cellStyle name="Normal 14 7 5 4 2" xfId="52550" xr:uid="{00000000-0005-0000-0000-00007E330000}"/>
    <cellStyle name="Normal 14 7 5 4 3" xfId="36450" xr:uid="{00000000-0005-0000-0000-00007F330000}"/>
    <cellStyle name="Normal 14 7 5 4 4" xfId="17314" xr:uid="{00000000-0005-0000-0000-000080330000}"/>
    <cellStyle name="Normal 14 7 5 5" xfId="42983" xr:uid="{00000000-0005-0000-0000-000081330000}"/>
    <cellStyle name="Normal 14 7 5 6" xfId="26883" xr:uid="{00000000-0005-0000-0000-000082330000}"/>
    <cellStyle name="Normal 14 7 5 7" xfId="13819" xr:uid="{00000000-0005-0000-0000-000083330000}"/>
    <cellStyle name="Normal 14 7 6" xfId="3699" xr:uid="{00000000-0005-0000-0000-000084330000}"/>
    <cellStyle name="Normal 14 7 6 2" xfId="35440" xr:uid="{00000000-0005-0000-0000-000085330000}"/>
    <cellStyle name="Normal 14 7 6 2 2" xfId="51540" xr:uid="{00000000-0005-0000-0000-000086330000}"/>
    <cellStyle name="Normal 14 7 6 3" xfId="41973" xr:uid="{00000000-0005-0000-0000-000087330000}"/>
    <cellStyle name="Normal 14 7 6 4" xfId="25873" xr:uid="{00000000-0005-0000-0000-000088330000}"/>
    <cellStyle name="Normal 14 7 6 5" xfId="16304" xr:uid="{00000000-0005-0000-0000-000089330000}"/>
    <cellStyle name="Normal 14 7 7" xfId="6735" xr:uid="{00000000-0005-0000-0000-00008A330000}"/>
    <cellStyle name="Normal 14 7 7 2" xfId="38476" xr:uid="{00000000-0005-0000-0000-00008B330000}"/>
    <cellStyle name="Normal 14 7 7 2 2" xfId="54576" xr:uid="{00000000-0005-0000-0000-00008C330000}"/>
    <cellStyle name="Normal 14 7 7 3" xfId="45009" xr:uid="{00000000-0005-0000-0000-00008D330000}"/>
    <cellStyle name="Normal 14 7 7 4" xfId="28909" xr:uid="{00000000-0005-0000-0000-00008E330000}"/>
    <cellStyle name="Normal 14 7 7 5" xfId="19340" xr:uid="{00000000-0005-0000-0000-00008F330000}"/>
    <cellStyle name="Normal 14 7 8" xfId="9771" xr:uid="{00000000-0005-0000-0000-000090330000}"/>
    <cellStyle name="Normal 14 7 8 2" xfId="48045" xr:uid="{00000000-0005-0000-0000-000091330000}"/>
    <cellStyle name="Normal 14 7 8 3" xfId="31945" xr:uid="{00000000-0005-0000-0000-000092330000}"/>
    <cellStyle name="Normal 14 7 8 4" xfId="22376" xr:uid="{00000000-0005-0000-0000-000093330000}"/>
    <cellStyle name="Normal 14 7 9" xfId="3239" xr:uid="{00000000-0005-0000-0000-000094330000}"/>
    <cellStyle name="Normal 14 7 9 2" xfId="51081" xr:uid="{00000000-0005-0000-0000-000095330000}"/>
    <cellStyle name="Normal 14 7 9 3" xfId="34981" xr:uid="{00000000-0005-0000-0000-000096330000}"/>
    <cellStyle name="Normal 14 7 9 4" xfId="15845" xr:uid="{00000000-0005-0000-0000-000097330000}"/>
    <cellStyle name="Normal 14 8" xfId="448" xr:uid="{00000000-0005-0000-0000-000098330000}"/>
    <cellStyle name="Normal 14 8 10" xfId="41531" xr:uid="{00000000-0005-0000-0000-000099330000}"/>
    <cellStyle name="Normal 14 8 11" xfId="25431" xr:uid="{00000000-0005-0000-0000-00009A330000}"/>
    <cellStyle name="Normal 14 8 12" xfId="12826" xr:uid="{00000000-0005-0000-0000-00009B330000}"/>
    <cellStyle name="Normal 14 8 2" xfId="901" xr:uid="{00000000-0005-0000-0000-00009C330000}"/>
    <cellStyle name="Normal 14 8 2 10" xfId="13509" xr:uid="{00000000-0005-0000-0000-00009D330000}"/>
    <cellStyle name="Normal 14 8 2 2" xfId="2929" xr:uid="{00000000-0005-0000-0000-00009E330000}"/>
    <cellStyle name="Normal 14 8 2 2 2" xfId="9461" xr:uid="{00000000-0005-0000-0000-00009F330000}"/>
    <cellStyle name="Normal 14 8 2 2 2 2" xfId="41202" xr:uid="{00000000-0005-0000-0000-0000A0330000}"/>
    <cellStyle name="Normal 14 8 2 2 2 2 2" xfId="57302" xr:uid="{00000000-0005-0000-0000-0000A1330000}"/>
    <cellStyle name="Normal 14 8 2 2 2 3" xfId="47735" xr:uid="{00000000-0005-0000-0000-0000A2330000}"/>
    <cellStyle name="Normal 14 8 2 2 2 4" xfId="31635" xr:uid="{00000000-0005-0000-0000-0000A3330000}"/>
    <cellStyle name="Normal 14 8 2 2 2 5" xfId="22066" xr:uid="{00000000-0005-0000-0000-0000A4330000}"/>
    <cellStyle name="Normal 14 8 2 2 3" xfId="12497" xr:uid="{00000000-0005-0000-0000-0000A5330000}"/>
    <cellStyle name="Normal 14 8 2 2 3 2" xfId="50771" xr:uid="{00000000-0005-0000-0000-0000A6330000}"/>
    <cellStyle name="Normal 14 8 2 2 3 3" xfId="34671" xr:uid="{00000000-0005-0000-0000-0000A7330000}"/>
    <cellStyle name="Normal 14 8 2 2 3 4" xfId="25102" xr:uid="{00000000-0005-0000-0000-0000A8330000}"/>
    <cellStyle name="Normal 14 8 2 2 4" xfId="6425" xr:uid="{00000000-0005-0000-0000-0000A9330000}"/>
    <cellStyle name="Normal 14 8 2 2 4 2" xfId="54266" xr:uid="{00000000-0005-0000-0000-0000AA330000}"/>
    <cellStyle name="Normal 14 8 2 2 4 3" xfId="38166" xr:uid="{00000000-0005-0000-0000-0000AB330000}"/>
    <cellStyle name="Normal 14 8 2 2 4 4" xfId="19030" xr:uid="{00000000-0005-0000-0000-0000AC330000}"/>
    <cellStyle name="Normal 14 8 2 2 5" xfId="44699" xr:uid="{00000000-0005-0000-0000-0000AD330000}"/>
    <cellStyle name="Normal 14 8 2 2 6" xfId="28599" xr:uid="{00000000-0005-0000-0000-0000AE330000}"/>
    <cellStyle name="Normal 14 8 2 2 7" xfId="15535" xr:uid="{00000000-0005-0000-0000-0000AF330000}"/>
    <cellStyle name="Normal 14 8 2 3" xfId="1911" xr:uid="{00000000-0005-0000-0000-0000B0330000}"/>
    <cellStyle name="Normal 14 8 2 3 2" xfId="8445" xr:uid="{00000000-0005-0000-0000-0000B1330000}"/>
    <cellStyle name="Normal 14 8 2 3 2 2" xfId="40186" xr:uid="{00000000-0005-0000-0000-0000B2330000}"/>
    <cellStyle name="Normal 14 8 2 3 2 2 2" xfId="56286" xr:uid="{00000000-0005-0000-0000-0000B3330000}"/>
    <cellStyle name="Normal 14 8 2 3 2 3" xfId="46719" xr:uid="{00000000-0005-0000-0000-0000B4330000}"/>
    <cellStyle name="Normal 14 8 2 3 2 4" xfId="30619" xr:uid="{00000000-0005-0000-0000-0000B5330000}"/>
    <cellStyle name="Normal 14 8 2 3 2 5" xfId="21050" xr:uid="{00000000-0005-0000-0000-0000B6330000}"/>
    <cellStyle name="Normal 14 8 2 3 3" xfId="11481" xr:uid="{00000000-0005-0000-0000-0000B7330000}"/>
    <cellStyle name="Normal 14 8 2 3 3 2" xfId="49755" xr:uid="{00000000-0005-0000-0000-0000B8330000}"/>
    <cellStyle name="Normal 14 8 2 3 3 3" xfId="33655" xr:uid="{00000000-0005-0000-0000-0000B9330000}"/>
    <cellStyle name="Normal 14 8 2 3 3 4" xfId="24086" xr:uid="{00000000-0005-0000-0000-0000BA330000}"/>
    <cellStyle name="Normal 14 8 2 3 4" xfId="5409" xr:uid="{00000000-0005-0000-0000-0000BB330000}"/>
    <cellStyle name="Normal 14 8 2 3 4 2" xfId="53250" xr:uid="{00000000-0005-0000-0000-0000BC330000}"/>
    <cellStyle name="Normal 14 8 2 3 4 3" xfId="37150" xr:uid="{00000000-0005-0000-0000-0000BD330000}"/>
    <cellStyle name="Normal 14 8 2 3 4 4" xfId="18014" xr:uid="{00000000-0005-0000-0000-0000BE330000}"/>
    <cellStyle name="Normal 14 8 2 3 5" xfId="43683" xr:uid="{00000000-0005-0000-0000-0000BF330000}"/>
    <cellStyle name="Normal 14 8 2 3 6" xfId="27583" xr:uid="{00000000-0005-0000-0000-0000C0330000}"/>
    <cellStyle name="Normal 14 8 2 3 7" xfId="14519" xr:uid="{00000000-0005-0000-0000-0000C1330000}"/>
    <cellStyle name="Normal 14 8 2 4" xfId="4399" xr:uid="{00000000-0005-0000-0000-0000C2330000}"/>
    <cellStyle name="Normal 14 8 2 4 2" xfId="36140" xr:uid="{00000000-0005-0000-0000-0000C3330000}"/>
    <cellStyle name="Normal 14 8 2 4 2 2" xfId="52240" xr:uid="{00000000-0005-0000-0000-0000C4330000}"/>
    <cellStyle name="Normal 14 8 2 4 3" xfId="42673" xr:uid="{00000000-0005-0000-0000-0000C5330000}"/>
    <cellStyle name="Normal 14 8 2 4 4" xfId="26573" xr:uid="{00000000-0005-0000-0000-0000C6330000}"/>
    <cellStyle name="Normal 14 8 2 4 5" xfId="17004" xr:uid="{00000000-0005-0000-0000-0000C7330000}"/>
    <cellStyle name="Normal 14 8 2 5" xfId="7435" xr:uid="{00000000-0005-0000-0000-0000C8330000}"/>
    <cellStyle name="Normal 14 8 2 5 2" xfId="39176" xr:uid="{00000000-0005-0000-0000-0000C9330000}"/>
    <cellStyle name="Normal 14 8 2 5 2 2" xfId="55276" xr:uid="{00000000-0005-0000-0000-0000CA330000}"/>
    <cellStyle name="Normal 14 8 2 5 3" xfId="45709" xr:uid="{00000000-0005-0000-0000-0000CB330000}"/>
    <cellStyle name="Normal 14 8 2 5 4" xfId="29609" xr:uid="{00000000-0005-0000-0000-0000CC330000}"/>
    <cellStyle name="Normal 14 8 2 5 5" xfId="20040" xr:uid="{00000000-0005-0000-0000-0000CD330000}"/>
    <cellStyle name="Normal 14 8 2 6" xfId="10471" xr:uid="{00000000-0005-0000-0000-0000CE330000}"/>
    <cellStyle name="Normal 14 8 2 6 2" xfId="48745" xr:uid="{00000000-0005-0000-0000-0000CF330000}"/>
    <cellStyle name="Normal 14 8 2 6 3" xfId="32645" xr:uid="{00000000-0005-0000-0000-0000D0330000}"/>
    <cellStyle name="Normal 14 8 2 6 4" xfId="23076" xr:uid="{00000000-0005-0000-0000-0000D1330000}"/>
    <cellStyle name="Normal 14 8 2 7" xfId="3494" xr:uid="{00000000-0005-0000-0000-0000D2330000}"/>
    <cellStyle name="Normal 14 8 2 7 2" xfId="51335" xr:uid="{00000000-0005-0000-0000-0000D3330000}"/>
    <cellStyle name="Normal 14 8 2 7 3" xfId="35235" xr:uid="{00000000-0005-0000-0000-0000D4330000}"/>
    <cellStyle name="Normal 14 8 2 7 4" xfId="16099" xr:uid="{00000000-0005-0000-0000-0000D5330000}"/>
    <cellStyle name="Normal 14 8 2 8" xfId="41768" xr:uid="{00000000-0005-0000-0000-0000D6330000}"/>
    <cellStyle name="Normal 14 8 2 9" xfId="25668" xr:uid="{00000000-0005-0000-0000-0000D7330000}"/>
    <cellStyle name="Normal 14 8 3" xfId="679" xr:uid="{00000000-0005-0000-0000-0000D8330000}"/>
    <cellStyle name="Normal 14 8 3 2" xfId="2707" xr:uid="{00000000-0005-0000-0000-0000D9330000}"/>
    <cellStyle name="Normal 14 8 3 2 2" xfId="9239" xr:uid="{00000000-0005-0000-0000-0000DA330000}"/>
    <cellStyle name="Normal 14 8 3 2 2 2" xfId="40980" xr:uid="{00000000-0005-0000-0000-0000DB330000}"/>
    <cellStyle name="Normal 14 8 3 2 2 2 2" xfId="57080" xr:uid="{00000000-0005-0000-0000-0000DC330000}"/>
    <cellStyle name="Normal 14 8 3 2 2 3" xfId="47513" xr:uid="{00000000-0005-0000-0000-0000DD330000}"/>
    <cellStyle name="Normal 14 8 3 2 2 4" xfId="31413" xr:uid="{00000000-0005-0000-0000-0000DE330000}"/>
    <cellStyle name="Normal 14 8 3 2 2 5" xfId="21844" xr:uid="{00000000-0005-0000-0000-0000DF330000}"/>
    <cellStyle name="Normal 14 8 3 2 3" xfId="12275" xr:uid="{00000000-0005-0000-0000-0000E0330000}"/>
    <cellStyle name="Normal 14 8 3 2 3 2" xfId="50549" xr:uid="{00000000-0005-0000-0000-0000E1330000}"/>
    <cellStyle name="Normal 14 8 3 2 3 3" xfId="34449" xr:uid="{00000000-0005-0000-0000-0000E2330000}"/>
    <cellStyle name="Normal 14 8 3 2 3 4" xfId="24880" xr:uid="{00000000-0005-0000-0000-0000E3330000}"/>
    <cellStyle name="Normal 14 8 3 2 4" xfId="6203" xr:uid="{00000000-0005-0000-0000-0000E4330000}"/>
    <cellStyle name="Normal 14 8 3 2 4 2" xfId="54044" xr:uid="{00000000-0005-0000-0000-0000E5330000}"/>
    <cellStyle name="Normal 14 8 3 2 4 3" xfId="37944" xr:uid="{00000000-0005-0000-0000-0000E6330000}"/>
    <cellStyle name="Normal 14 8 3 2 4 4" xfId="18808" xr:uid="{00000000-0005-0000-0000-0000E7330000}"/>
    <cellStyle name="Normal 14 8 3 2 5" xfId="44477" xr:uid="{00000000-0005-0000-0000-0000E8330000}"/>
    <cellStyle name="Normal 14 8 3 2 6" xfId="28377" xr:uid="{00000000-0005-0000-0000-0000E9330000}"/>
    <cellStyle name="Normal 14 8 3 2 7" xfId="15313" xr:uid="{00000000-0005-0000-0000-0000EA330000}"/>
    <cellStyle name="Normal 14 8 3 3" xfId="1689" xr:uid="{00000000-0005-0000-0000-0000EB330000}"/>
    <cellStyle name="Normal 14 8 3 3 2" xfId="8223" xr:uid="{00000000-0005-0000-0000-0000EC330000}"/>
    <cellStyle name="Normal 14 8 3 3 2 2" xfId="39964" xr:uid="{00000000-0005-0000-0000-0000ED330000}"/>
    <cellStyle name="Normal 14 8 3 3 2 2 2" xfId="56064" xr:uid="{00000000-0005-0000-0000-0000EE330000}"/>
    <cellStyle name="Normal 14 8 3 3 2 3" xfId="46497" xr:uid="{00000000-0005-0000-0000-0000EF330000}"/>
    <cellStyle name="Normal 14 8 3 3 2 4" xfId="30397" xr:uid="{00000000-0005-0000-0000-0000F0330000}"/>
    <cellStyle name="Normal 14 8 3 3 2 5" xfId="20828" xr:uid="{00000000-0005-0000-0000-0000F1330000}"/>
    <cellStyle name="Normal 14 8 3 3 3" xfId="11259" xr:uid="{00000000-0005-0000-0000-0000F2330000}"/>
    <cellStyle name="Normal 14 8 3 3 3 2" xfId="49533" xr:uid="{00000000-0005-0000-0000-0000F3330000}"/>
    <cellStyle name="Normal 14 8 3 3 3 3" xfId="33433" xr:uid="{00000000-0005-0000-0000-0000F4330000}"/>
    <cellStyle name="Normal 14 8 3 3 3 4" xfId="23864" xr:uid="{00000000-0005-0000-0000-0000F5330000}"/>
    <cellStyle name="Normal 14 8 3 3 4" xfId="5187" xr:uid="{00000000-0005-0000-0000-0000F6330000}"/>
    <cellStyle name="Normal 14 8 3 3 4 2" xfId="53028" xr:uid="{00000000-0005-0000-0000-0000F7330000}"/>
    <cellStyle name="Normal 14 8 3 3 4 3" xfId="36928" xr:uid="{00000000-0005-0000-0000-0000F8330000}"/>
    <cellStyle name="Normal 14 8 3 3 4 4" xfId="17792" xr:uid="{00000000-0005-0000-0000-0000F9330000}"/>
    <cellStyle name="Normal 14 8 3 3 5" xfId="43461" xr:uid="{00000000-0005-0000-0000-0000FA330000}"/>
    <cellStyle name="Normal 14 8 3 3 6" xfId="27361" xr:uid="{00000000-0005-0000-0000-0000FB330000}"/>
    <cellStyle name="Normal 14 8 3 3 7" xfId="14297" xr:uid="{00000000-0005-0000-0000-0000FC330000}"/>
    <cellStyle name="Normal 14 8 3 4" xfId="7213" xr:uid="{00000000-0005-0000-0000-0000FD330000}"/>
    <cellStyle name="Normal 14 8 3 4 2" xfId="38954" xr:uid="{00000000-0005-0000-0000-0000FE330000}"/>
    <cellStyle name="Normal 14 8 3 4 2 2" xfId="55054" xr:uid="{00000000-0005-0000-0000-0000FF330000}"/>
    <cellStyle name="Normal 14 8 3 4 3" xfId="45487" xr:uid="{00000000-0005-0000-0000-000000340000}"/>
    <cellStyle name="Normal 14 8 3 4 4" xfId="29387" xr:uid="{00000000-0005-0000-0000-000001340000}"/>
    <cellStyle name="Normal 14 8 3 4 5" xfId="19818" xr:uid="{00000000-0005-0000-0000-000002340000}"/>
    <cellStyle name="Normal 14 8 3 5" xfId="10249" xr:uid="{00000000-0005-0000-0000-000003340000}"/>
    <cellStyle name="Normal 14 8 3 5 2" xfId="48523" xr:uid="{00000000-0005-0000-0000-000004340000}"/>
    <cellStyle name="Normal 14 8 3 5 3" xfId="32423" xr:uid="{00000000-0005-0000-0000-000005340000}"/>
    <cellStyle name="Normal 14 8 3 5 4" xfId="22854" xr:uid="{00000000-0005-0000-0000-000006340000}"/>
    <cellStyle name="Normal 14 8 3 6" xfId="4177" xr:uid="{00000000-0005-0000-0000-000007340000}"/>
    <cellStyle name="Normal 14 8 3 6 2" xfId="52018" xr:uid="{00000000-0005-0000-0000-000008340000}"/>
    <cellStyle name="Normal 14 8 3 6 3" xfId="35918" xr:uid="{00000000-0005-0000-0000-000009340000}"/>
    <cellStyle name="Normal 14 8 3 6 4" xfId="16782" xr:uid="{00000000-0005-0000-0000-00000A340000}"/>
    <cellStyle name="Normal 14 8 3 7" xfId="42451" xr:uid="{00000000-0005-0000-0000-00000B340000}"/>
    <cellStyle name="Normal 14 8 3 8" xfId="26351" xr:uid="{00000000-0005-0000-0000-00000C340000}"/>
    <cellStyle name="Normal 14 8 3 9" xfId="13287" xr:uid="{00000000-0005-0000-0000-00000D340000}"/>
    <cellStyle name="Normal 14 8 4" xfId="2479" xr:uid="{00000000-0005-0000-0000-00000E340000}"/>
    <cellStyle name="Normal 14 8 4 2" xfId="9011" xr:uid="{00000000-0005-0000-0000-00000F340000}"/>
    <cellStyle name="Normal 14 8 4 2 2" xfId="40752" xr:uid="{00000000-0005-0000-0000-000010340000}"/>
    <cellStyle name="Normal 14 8 4 2 2 2" xfId="56852" xr:uid="{00000000-0005-0000-0000-000011340000}"/>
    <cellStyle name="Normal 14 8 4 2 3" xfId="47285" xr:uid="{00000000-0005-0000-0000-000012340000}"/>
    <cellStyle name="Normal 14 8 4 2 4" xfId="31185" xr:uid="{00000000-0005-0000-0000-000013340000}"/>
    <cellStyle name="Normal 14 8 4 2 5" xfId="21616" xr:uid="{00000000-0005-0000-0000-000014340000}"/>
    <cellStyle name="Normal 14 8 4 3" xfId="12047" xr:uid="{00000000-0005-0000-0000-000015340000}"/>
    <cellStyle name="Normal 14 8 4 3 2" xfId="50321" xr:uid="{00000000-0005-0000-0000-000016340000}"/>
    <cellStyle name="Normal 14 8 4 3 3" xfId="34221" xr:uid="{00000000-0005-0000-0000-000017340000}"/>
    <cellStyle name="Normal 14 8 4 3 4" xfId="24652" xr:uid="{00000000-0005-0000-0000-000018340000}"/>
    <cellStyle name="Normal 14 8 4 4" xfId="5975" xr:uid="{00000000-0005-0000-0000-000019340000}"/>
    <cellStyle name="Normal 14 8 4 4 2" xfId="53816" xr:uid="{00000000-0005-0000-0000-00001A340000}"/>
    <cellStyle name="Normal 14 8 4 4 3" xfId="37716" xr:uid="{00000000-0005-0000-0000-00001B340000}"/>
    <cellStyle name="Normal 14 8 4 4 4" xfId="18580" xr:uid="{00000000-0005-0000-0000-00001C340000}"/>
    <cellStyle name="Normal 14 8 4 5" xfId="44249" xr:uid="{00000000-0005-0000-0000-00001D340000}"/>
    <cellStyle name="Normal 14 8 4 6" xfId="28149" xr:uid="{00000000-0005-0000-0000-00001E340000}"/>
    <cellStyle name="Normal 14 8 4 7" xfId="15085" xr:uid="{00000000-0005-0000-0000-00001F340000}"/>
    <cellStyle name="Normal 14 8 5" xfId="1228" xr:uid="{00000000-0005-0000-0000-000020340000}"/>
    <cellStyle name="Normal 14 8 5 2" xfId="7762" xr:uid="{00000000-0005-0000-0000-000021340000}"/>
    <cellStyle name="Normal 14 8 5 2 2" xfId="39503" xr:uid="{00000000-0005-0000-0000-000022340000}"/>
    <cellStyle name="Normal 14 8 5 2 2 2" xfId="55603" xr:uid="{00000000-0005-0000-0000-000023340000}"/>
    <cellStyle name="Normal 14 8 5 2 3" xfId="46036" xr:uid="{00000000-0005-0000-0000-000024340000}"/>
    <cellStyle name="Normal 14 8 5 2 4" xfId="29936" xr:uid="{00000000-0005-0000-0000-000025340000}"/>
    <cellStyle name="Normal 14 8 5 2 5" xfId="20367" xr:uid="{00000000-0005-0000-0000-000026340000}"/>
    <cellStyle name="Normal 14 8 5 3" xfId="10798" xr:uid="{00000000-0005-0000-0000-000027340000}"/>
    <cellStyle name="Normal 14 8 5 3 2" xfId="49072" xr:uid="{00000000-0005-0000-0000-000028340000}"/>
    <cellStyle name="Normal 14 8 5 3 3" xfId="32972" xr:uid="{00000000-0005-0000-0000-000029340000}"/>
    <cellStyle name="Normal 14 8 5 3 4" xfId="23403" xr:uid="{00000000-0005-0000-0000-00002A340000}"/>
    <cellStyle name="Normal 14 8 5 4" xfId="4726" xr:uid="{00000000-0005-0000-0000-00002B340000}"/>
    <cellStyle name="Normal 14 8 5 4 2" xfId="52567" xr:uid="{00000000-0005-0000-0000-00002C340000}"/>
    <cellStyle name="Normal 14 8 5 4 3" xfId="36467" xr:uid="{00000000-0005-0000-0000-00002D340000}"/>
    <cellStyle name="Normal 14 8 5 4 4" xfId="17331" xr:uid="{00000000-0005-0000-0000-00002E340000}"/>
    <cellStyle name="Normal 14 8 5 5" xfId="43000" xr:uid="{00000000-0005-0000-0000-00002F340000}"/>
    <cellStyle name="Normal 14 8 5 6" xfId="26900" xr:uid="{00000000-0005-0000-0000-000030340000}"/>
    <cellStyle name="Normal 14 8 5 7" xfId="13836" xr:uid="{00000000-0005-0000-0000-000031340000}"/>
    <cellStyle name="Normal 14 8 6" xfId="3716" xr:uid="{00000000-0005-0000-0000-000032340000}"/>
    <cellStyle name="Normal 14 8 6 2" xfId="35457" xr:uid="{00000000-0005-0000-0000-000033340000}"/>
    <cellStyle name="Normal 14 8 6 2 2" xfId="51557" xr:uid="{00000000-0005-0000-0000-000034340000}"/>
    <cellStyle name="Normal 14 8 6 3" xfId="41990" xr:uid="{00000000-0005-0000-0000-000035340000}"/>
    <cellStyle name="Normal 14 8 6 4" xfId="25890" xr:uid="{00000000-0005-0000-0000-000036340000}"/>
    <cellStyle name="Normal 14 8 6 5" xfId="16321" xr:uid="{00000000-0005-0000-0000-000037340000}"/>
    <cellStyle name="Normal 14 8 7" xfId="6752" xr:uid="{00000000-0005-0000-0000-000038340000}"/>
    <cellStyle name="Normal 14 8 7 2" xfId="38493" xr:uid="{00000000-0005-0000-0000-000039340000}"/>
    <cellStyle name="Normal 14 8 7 2 2" xfId="54593" xr:uid="{00000000-0005-0000-0000-00003A340000}"/>
    <cellStyle name="Normal 14 8 7 3" xfId="45026" xr:uid="{00000000-0005-0000-0000-00003B340000}"/>
    <cellStyle name="Normal 14 8 7 4" xfId="28926" xr:uid="{00000000-0005-0000-0000-00003C340000}"/>
    <cellStyle name="Normal 14 8 7 5" xfId="19357" xr:uid="{00000000-0005-0000-0000-00003D340000}"/>
    <cellStyle name="Normal 14 8 8" xfId="9788" xr:uid="{00000000-0005-0000-0000-00003E340000}"/>
    <cellStyle name="Normal 14 8 8 2" xfId="48062" xr:uid="{00000000-0005-0000-0000-00003F340000}"/>
    <cellStyle name="Normal 14 8 8 3" xfId="31962" xr:uid="{00000000-0005-0000-0000-000040340000}"/>
    <cellStyle name="Normal 14 8 8 4" xfId="22393" xr:uid="{00000000-0005-0000-0000-000041340000}"/>
    <cellStyle name="Normal 14 8 9" xfId="3256" xr:uid="{00000000-0005-0000-0000-000042340000}"/>
    <cellStyle name="Normal 14 8 9 2" xfId="51098" xr:uid="{00000000-0005-0000-0000-000043340000}"/>
    <cellStyle name="Normal 14 8 9 3" xfId="34998" xr:uid="{00000000-0005-0000-0000-000044340000}"/>
    <cellStyle name="Normal 14 8 9 4" xfId="15862" xr:uid="{00000000-0005-0000-0000-000045340000}"/>
    <cellStyle name="Normal 14 9" xfId="465" xr:uid="{00000000-0005-0000-0000-000046340000}"/>
    <cellStyle name="Normal 14 9 10" xfId="41548" xr:uid="{00000000-0005-0000-0000-000047340000}"/>
    <cellStyle name="Normal 14 9 11" xfId="25448" xr:uid="{00000000-0005-0000-0000-000048340000}"/>
    <cellStyle name="Normal 14 9 12" xfId="12843" xr:uid="{00000000-0005-0000-0000-000049340000}"/>
    <cellStyle name="Normal 14 9 2" xfId="918" xr:uid="{00000000-0005-0000-0000-00004A340000}"/>
    <cellStyle name="Normal 14 9 2 10" xfId="13526" xr:uid="{00000000-0005-0000-0000-00004B340000}"/>
    <cellStyle name="Normal 14 9 2 2" xfId="2946" xr:uid="{00000000-0005-0000-0000-00004C340000}"/>
    <cellStyle name="Normal 14 9 2 2 2" xfId="9478" xr:uid="{00000000-0005-0000-0000-00004D340000}"/>
    <cellStyle name="Normal 14 9 2 2 2 2" xfId="41219" xr:uid="{00000000-0005-0000-0000-00004E340000}"/>
    <cellStyle name="Normal 14 9 2 2 2 2 2" xfId="57319" xr:uid="{00000000-0005-0000-0000-00004F340000}"/>
    <cellStyle name="Normal 14 9 2 2 2 3" xfId="47752" xr:uid="{00000000-0005-0000-0000-000050340000}"/>
    <cellStyle name="Normal 14 9 2 2 2 4" xfId="31652" xr:uid="{00000000-0005-0000-0000-000051340000}"/>
    <cellStyle name="Normal 14 9 2 2 2 5" xfId="22083" xr:uid="{00000000-0005-0000-0000-000052340000}"/>
    <cellStyle name="Normal 14 9 2 2 3" xfId="12514" xr:uid="{00000000-0005-0000-0000-000053340000}"/>
    <cellStyle name="Normal 14 9 2 2 3 2" xfId="50788" xr:uid="{00000000-0005-0000-0000-000054340000}"/>
    <cellStyle name="Normal 14 9 2 2 3 3" xfId="34688" xr:uid="{00000000-0005-0000-0000-000055340000}"/>
    <cellStyle name="Normal 14 9 2 2 3 4" xfId="25119" xr:uid="{00000000-0005-0000-0000-000056340000}"/>
    <cellStyle name="Normal 14 9 2 2 4" xfId="6442" xr:uid="{00000000-0005-0000-0000-000057340000}"/>
    <cellStyle name="Normal 14 9 2 2 4 2" xfId="54283" xr:uid="{00000000-0005-0000-0000-000058340000}"/>
    <cellStyle name="Normal 14 9 2 2 4 3" xfId="38183" xr:uid="{00000000-0005-0000-0000-000059340000}"/>
    <cellStyle name="Normal 14 9 2 2 4 4" xfId="19047" xr:uid="{00000000-0005-0000-0000-00005A340000}"/>
    <cellStyle name="Normal 14 9 2 2 5" xfId="44716" xr:uid="{00000000-0005-0000-0000-00005B340000}"/>
    <cellStyle name="Normal 14 9 2 2 6" xfId="28616" xr:uid="{00000000-0005-0000-0000-00005C340000}"/>
    <cellStyle name="Normal 14 9 2 2 7" xfId="15552" xr:uid="{00000000-0005-0000-0000-00005D340000}"/>
    <cellStyle name="Normal 14 9 2 3" xfId="1928" xr:uid="{00000000-0005-0000-0000-00005E340000}"/>
    <cellStyle name="Normal 14 9 2 3 2" xfId="8462" xr:uid="{00000000-0005-0000-0000-00005F340000}"/>
    <cellStyle name="Normal 14 9 2 3 2 2" xfId="40203" xr:uid="{00000000-0005-0000-0000-000060340000}"/>
    <cellStyle name="Normal 14 9 2 3 2 2 2" xfId="56303" xr:uid="{00000000-0005-0000-0000-000061340000}"/>
    <cellStyle name="Normal 14 9 2 3 2 3" xfId="46736" xr:uid="{00000000-0005-0000-0000-000062340000}"/>
    <cellStyle name="Normal 14 9 2 3 2 4" xfId="30636" xr:uid="{00000000-0005-0000-0000-000063340000}"/>
    <cellStyle name="Normal 14 9 2 3 2 5" xfId="21067" xr:uid="{00000000-0005-0000-0000-000064340000}"/>
    <cellStyle name="Normal 14 9 2 3 3" xfId="11498" xr:uid="{00000000-0005-0000-0000-000065340000}"/>
    <cellStyle name="Normal 14 9 2 3 3 2" xfId="49772" xr:uid="{00000000-0005-0000-0000-000066340000}"/>
    <cellStyle name="Normal 14 9 2 3 3 3" xfId="33672" xr:uid="{00000000-0005-0000-0000-000067340000}"/>
    <cellStyle name="Normal 14 9 2 3 3 4" xfId="24103" xr:uid="{00000000-0005-0000-0000-000068340000}"/>
    <cellStyle name="Normal 14 9 2 3 4" xfId="5426" xr:uid="{00000000-0005-0000-0000-000069340000}"/>
    <cellStyle name="Normal 14 9 2 3 4 2" xfId="53267" xr:uid="{00000000-0005-0000-0000-00006A340000}"/>
    <cellStyle name="Normal 14 9 2 3 4 3" xfId="37167" xr:uid="{00000000-0005-0000-0000-00006B340000}"/>
    <cellStyle name="Normal 14 9 2 3 4 4" xfId="18031" xr:uid="{00000000-0005-0000-0000-00006C340000}"/>
    <cellStyle name="Normal 14 9 2 3 5" xfId="43700" xr:uid="{00000000-0005-0000-0000-00006D340000}"/>
    <cellStyle name="Normal 14 9 2 3 6" xfId="27600" xr:uid="{00000000-0005-0000-0000-00006E340000}"/>
    <cellStyle name="Normal 14 9 2 3 7" xfId="14536" xr:uid="{00000000-0005-0000-0000-00006F340000}"/>
    <cellStyle name="Normal 14 9 2 4" xfId="4416" xr:uid="{00000000-0005-0000-0000-000070340000}"/>
    <cellStyle name="Normal 14 9 2 4 2" xfId="36157" xr:uid="{00000000-0005-0000-0000-000071340000}"/>
    <cellStyle name="Normal 14 9 2 4 2 2" xfId="52257" xr:uid="{00000000-0005-0000-0000-000072340000}"/>
    <cellStyle name="Normal 14 9 2 4 3" xfId="42690" xr:uid="{00000000-0005-0000-0000-000073340000}"/>
    <cellStyle name="Normal 14 9 2 4 4" xfId="26590" xr:uid="{00000000-0005-0000-0000-000074340000}"/>
    <cellStyle name="Normal 14 9 2 4 5" xfId="17021" xr:uid="{00000000-0005-0000-0000-000075340000}"/>
    <cellStyle name="Normal 14 9 2 5" xfId="7452" xr:uid="{00000000-0005-0000-0000-000076340000}"/>
    <cellStyle name="Normal 14 9 2 5 2" xfId="39193" xr:uid="{00000000-0005-0000-0000-000077340000}"/>
    <cellStyle name="Normal 14 9 2 5 2 2" xfId="55293" xr:uid="{00000000-0005-0000-0000-000078340000}"/>
    <cellStyle name="Normal 14 9 2 5 3" xfId="45726" xr:uid="{00000000-0005-0000-0000-000079340000}"/>
    <cellStyle name="Normal 14 9 2 5 4" xfId="29626" xr:uid="{00000000-0005-0000-0000-00007A340000}"/>
    <cellStyle name="Normal 14 9 2 5 5" xfId="20057" xr:uid="{00000000-0005-0000-0000-00007B340000}"/>
    <cellStyle name="Normal 14 9 2 6" xfId="10488" xr:uid="{00000000-0005-0000-0000-00007C340000}"/>
    <cellStyle name="Normal 14 9 2 6 2" xfId="48762" xr:uid="{00000000-0005-0000-0000-00007D340000}"/>
    <cellStyle name="Normal 14 9 2 6 3" xfId="32662" xr:uid="{00000000-0005-0000-0000-00007E340000}"/>
    <cellStyle name="Normal 14 9 2 6 4" xfId="23093" xr:uid="{00000000-0005-0000-0000-00007F340000}"/>
    <cellStyle name="Normal 14 9 2 7" xfId="3511" xr:uid="{00000000-0005-0000-0000-000080340000}"/>
    <cellStyle name="Normal 14 9 2 7 2" xfId="51352" xr:uid="{00000000-0005-0000-0000-000081340000}"/>
    <cellStyle name="Normal 14 9 2 7 3" xfId="35252" xr:uid="{00000000-0005-0000-0000-000082340000}"/>
    <cellStyle name="Normal 14 9 2 7 4" xfId="16116" xr:uid="{00000000-0005-0000-0000-000083340000}"/>
    <cellStyle name="Normal 14 9 2 8" xfId="41785" xr:uid="{00000000-0005-0000-0000-000084340000}"/>
    <cellStyle name="Normal 14 9 2 9" xfId="25685" xr:uid="{00000000-0005-0000-0000-000085340000}"/>
    <cellStyle name="Normal 14 9 3" xfId="696" xr:uid="{00000000-0005-0000-0000-000086340000}"/>
    <cellStyle name="Normal 14 9 3 2" xfId="2724" xr:uid="{00000000-0005-0000-0000-000087340000}"/>
    <cellStyle name="Normal 14 9 3 2 2" xfId="9256" xr:uid="{00000000-0005-0000-0000-000088340000}"/>
    <cellStyle name="Normal 14 9 3 2 2 2" xfId="40997" xr:uid="{00000000-0005-0000-0000-000089340000}"/>
    <cellStyle name="Normal 14 9 3 2 2 2 2" xfId="57097" xr:uid="{00000000-0005-0000-0000-00008A340000}"/>
    <cellStyle name="Normal 14 9 3 2 2 3" xfId="47530" xr:uid="{00000000-0005-0000-0000-00008B340000}"/>
    <cellStyle name="Normal 14 9 3 2 2 4" xfId="31430" xr:uid="{00000000-0005-0000-0000-00008C340000}"/>
    <cellStyle name="Normal 14 9 3 2 2 5" xfId="21861" xr:uid="{00000000-0005-0000-0000-00008D340000}"/>
    <cellStyle name="Normal 14 9 3 2 3" xfId="12292" xr:uid="{00000000-0005-0000-0000-00008E340000}"/>
    <cellStyle name="Normal 14 9 3 2 3 2" xfId="50566" xr:uid="{00000000-0005-0000-0000-00008F340000}"/>
    <cellStyle name="Normal 14 9 3 2 3 3" xfId="34466" xr:uid="{00000000-0005-0000-0000-000090340000}"/>
    <cellStyle name="Normal 14 9 3 2 3 4" xfId="24897" xr:uid="{00000000-0005-0000-0000-000091340000}"/>
    <cellStyle name="Normal 14 9 3 2 4" xfId="6220" xr:uid="{00000000-0005-0000-0000-000092340000}"/>
    <cellStyle name="Normal 14 9 3 2 4 2" xfId="54061" xr:uid="{00000000-0005-0000-0000-000093340000}"/>
    <cellStyle name="Normal 14 9 3 2 4 3" xfId="37961" xr:uid="{00000000-0005-0000-0000-000094340000}"/>
    <cellStyle name="Normal 14 9 3 2 4 4" xfId="18825" xr:uid="{00000000-0005-0000-0000-000095340000}"/>
    <cellStyle name="Normal 14 9 3 2 5" xfId="44494" xr:uid="{00000000-0005-0000-0000-000096340000}"/>
    <cellStyle name="Normal 14 9 3 2 6" xfId="28394" xr:uid="{00000000-0005-0000-0000-000097340000}"/>
    <cellStyle name="Normal 14 9 3 2 7" xfId="15330" xr:uid="{00000000-0005-0000-0000-000098340000}"/>
    <cellStyle name="Normal 14 9 3 3" xfId="1706" xr:uid="{00000000-0005-0000-0000-000099340000}"/>
    <cellStyle name="Normal 14 9 3 3 2" xfId="8240" xr:uid="{00000000-0005-0000-0000-00009A340000}"/>
    <cellStyle name="Normal 14 9 3 3 2 2" xfId="39981" xr:uid="{00000000-0005-0000-0000-00009B340000}"/>
    <cellStyle name="Normal 14 9 3 3 2 2 2" xfId="56081" xr:uid="{00000000-0005-0000-0000-00009C340000}"/>
    <cellStyle name="Normal 14 9 3 3 2 3" xfId="46514" xr:uid="{00000000-0005-0000-0000-00009D340000}"/>
    <cellStyle name="Normal 14 9 3 3 2 4" xfId="30414" xr:uid="{00000000-0005-0000-0000-00009E340000}"/>
    <cellStyle name="Normal 14 9 3 3 2 5" xfId="20845" xr:uid="{00000000-0005-0000-0000-00009F340000}"/>
    <cellStyle name="Normal 14 9 3 3 3" xfId="11276" xr:uid="{00000000-0005-0000-0000-0000A0340000}"/>
    <cellStyle name="Normal 14 9 3 3 3 2" xfId="49550" xr:uid="{00000000-0005-0000-0000-0000A1340000}"/>
    <cellStyle name="Normal 14 9 3 3 3 3" xfId="33450" xr:uid="{00000000-0005-0000-0000-0000A2340000}"/>
    <cellStyle name="Normal 14 9 3 3 3 4" xfId="23881" xr:uid="{00000000-0005-0000-0000-0000A3340000}"/>
    <cellStyle name="Normal 14 9 3 3 4" xfId="5204" xr:uid="{00000000-0005-0000-0000-0000A4340000}"/>
    <cellStyle name="Normal 14 9 3 3 4 2" xfId="53045" xr:uid="{00000000-0005-0000-0000-0000A5340000}"/>
    <cellStyle name="Normal 14 9 3 3 4 3" xfId="36945" xr:uid="{00000000-0005-0000-0000-0000A6340000}"/>
    <cellStyle name="Normal 14 9 3 3 4 4" xfId="17809" xr:uid="{00000000-0005-0000-0000-0000A7340000}"/>
    <cellStyle name="Normal 14 9 3 3 5" xfId="43478" xr:uid="{00000000-0005-0000-0000-0000A8340000}"/>
    <cellStyle name="Normal 14 9 3 3 6" xfId="27378" xr:uid="{00000000-0005-0000-0000-0000A9340000}"/>
    <cellStyle name="Normal 14 9 3 3 7" xfId="14314" xr:uid="{00000000-0005-0000-0000-0000AA340000}"/>
    <cellStyle name="Normal 14 9 3 4" xfId="7230" xr:uid="{00000000-0005-0000-0000-0000AB340000}"/>
    <cellStyle name="Normal 14 9 3 4 2" xfId="38971" xr:uid="{00000000-0005-0000-0000-0000AC340000}"/>
    <cellStyle name="Normal 14 9 3 4 2 2" xfId="55071" xr:uid="{00000000-0005-0000-0000-0000AD340000}"/>
    <cellStyle name="Normal 14 9 3 4 3" xfId="45504" xr:uid="{00000000-0005-0000-0000-0000AE340000}"/>
    <cellStyle name="Normal 14 9 3 4 4" xfId="29404" xr:uid="{00000000-0005-0000-0000-0000AF340000}"/>
    <cellStyle name="Normal 14 9 3 4 5" xfId="19835" xr:uid="{00000000-0005-0000-0000-0000B0340000}"/>
    <cellStyle name="Normal 14 9 3 5" xfId="10266" xr:uid="{00000000-0005-0000-0000-0000B1340000}"/>
    <cellStyle name="Normal 14 9 3 5 2" xfId="48540" xr:uid="{00000000-0005-0000-0000-0000B2340000}"/>
    <cellStyle name="Normal 14 9 3 5 3" xfId="32440" xr:uid="{00000000-0005-0000-0000-0000B3340000}"/>
    <cellStyle name="Normal 14 9 3 5 4" xfId="22871" xr:uid="{00000000-0005-0000-0000-0000B4340000}"/>
    <cellStyle name="Normal 14 9 3 6" xfId="4194" xr:uid="{00000000-0005-0000-0000-0000B5340000}"/>
    <cellStyle name="Normal 14 9 3 6 2" xfId="52035" xr:uid="{00000000-0005-0000-0000-0000B6340000}"/>
    <cellStyle name="Normal 14 9 3 6 3" xfId="35935" xr:uid="{00000000-0005-0000-0000-0000B7340000}"/>
    <cellStyle name="Normal 14 9 3 6 4" xfId="16799" xr:uid="{00000000-0005-0000-0000-0000B8340000}"/>
    <cellStyle name="Normal 14 9 3 7" xfId="42468" xr:uid="{00000000-0005-0000-0000-0000B9340000}"/>
    <cellStyle name="Normal 14 9 3 8" xfId="26368" xr:uid="{00000000-0005-0000-0000-0000BA340000}"/>
    <cellStyle name="Normal 14 9 3 9" xfId="13304" xr:uid="{00000000-0005-0000-0000-0000BB340000}"/>
    <cellStyle name="Normal 14 9 4" xfId="2496" xr:uid="{00000000-0005-0000-0000-0000BC340000}"/>
    <cellStyle name="Normal 14 9 4 2" xfId="9028" xr:uid="{00000000-0005-0000-0000-0000BD340000}"/>
    <cellStyle name="Normal 14 9 4 2 2" xfId="40769" xr:uid="{00000000-0005-0000-0000-0000BE340000}"/>
    <cellStyle name="Normal 14 9 4 2 2 2" xfId="56869" xr:uid="{00000000-0005-0000-0000-0000BF340000}"/>
    <cellStyle name="Normal 14 9 4 2 3" xfId="47302" xr:uid="{00000000-0005-0000-0000-0000C0340000}"/>
    <cellStyle name="Normal 14 9 4 2 4" xfId="31202" xr:uid="{00000000-0005-0000-0000-0000C1340000}"/>
    <cellStyle name="Normal 14 9 4 2 5" xfId="21633" xr:uid="{00000000-0005-0000-0000-0000C2340000}"/>
    <cellStyle name="Normal 14 9 4 3" xfId="12064" xr:uid="{00000000-0005-0000-0000-0000C3340000}"/>
    <cellStyle name="Normal 14 9 4 3 2" xfId="50338" xr:uid="{00000000-0005-0000-0000-0000C4340000}"/>
    <cellStyle name="Normal 14 9 4 3 3" xfId="34238" xr:uid="{00000000-0005-0000-0000-0000C5340000}"/>
    <cellStyle name="Normal 14 9 4 3 4" xfId="24669" xr:uid="{00000000-0005-0000-0000-0000C6340000}"/>
    <cellStyle name="Normal 14 9 4 4" xfId="5992" xr:uid="{00000000-0005-0000-0000-0000C7340000}"/>
    <cellStyle name="Normal 14 9 4 4 2" xfId="53833" xr:uid="{00000000-0005-0000-0000-0000C8340000}"/>
    <cellStyle name="Normal 14 9 4 4 3" xfId="37733" xr:uid="{00000000-0005-0000-0000-0000C9340000}"/>
    <cellStyle name="Normal 14 9 4 4 4" xfId="18597" xr:uid="{00000000-0005-0000-0000-0000CA340000}"/>
    <cellStyle name="Normal 14 9 4 5" xfId="44266" xr:uid="{00000000-0005-0000-0000-0000CB340000}"/>
    <cellStyle name="Normal 14 9 4 6" xfId="28166" xr:uid="{00000000-0005-0000-0000-0000CC340000}"/>
    <cellStyle name="Normal 14 9 4 7" xfId="15102" xr:uid="{00000000-0005-0000-0000-0000CD340000}"/>
    <cellStyle name="Normal 14 9 5" xfId="1245" xr:uid="{00000000-0005-0000-0000-0000CE340000}"/>
    <cellStyle name="Normal 14 9 5 2" xfId="7779" xr:uid="{00000000-0005-0000-0000-0000CF340000}"/>
    <cellStyle name="Normal 14 9 5 2 2" xfId="39520" xr:uid="{00000000-0005-0000-0000-0000D0340000}"/>
    <cellStyle name="Normal 14 9 5 2 2 2" xfId="55620" xr:uid="{00000000-0005-0000-0000-0000D1340000}"/>
    <cellStyle name="Normal 14 9 5 2 3" xfId="46053" xr:uid="{00000000-0005-0000-0000-0000D2340000}"/>
    <cellStyle name="Normal 14 9 5 2 4" xfId="29953" xr:uid="{00000000-0005-0000-0000-0000D3340000}"/>
    <cellStyle name="Normal 14 9 5 2 5" xfId="20384" xr:uid="{00000000-0005-0000-0000-0000D4340000}"/>
    <cellStyle name="Normal 14 9 5 3" xfId="10815" xr:uid="{00000000-0005-0000-0000-0000D5340000}"/>
    <cellStyle name="Normal 14 9 5 3 2" xfId="49089" xr:uid="{00000000-0005-0000-0000-0000D6340000}"/>
    <cellStyle name="Normal 14 9 5 3 3" xfId="32989" xr:uid="{00000000-0005-0000-0000-0000D7340000}"/>
    <cellStyle name="Normal 14 9 5 3 4" xfId="23420" xr:uid="{00000000-0005-0000-0000-0000D8340000}"/>
    <cellStyle name="Normal 14 9 5 4" xfId="4743" xr:uid="{00000000-0005-0000-0000-0000D9340000}"/>
    <cellStyle name="Normal 14 9 5 4 2" xfId="52584" xr:uid="{00000000-0005-0000-0000-0000DA340000}"/>
    <cellStyle name="Normal 14 9 5 4 3" xfId="36484" xr:uid="{00000000-0005-0000-0000-0000DB340000}"/>
    <cellStyle name="Normal 14 9 5 4 4" xfId="17348" xr:uid="{00000000-0005-0000-0000-0000DC340000}"/>
    <cellStyle name="Normal 14 9 5 5" xfId="43017" xr:uid="{00000000-0005-0000-0000-0000DD340000}"/>
    <cellStyle name="Normal 14 9 5 6" xfId="26917" xr:uid="{00000000-0005-0000-0000-0000DE340000}"/>
    <cellStyle name="Normal 14 9 5 7" xfId="13853" xr:uid="{00000000-0005-0000-0000-0000DF340000}"/>
    <cellStyle name="Normal 14 9 6" xfId="3733" xr:uid="{00000000-0005-0000-0000-0000E0340000}"/>
    <cellStyle name="Normal 14 9 6 2" xfId="35474" xr:uid="{00000000-0005-0000-0000-0000E1340000}"/>
    <cellStyle name="Normal 14 9 6 2 2" xfId="51574" xr:uid="{00000000-0005-0000-0000-0000E2340000}"/>
    <cellStyle name="Normal 14 9 6 3" xfId="42007" xr:uid="{00000000-0005-0000-0000-0000E3340000}"/>
    <cellStyle name="Normal 14 9 6 4" xfId="25907" xr:uid="{00000000-0005-0000-0000-0000E4340000}"/>
    <cellStyle name="Normal 14 9 6 5" xfId="16338" xr:uid="{00000000-0005-0000-0000-0000E5340000}"/>
    <cellStyle name="Normal 14 9 7" xfId="6769" xr:uid="{00000000-0005-0000-0000-0000E6340000}"/>
    <cellStyle name="Normal 14 9 7 2" xfId="38510" xr:uid="{00000000-0005-0000-0000-0000E7340000}"/>
    <cellStyle name="Normal 14 9 7 2 2" xfId="54610" xr:uid="{00000000-0005-0000-0000-0000E8340000}"/>
    <cellStyle name="Normal 14 9 7 3" xfId="45043" xr:uid="{00000000-0005-0000-0000-0000E9340000}"/>
    <cellStyle name="Normal 14 9 7 4" xfId="28943" xr:uid="{00000000-0005-0000-0000-0000EA340000}"/>
    <cellStyle name="Normal 14 9 7 5" xfId="19374" xr:uid="{00000000-0005-0000-0000-0000EB340000}"/>
    <cellStyle name="Normal 14 9 8" xfId="9805" xr:uid="{00000000-0005-0000-0000-0000EC340000}"/>
    <cellStyle name="Normal 14 9 8 2" xfId="48079" xr:uid="{00000000-0005-0000-0000-0000ED340000}"/>
    <cellStyle name="Normal 14 9 8 3" xfId="31979" xr:uid="{00000000-0005-0000-0000-0000EE340000}"/>
    <cellStyle name="Normal 14 9 8 4" xfId="22410" xr:uid="{00000000-0005-0000-0000-0000EF340000}"/>
    <cellStyle name="Normal 14 9 9" xfId="3273" xr:uid="{00000000-0005-0000-0000-0000F0340000}"/>
    <cellStyle name="Normal 14 9 9 2" xfId="51115" xr:uid="{00000000-0005-0000-0000-0000F1340000}"/>
    <cellStyle name="Normal 14 9 9 3" xfId="35015" xr:uid="{00000000-0005-0000-0000-0000F2340000}"/>
    <cellStyle name="Normal 14 9 9 4" xfId="15879" xr:uid="{00000000-0005-0000-0000-0000F3340000}"/>
    <cellStyle name="Normal 15" xfId="21" xr:uid="{00000000-0005-0000-0000-0000F4340000}"/>
    <cellStyle name="Normal 15 10" xfId="483" xr:uid="{00000000-0005-0000-0000-0000F5340000}"/>
    <cellStyle name="Normal 15 10 10" xfId="41566" xr:uid="{00000000-0005-0000-0000-0000F6340000}"/>
    <cellStyle name="Normal 15 10 11" xfId="25466" xr:uid="{00000000-0005-0000-0000-0000F7340000}"/>
    <cellStyle name="Normal 15 10 12" xfId="12861" xr:uid="{00000000-0005-0000-0000-0000F8340000}"/>
    <cellStyle name="Normal 15 10 2" xfId="936" xr:uid="{00000000-0005-0000-0000-0000F9340000}"/>
    <cellStyle name="Normal 15 10 2 10" xfId="13544" xr:uid="{00000000-0005-0000-0000-0000FA340000}"/>
    <cellStyle name="Normal 15 10 2 2" xfId="2964" xr:uid="{00000000-0005-0000-0000-0000FB340000}"/>
    <cellStyle name="Normal 15 10 2 2 2" xfId="9496" xr:uid="{00000000-0005-0000-0000-0000FC340000}"/>
    <cellStyle name="Normal 15 10 2 2 2 2" xfId="41237" xr:uid="{00000000-0005-0000-0000-0000FD340000}"/>
    <cellStyle name="Normal 15 10 2 2 2 2 2" xfId="57337" xr:uid="{00000000-0005-0000-0000-0000FE340000}"/>
    <cellStyle name="Normal 15 10 2 2 2 3" xfId="47770" xr:uid="{00000000-0005-0000-0000-0000FF340000}"/>
    <cellStyle name="Normal 15 10 2 2 2 4" xfId="31670" xr:uid="{00000000-0005-0000-0000-000000350000}"/>
    <cellStyle name="Normal 15 10 2 2 2 5" xfId="22101" xr:uid="{00000000-0005-0000-0000-000001350000}"/>
    <cellStyle name="Normal 15 10 2 2 3" xfId="12532" xr:uid="{00000000-0005-0000-0000-000002350000}"/>
    <cellStyle name="Normal 15 10 2 2 3 2" xfId="50806" xr:uid="{00000000-0005-0000-0000-000003350000}"/>
    <cellStyle name="Normal 15 10 2 2 3 3" xfId="34706" xr:uid="{00000000-0005-0000-0000-000004350000}"/>
    <cellStyle name="Normal 15 10 2 2 3 4" xfId="25137" xr:uid="{00000000-0005-0000-0000-000005350000}"/>
    <cellStyle name="Normal 15 10 2 2 4" xfId="6460" xr:uid="{00000000-0005-0000-0000-000006350000}"/>
    <cellStyle name="Normal 15 10 2 2 4 2" xfId="54301" xr:uid="{00000000-0005-0000-0000-000007350000}"/>
    <cellStyle name="Normal 15 10 2 2 4 3" xfId="38201" xr:uid="{00000000-0005-0000-0000-000008350000}"/>
    <cellStyle name="Normal 15 10 2 2 4 4" xfId="19065" xr:uid="{00000000-0005-0000-0000-000009350000}"/>
    <cellStyle name="Normal 15 10 2 2 5" xfId="44734" xr:uid="{00000000-0005-0000-0000-00000A350000}"/>
    <cellStyle name="Normal 15 10 2 2 6" xfId="28634" xr:uid="{00000000-0005-0000-0000-00000B350000}"/>
    <cellStyle name="Normal 15 10 2 2 7" xfId="15570" xr:uid="{00000000-0005-0000-0000-00000C350000}"/>
    <cellStyle name="Normal 15 10 2 3" xfId="1946" xr:uid="{00000000-0005-0000-0000-00000D350000}"/>
    <cellStyle name="Normal 15 10 2 3 2" xfId="8480" xr:uid="{00000000-0005-0000-0000-00000E350000}"/>
    <cellStyle name="Normal 15 10 2 3 2 2" xfId="40221" xr:uid="{00000000-0005-0000-0000-00000F350000}"/>
    <cellStyle name="Normal 15 10 2 3 2 2 2" xfId="56321" xr:uid="{00000000-0005-0000-0000-000010350000}"/>
    <cellStyle name="Normal 15 10 2 3 2 3" xfId="46754" xr:uid="{00000000-0005-0000-0000-000011350000}"/>
    <cellStyle name="Normal 15 10 2 3 2 4" xfId="30654" xr:uid="{00000000-0005-0000-0000-000012350000}"/>
    <cellStyle name="Normal 15 10 2 3 2 5" xfId="21085" xr:uid="{00000000-0005-0000-0000-000013350000}"/>
    <cellStyle name="Normal 15 10 2 3 3" xfId="11516" xr:uid="{00000000-0005-0000-0000-000014350000}"/>
    <cellStyle name="Normal 15 10 2 3 3 2" xfId="49790" xr:uid="{00000000-0005-0000-0000-000015350000}"/>
    <cellStyle name="Normal 15 10 2 3 3 3" xfId="33690" xr:uid="{00000000-0005-0000-0000-000016350000}"/>
    <cellStyle name="Normal 15 10 2 3 3 4" xfId="24121" xr:uid="{00000000-0005-0000-0000-000017350000}"/>
    <cellStyle name="Normal 15 10 2 3 4" xfId="5444" xr:uid="{00000000-0005-0000-0000-000018350000}"/>
    <cellStyle name="Normal 15 10 2 3 4 2" xfId="53285" xr:uid="{00000000-0005-0000-0000-000019350000}"/>
    <cellStyle name="Normal 15 10 2 3 4 3" xfId="37185" xr:uid="{00000000-0005-0000-0000-00001A350000}"/>
    <cellStyle name="Normal 15 10 2 3 4 4" xfId="18049" xr:uid="{00000000-0005-0000-0000-00001B350000}"/>
    <cellStyle name="Normal 15 10 2 3 5" xfId="43718" xr:uid="{00000000-0005-0000-0000-00001C350000}"/>
    <cellStyle name="Normal 15 10 2 3 6" xfId="27618" xr:uid="{00000000-0005-0000-0000-00001D350000}"/>
    <cellStyle name="Normal 15 10 2 3 7" xfId="14554" xr:uid="{00000000-0005-0000-0000-00001E350000}"/>
    <cellStyle name="Normal 15 10 2 4" xfId="4434" xr:uid="{00000000-0005-0000-0000-00001F350000}"/>
    <cellStyle name="Normal 15 10 2 4 2" xfId="36175" xr:uid="{00000000-0005-0000-0000-000020350000}"/>
    <cellStyle name="Normal 15 10 2 4 2 2" xfId="52275" xr:uid="{00000000-0005-0000-0000-000021350000}"/>
    <cellStyle name="Normal 15 10 2 4 3" xfId="42708" xr:uid="{00000000-0005-0000-0000-000022350000}"/>
    <cellStyle name="Normal 15 10 2 4 4" xfId="26608" xr:uid="{00000000-0005-0000-0000-000023350000}"/>
    <cellStyle name="Normal 15 10 2 4 5" xfId="17039" xr:uid="{00000000-0005-0000-0000-000024350000}"/>
    <cellStyle name="Normal 15 10 2 5" xfId="7470" xr:uid="{00000000-0005-0000-0000-000025350000}"/>
    <cellStyle name="Normal 15 10 2 5 2" xfId="39211" xr:uid="{00000000-0005-0000-0000-000026350000}"/>
    <cellStyle name="Normal 15 10 2 5 2 2" xfId="55311" xr:uid="{00000000-0005-0000-0000-000027350000}"/>
    <cellStyle name="Normal 15 10 2 5 3" xfId="45744" xr:uid="{00000000-0005-0000-0000-000028350000}"/>
    <cellStyle name="Normal 15 10 2 5 4" xfId="29644" xr:uid="{00000000-0005-0000-0000-000029350000}"/>
    <cellStyle name="Normal 15 10 2 5 5" xfId="20075" xr:uid="{00000000-0005-0000-0000-00002A350000}"/>
    <cellStyle name="Normal 15 10 2 6" xfId="10506" xr:uid="{00000000-0005-0000-0000-00002B350000}"/>
    <cellStyle name="Normal 15 10 2 6 2" xfId="48780" xr:uid="{00000000-0005-0000-0000-00002C350000}"/>
    <cellStyle name="Normal 15 10 2 6 3" xfId="32680" xr:uid="{00000000-0005-0000-0000-00002D350000}"/>
    <cellStyle name="Normal 15 10 2 6 4" xfId="23111" xr:uid="{00000000-0005-0000-0000-00002E350000}"/>
    <cellStyle name="Normal 15 10 2 7" xfId="3529" xr:uid="{00000000-0005-0000-0000-00002F350000}"/>
    <cellStyle name="Normal 15 10 2 7 2" xfId="51370" xr:uid="{00000000-0005-0000-0000-000030350000}"/>
    <cellStyle name="Normal 15 10 2 7 3" xfId="35270" xr:uid="{00000000-0005-0000-0000-000031350000}"/>
    <cellStyle name="Normal 15 10 2 7 4" xfId="16134" xr:uid="{00000000-0005-0000-0000-000032350000}"/>
    <cellStyle name="Normal 15 10 2 8" xfId="41803" xr:uid="{00000000-0005-0000-0000-000033350000}"/>
    <cellStyle name="Normal 15 10 2 9" xfId="25703" xr:uid="{00000000-0005-0000-0000-000034350000}"/>
    <cellStyle name="Normal 15 10 3" xfId="714" xr:uid="{00000000-0005-0000-0000-000035350000}"/>
    <cellStyle name="Normal 15 10 3 2" xfId="2742" xr:uid="{00000000-0005-0000-0000-000036350000}"/>
    <cellStyle name="Normal 15 10 3 2 2" xfId="9274" xr:uid="{00000000-0005-0000-0000-000037350000}"/>
    <cellStyle name="Normal 15 10 3 2 2 2" xfId="41015" xr:uid="{00000000-0005-0000-0000-000038350000}"/>
    <cellStyle name="Normal 15 10 3 2 2 2 2" xfId="57115" xr:uid="{00000000-0005-0000-0000-000039350000}"/>
    <cellStyle name="Normal 15 10 3 2 2 3" xfId="47548" xr:uid="{00000000-0005-0000-0000-00003A350000}"/>
    <cellStyle name="Normal 15 10 3 2 2 4" xfId="31448" xr:uid="{00000000-0005-0000-0000-00003B350000}"/>
    <cellStyle name="Normal 15 10 3 2 2 5" xfId="21879" xr:uid="{00000000-0005-0000-0000-00003C350000}"/>
    <cellStyle name="Normal 15 10 3 2 3" xfId="12310" xr:uid="{00000000-0005-0000-0000-00003D350000}"/>
    <cellStyle name="Normal 15 10 3 2 3 2" xfId="50584" xr:uid="{00000000-0005-0000-0000-00003E350000}"/>
    <cellStyle name="Normal 15 10 3 2 3 3" xfId="34484" xr:uid="{00000000-0005-0000-0000-00003F350000}"/>
    <cellStyle name="Normal 15 10 3 2 3 4" xfId="24915" xr:uid="{00000000-0005-0000-0000-000040350000}"/>
    <cellStyle name="Normal 15 10 3 2 4" xfId="6238" xr:uid="{00000000-0005-0000-0000-000041350000}"/>
    <cellStyle name="Normal 15 10 3 2 4 2" xfId="54079" xr:uid="{00000000-0005-0000-0000-000042350000}"/>
    <cellStyle name="Normal 15 10 3 2 4 3" xfId="37979" xr:uid="{00000000-0005-0000-0000-000043350000}"/>
    <cellStyle name="Normal 15 10 3 2 4 4" xfId="18843" xr:uid="{00000000-0005-0000-0000-000044350000}"/>
    <cellStyle name="Normal 15 10 3 2 5" xfId="44512" xr:uid="{00000000-0005-0000-0000-000045350000}"/>
    <cellStyle name="Normal 15 10 3 2 6" xfId="28412" xr:uid="{00000000-0005-0000-0000-000046350000}"/>
    <cellStyle name="Normal 15 10 3 2 7" xfId="15348" xr:uid="{00000000-0005-0000-0000-000047350000}"/>
    <cellStyle name="Normal 15 10 3 3" xfId="1724" xr:uid="{00000000-0005-0000-0000-000048350000}"/>
    <cellStyle name="Normal 15 10 3 3 2" xfId="8258" xr:uid="{00000000-0005-0000-0000-000049350000}"/>
    <cellStyle name="Normal 15 10 3 3 2 2" xfId="39999" xr:uid="{00000000-0005-0000-0000-00004A350000}"/>
    <cellStyle name="Normal 15 10 3 3 2 2 2" xfId="56099" xr:uid="{00000000-0005-0000-0000-00004B350000}"/>
    <cellStyle name="Normal 15 10 3 3 2 3" xfId="46532" xr:uid="{00000000-0005-0000-0000-00004C350000}"/>
    <cellStyle name="Normal 15 10 3 3 2 4" xfId="30432" xr:uid="{00000000-0005-0000-0000-00004D350000}"/>
    <cellStyle name="Normal 15 10 3 3 2 5" xfId="20863" xr:uid="{00000000-0005-0000-0000-00004E350000}"/>
    <cellStyle name="Normal 15 10 3 3 3" xfId="11294" xr:uid="{00000000-0005-0000-0000-00004F350000}"/>
    <cellStyle name="Normal 15 10 3 3 3 2" xfId="49568" xr:uid="{00000000-0005-0000-0000-000050350000}"/>
    <cellStyle name="Normal 15 10 3 3 3 3" xfId="33468" xr:uid="{00000000-0005-0000-0000-000051350000}"/>
    <cellStyle name="Normal 15 10 3 3 3 4" xfId="23899" xr:uid="{00000000-0005-0000-0000-000052350000}"/>
    <cellStyle name="Normal 15 10 3 3 4" xfId="5222" xr:uid="{00000000-0005-0000-0000-000053350000}"/>
    <cellStyle name="Normal 15 10 3 3 4 2" xfId="53063" xr:uid="{00000000-0005-0000-0000-000054350000}"/>
    <cellStyle name="Normal 15 10 3 3 4 3" xfId="36963" xr:uid="{00000000-0005-0000-0000-000055350000}"/>
    <cellStyle name="Normal 15 10 3 3 4 4" xfId="17827" xr:uid="{00000000-0005-0000-0000-000056350000}"/>
    <cellStyle name="Normal 15 10 3 3 5" xfId="43496" xr:uid="{00000000-0005-0000-0000-000057350000}"/>
    <cellStyle name="Normal 15 10 3 3 6" xfId="27396" xr:uid="{00000000-0005-0000-0000-000058350000}"/>
    <cellStyle name="Normal 15 10 3 3 7" xfId="14332" xr:uid="{00000000-0005-0000-0000-000059350000}"/>
    <cellStyle name="Normal 15 10 3 4" xfId="7248" xr:uid="{00000000-0005-0000-0000-00005A350000}"/>
    <cellStyle name="Normal 15 10 3 4 2" xfId="38989" xr:uid="{00000000-0005-0000-0000-00005B350000}"/>
    <cellStyle name="Normal 15 10 3 4 2 2" xfId="55089" xr:uid="{00000000-0005-0000-0000-00005C350000}"/>
    <cellStyle name="Normal 15 10 3 4 3" xfId="45522" xr:uid="{00000000-0005-0000-0000-00005D350000}"/>
    <cellStyle name="Normal 15 10 3 4 4" xfId="29422" xr:uid="{00000000-0005-0000-0000-00005E350000}"/>
    <cellStyle name="Normal 15 10 3 4 5" xfId="19853" xr:uid="{00000000-0005-0000-0000-00005F350000}"/>
    <cellStyle name="Normal 15 10 3 5" xfId="10284" xr:uid="{00000000-0005-0000-0000-000060350000}"/>
    <cellStyle name="Normal 15 10 3 5 2" xfId="48558" xr:uid="{00000000-0005-0000-0000-000061350000}"/>
    <cellStyle name="Normal 15 10 3 5 3" xfId="32458" xr:uid="{00000000-0005-0000-0000-000062350000}"/>
    <cellStyle name="Normal 15 10 3 5 4" xfId="22889" xr:uid="{00000000-0005-0000-0000-000063350000}"/>
    <cellStyle name="Normal 15 10 3 6" xfId="4212" xr:uid="{00000000-0005-0000-0000-000064350000}"/>
    <cellStyle name="Normal 15 10 3 6 2" xfId="52053" xr:uid="{00000000-0005-0000-0000-000065350000}"/>
    <cellStyle name="Normal 15 10 3 6 3" xfId="35953" xr:uid="{00000000-0005-0000-0000-000066350000}"/>
    <cellStyle name="Normal 15 10 3 6 4" xfId="16817" xr:uid="{00000000-0005-0000-0000-000067350000}"/>
    <cellStyle name="Normal 15 10 3 7" xfId="42486" xr:uid="{00000000-0005-0000-0000-000068350000}"/>
    <cellStyle name="Normal 15 10 3 8" xfId="26386" xr:uid="{00000000-0005-0000-0000-000069350000}"/>
    <cellStyle name="Normal 15 10 3 9" xfId="13322" xr:uid="{00000000-0005-0000-0000-00006A350000}"/>
    <cellStyle name="Normal 15 10 4" xfId="2514" xr:uid="{00000000-0005-0000-0000-00006B350000}"/>
    <cellStyle name="Normal 15 10 4 2" xfId="9046" xr:uid="{00000000-0005-0000-0000-00006C350000}"/>
    <cellStyle name="Normal 15 10 4 2 2" xfId="40787" xr:uid="{00000000-0005-0000-0000-00006D350000}"/>
    <cellStyle name="Normal 15 10 4 2 2 2" xfId="56887" xr:uid="{00000000-0005-0000-0000-00006E350000}"/>
    <cellStyle name="Normal 15 10 4 2 3" xfId="47320" xr:uid="{00000000-0005-0000-0000-00006F350000}"/>
    <cellStyle name="Normal 15 10 4 2 4" xfId="31220" xr:uid="{00000000-0005-0000-0000-000070350000}"/>
    <cellStyle name="Normal 15 10 4 2 5" xfId="21651" xr:uid="{00000000-0005-0000-0000-000071350000}"/>
    <cellStyle name="Normal 15 10 4 3" xfId="12082" xr:uid="{00000000-0005-0000-0000-000072350000}"/>
    <cellStyle name="Normal 15 10 4 3 2" xfId="50356" xr:uid="{00000000-0005-0000-0000-000073350000}"/>
    <cellStyle name="Normal 15 10 4 3 3" xfId="34256" xr:uid="{00000000-0005-0000-0000-000074350000}"/>
    <cellStyle name="Normal 15 10 4 3 4" xfId="24687" xr:uid="{00000000-0005-0000-0000-000075350000}"/>
    <cellStyle name="Normal 15 10 4 4" xfId="6010" xr:uid="{00000000-0005-0000-0000-000076350000}"/>
    <cellStyle name="Normal 15 10 4 4 2" xfId="53851" xr:uid="{00000000-0005-0000-0000-000077350000}"/>
    <cellStyle name="Normal 15 10 4 4 3" xfId="37751" xr:uid="{00000000-0005-0000-0000-000078350000}"/>
    <cellStyle name="Normal 15 10 4 4 4" xfId="18615" xr:uid="{00000000-0005-0000-0000-000079350000}"/>
    <cellStyle name="Normal 15 10 4 5" xfId="44284" xr:uid="{00000000-0005-0000-0000-00007A350000}"/>
    <cellStyle name="Normal 15 10 4 6" xfId="28184" xr:uid="{00000000-0005-0000-0000-00007B350000}"/>
    <cellStyle name="Normal 15 10 4 7" xfId="15120" xr:uid="{00000000-0005-0000-0000-00007C350000}"/>
    <cellStyle name="Normal 15 10 5" xfId="1263" xr:uid="{00000000-0005-0000-0000-00007D350000}"/>
    <cellStyle name="Normal 15 10 5 2" xfId="7797" xr:uid="{00000000-0005-0000-0000-00007E350000}"/>
    <cellStyle name="Normal 15 10 5 2 2" xfId="39538" xr:uid="{00000000-0005-0000-0000-00007F350000}"/>
    <cellStyle name="Normal 15 10 5 2 2 2" xfId="55638" xr:uid="{00000000-0005-0000-0000-000080350000}"/>
    <cellStyle name="Normal 15 10 5 2 3" xfId="46071" xr:uid="{00000000-0005-0000-0000-000081350000}"/>
    <cellStyle name="Normal 15 10 5 2 4" xfId="29971" xr:uid="{00000000-0005-0000-0000-000082350000}"/>
    <cellStyle name="Normal 15 10 5 2 5" xfId="20402" xr:uid="{00000000-0005-0000-0000-000083350000}"/>
    <cellStyle name="Normal 15 10 5 3" xfId="10833" xr:uid="{00000000-0005-0000-0000-000084350000}"/>
    <cellStyle name="Normal 15 10 5 3 2" xfId="49107" xr:uid="{00000000-0005-0000-0000-000085350000}"/>
    <cellStyle name="Normal 15 10 5 3 3" xfId="33007" xr:uid="{00000000-0005-0000-0000-000086350000}"/>
    <cellStyle name="Normal 15 10 5 3 4" xfId="23438" xr:uid="{00000000-0005-0000-0000-000087350000}"/>
    <cellStyle name="Normal 15 10 5 4" xfId="4761" xr:uid="{00000000-0005-0000-0000-000088350000}"/>
    <cellStyle name="Normal 15 10 5 4 2" xfId="52602" xr:uid="{00000000-0005-0000-0000-000089350000}"/>
    <cellStyle name="Normal 15 10 5 4 3" xfId="36502" xr:uid="{00000000-0005-0000-0000-00008A350000}"/>
    <cellStyle name="Normal 15 10 5 4 4" xfId="17366" xr:uid="{00000000-0005-0000-0000-00008B350000}"/>
    <cellStyle name="Normal 15 10 5 5" xfId="43035" xr:uid="{00000000-0005-0000-0000-00008C350000}"/>
    <cellStyle name="Normal 15 10 5 6" xfId="26935" xr:uid="{00000000-0005-0000-0000-00008D350000}"/>
    <cellStyle name="Normal 15 10 5 7" xfId="13871" xr:uid="{00000000-0005-0000-0000-00008E350000}"/>
    <cellStyle name="Normal 15 10 6" xfId="3751" xr:uid="{00000000-0005-0000-0000-00008F350000}"/>
    <cellStyle name="Normal 15 10 6 2" xfId="35492" xr:uid="{00000000-0005-0000-0000-000090350000}"/>
    <cellStyle name="Normal 15 10 6 2 2" xfId="51592" xr:uid="{00000000-0005-0000-0000-000091350000}"/>
    <cellStyle name="Normal 15 10 6 3" xfId="42025" xr:uid="{00000000-0005-0000-0000-000092350000}"/>
    <cellStyle name="Normal 15 10 6 4" xfId="25925" xr:uid="{00000000-0005-0000-0000-000093350000}"/>
    <cellStyle name="Normal 15 10 6 5" xfId="16356" xr:uid="{00000000-0005-0000-0000-000094350000}"/>
    <cellStyle name="Normal 15 10 7" xfId="6787" xr:uid="{00000000-0005-0000-0000-000095350000}"/>
    <cellStyle name="Normal 15 10 7 2" xfId="38528" xr:uid="{00000000-0005-0000-0000-000096350000}"/>
    <cellStyle name="Normal 15 10 7 2 2" xfId="54628" xr:uid="{00000000-0005-0000-0000-000097350000}"/>
    <cellStyle name="Normal 15 10 7 3" xfId="45061" xr:uid="{00000000-0005-0000-0000-000098350000}"/>
    <cellStyle name="Normal 15 10 7 4" xfId="28961" xr:uid="{00000000-0005-0000-0000-000099350000}"/>
    <cellStyle name="Normal 15 10 7 5" xfId="19392" xr:uid="{00000000-0005-0000-0000-00009A350000}"/>
    <cellStyle name="Normal 15 10 8" xfId="9823" xr:uid="{00000000-0005-0000-0000-00009B350000}"/>
    <cellStyle name="Normal 15 10 8 2" xfId="48097" xr:uid="{00000000-0005-0000-0000-00009C350000}"/>
    <cellStyle name="Normal 15 10 8 3" xfId="31997" xr:uid="{00000000-0005-0000-0000-00009D350000}"/>
    <cellStyle name="Normal 15 10 8 4" xfId="22428" xr:uid="{00000000-0005-0000-0000-00009E350000}"/>
    <cellStyle name="Normal 15 10 9" xfId="3291" xr:uid="{00000000-0005-0000-0000-00009F350000}"/>
    <cellStyle name="Normal 15 10 9 2" xfId="51133" xr:uid="{00000000-0005-0000-0000-0000A0350000}"/>
    <cellStyle name="Normal 15 10 9 3" xfId="35033" xr:uid="{00000000-0005-0000-0000-0000A1350000}"/>
    <cellStyle name="Normal 15 10 9 4" xfId="15897" xr:uid="{00000000-0005-0000-0000-0000A2350000}"/>
    <cellStyle name="Normal 15 11" xfId="426" xr:uid="{00000000-0005-0000-0000-0000A3350000}"/>
    <cellStyle name="Normal 15 11 10" xfId="41413" xr:uid="{00000000-0005-0000-0000-0000A4350000}"/>
    <cellStyle name="Normal 15 11 11" xfId="25313" xr:uid="{00000000-0005-0000-0000-0000A5350000}"/>
    <cellStyle name="Normal 15 11 12" xfId="12708" xr:uid="{00000000-0005-0000-0000-0000A6350000}"/>
    <cellStyle name="Normal 15 11 2" xfId="783" xr:uid="{00000000-0005-0000-0000-0000A7350000}"/>
    <cellStyle name="Normal 15 11 2 10" xfId="13391" xr:uid="{00000000-0005-0000-0000-0000A8350000}"/>
    <cellStyle name="Normal 15 11 2 2" xfId="2811" xr:uid="{00000000-0005-0000-0000-0000A9350000}"/>
    <cellStyle name="Normal 15 11 2 2 2" xfId="9343" xr:uid="{00000000-0005-0000-0000-0000AA350000}"/>
    <cellStyle name="Normal 15 11 2 2 2 2" xfId="41084" xr:uid="{00000000-0005-0000-0000-0000AB350000}"/>
    <cellStyle name="Normal 15 11 2 2 2 2 2" xfId="57184" xr:uid="{00000000-0005-0000-0000-0000AC350000}"/>
    <cellStyle name="Normal 15 11 2 2 2 3" xfId="47617" xr:uid="{00000000-0005-0000-0000-0000AD350000}"/>
    <cellStyle name="Normal 15 11 2 2 2 4" xfId="31517" xr:uid="{00000000-0005-0000-0000-0000AE350000}"/>
    <cellStyle name="Normal 15 11 2 2 2 5" xfId="21948" xr:uid="{00000000-0005-0000-0000-0000AF350000}"/>
    <cellStyle name="Normal 15 11 2 2 3" xfId="12379" xr:uid="{00000000-0005-0000-0000-0000B0350000}"/>
    <cellStyle name="Normal 15 11 2 2 3 2" xfId="50653" xr:uid="{00000000-0005-0000-0000-0000B1350000}"/>
    <cellStyle name="Normal 15 11 2 2 3 3" xfId="34553" xr:uid="{00000000-0005-0000-0000-0000B2350000}"/>
    <cellStyle name="Normal 15 11 2 2 3 4" xfId="24984" xr:uid="{00000000-0005-0000-0000-0000B3350000}"/>
    <cellStyle name="Normal 15 11 2 2 4" xfId="6307" xr:uid="{00000000-0005-0000-0000-0000B4350000}"/>
    <cellStyle name="Normal 15 11 2 2 4 2" xfId="54148" xr:uid="{00000000-0005-0000-0000-0000B5350000}"/>
    <cellStyle name="Normal 15 11 2 2 4 3" xfId="38048" xr:uid="{00000000-0005-0000-0000-0000B6350000}"/>
    <cellStyle name="Normal 15 11 2 2 4 4" xfId="18912" xr:uid="{00000000-0005-0000-0000-0000B7350000}"/>
    <cellStyle name="Normal 15 11 2 2 5" xfId="44581" xr:uid="{00000000-0005-0000-0000-0000B8350000}"/>
    <cellStyle name="Normal 15 11 2 2 6" xfId="28481" xr:uid="{00000000-0005-0000-0000-0000B9350000}"/>
    <cellStyle name="Normal 15 11 2 2 7" xfId="15417" xr:uid="{00000000-0005-0000-0000-0000BA350000}"/>
    <cellStyle name="Normal 15 11 2 3" xfId="1793" xr:uid="{00000000-0005-0000-0000-0000BB350000}"/>
    <cellStyle name="Normal 15 11 2 3 2" xfId="8327" xr:uid="{00000000-0005-0000-0000-0000BC350000}"/>
    <cellStyle name="Normal 15 11 2 3 2 2" xfId="40068" xr:uid="{00000000-0005-0000-0000-0000BD350000}"/>
    <cellStyle name="Normal 15 11 2 3 2 2 2" xfId="56168" xr:uid="{00000000-0005-0000-0000-0000BE350000}"/>
    <cellStyle name="Normal 15 11 2 3 2 3" xfId="46601" xr:uid="{00000000-0005-0000-0000-0000BF350000}"/>
    <cellStyle name="Normal 15 11 2 3 2 4" xfId="30501" xr:uid="{00000000-0005-0000-0000-0000C0350000}"/>
    <cellStyle name="Normal 15 11 2 3 2 5" xfId="20932" xr:uid="{00000000-0005-0000-0000-0000C1350000}"/>
    <cellStyle name="Normal 15 11 2 3 3" xfId="11363" xr:uid="{00000000-0005-0000-0000-0000C2350000}"/>
    <cellStyle name="Normal 15 11 2 3 3 2" xfId="49637" xr:uid="{00000000-0005-0000-0000-0000C3350000}"/>
    <cellStyle name="Normal 15 11 2 3 3 3" xfId="33537" xr:uid="{00000000-0005-0000-0000-0000C4350000}"/>
    <cellStyle name="Normal 15 11 2 3 3 4" xfId="23968" xr:uid="{00000000-0005-0000-0000-0000C5350000}"/>
    <cellStyle name="Normal 15 11 2 3 4" xfId="5291" xr:uid="{00000000-0005-0000-0000-0000C6350000}"/>
    <cellStyle name="Normal 15 11 2 3 4 2" xfId="53132" xr:uid="{00000000-0005-0000-0000-0000C7350000}"/>
    <cellStyle name="Normal 15 11 2 3 4 3" xfId="37032" xr:uid="{00000000-0005-0000-0000-0000C8350000}"/>
    <cellStyle name="Normal 15 11 2 3 4 4" xfId="17896" xr:uid="{00000000-0005-0000-0000-0000C9350000}"/>
    <cellStyle name="Normal 15 11 2 3 5" xfId="43565" xr:uid="{00000000-0005-0000-0000-0000CA350000}"/>
    <cellStyle name="Normal 15 11 2 3 6" xfId="27465" xr:uid="{00000000-0005-0000-0000-0000CB350000}"/>
    <cellStyle name="Normal 15 11 2 3 7" xfId="14401" xr:uid="{00000000-0005-0000-0000-0000CC350000}"/>
    <cellStyle name="Normal 15 11 2 4" xfId="4281" xr:uid="{00000000-0005-0000-0000-0000CD350000}"/>
    <cellStyle name="Normal 15 11 2 4 2" xfId="36022" xr:uid="{00000000-0005-0000-0000-0000CE350000}"/>
    <cellStyle name="Normal 15 11 2 4 2 2" xfId="52122" xr:uid="{00000000-0005-0000-0000-0000CF350000}"/>
    <cellStyle name="Normal 15 11 2 4 3" xfId="42555" xr:uid="{00000000-0005-0000-0000-0000D0350000}"/>
    <cellStyle name="Normal 15 11 2 4 4" xfId="26455" xr:uid="{00000000-0005-0000-0000-0000D1350000}"/>
    <cellStyle name="Normal 15 11 2 4 5" xfId="16886" xr:uid="{00000000-0005-0000-0000-0000D2350000}"/>
    <cellStyle name="Normal 15 11 2 5" xfId="7317" xr:uid="{00000000-0005-0000-0000-0000D3350000}"/>
    <cellStyle name="Normal 15 11 2 5 2" xfId="39058" xr:uid="{00000000-0005-0000-0000-0000D4350000}"/>
    <cellStyle name="Normal 15 11 2 5 2 2" xfId="55158" xr:uid="{00000000-0005-0000-0000-0000D5350000}"/>
    <cellStyle name="Normal 15 11 2 5 3" xfId="45591" xr:uid="{00000000-0005-0000-0000-0000D6350000}"/>
    <cellStyle name="Normal 15 11 2 5 4" xfId="29491" xr:uid="{00000000-0005-0000-0000-0000D7350000}"/>
    <cellStyle name="Normal 15 11 2 5 5" xfId="19922" xr:uid="{00000000-0005-0000-0000-0000D8350000}"/>
    <cellStyle name="Normal 15 11 2 6" xfId="10353" xr:uid="{00000000-0005-0000-0000-0000D9350000}"/>
    <cellStyle name="Normal 15 11 2 6 2" xfId="48627" xr:uid="{00000000-0005-0000-0000-0000DA350000}"/>
    <cellStyle name="Normal 15 11 2 6 3" xfId="32527" xr:uid="{00000000-0005-0000-0000-0000DB350000}"/>
    <cellStyle name="Normal 15 11 2 6 4" xfId="22958" xr:uid="{00000000-0005-0000-0000-0000DC350000}"/>
    <cellStyle name="Normal 15 11 2 7" xfId="3376" xr:uid="{00000000-0005-0000-0000-0000DD350000}"/>
    <cellStyle name="Normal 15 11 2 7 2" xfId="51217" xr:uid="{00000000-0005-0000-0000-0000DE350000}"/>
    <cellStyle name="Normal 15 11 2 7 3" xfId="35117" xr:uid="{00000000-0005-0000-0000-0000DF350000}"/>
    <cellStyle name="Normal 15 11 2 7 4" xfId="15981" xr:uid="{00000000-0005-0000-0000-0000E0350000}"/>
    <cellStyle name="Normal 15 11 2 8" xfId="41650" xr:uid="{00000000-0005-0000-0000-0000E1350000}"/>
    <cellStyle name="Normal 15 11 2 9" xfId="25550" xr:uid="{00000000-0005-0000-0000-0000E2350000}"/>
    <cellStyle name="Normal 15 11 3" xfId="641" xr:uid="{00000000-0005-0000-0000-0000E3350000}"/>
    <cellStyle name="Normal 15 11 3 2" xfId="2669" xr:uid="{00000000-0005-0000-0000-0000E4350000}"/>
    <cellStyle name="Normal 15 11 3 2 2" xfId="9201" xr:uid="{00000000-0005-0000-0000-0000E5350000}"/>
    <cellStyle name="Normal 15 11 3 2 2 2" xfId="40942" xr:uid="{00000000-0005-0000-0000-0000E6350000}"/>
    <cellStyle name="Normal 15 11 3 2 2 2 2" xfId="57042" xr:uid="{00000000-0005-0000-0000-0000E7350000}"/>
    <cellStyle name="Normal 15 11 3 2 2 3" xfId="47475" xr:uid="{00000000-0005-0000-0000-0000E8350000}"/>
    <cellStyle name="Normal 15 11 3 2 2 4" xfId="31375" xr:uid="{00000000-0005-0000-0000-0000E9350000}"/>
    <cellStyle name="Normal 15 11 3 2 2 5" xfId="21806" xr:uid="{00000000-0005-0000-0000-0000EA350000}"/>
    <cellStyle name="Normal 15 11 3 2 3" xfId="12237" xr:uid="{00000000-0005-0000-0000-0000EB350000}"/>
    <cellStyle name="Normal 15 11 3 2 3 2" xfId="50511" xr:uid="{00000000-0005-0000-0000-0000EC350000}"/>
    <cellStyle name="Normal 15 11 3 2 3 3" xfId="34411" xr:uid="{00000000-0005-0000-0000-0000ED350000}"/>
    <cellStyle name="Normal 15 11 3 2 3 4" xfId="24842" xr:uid="{00000000-0005-0000-0000-0000EE350000}"/>
    <cellStyle name="Normal 15 11 3 2 4" xfId="6165" xr:uid="{00000000-0005-0000-0000-0000EF350000}"/>
    <cellStyle name="Normal 15 11 3 2 4 2" xfId="54006" xr:uid="{00000000-0005-0000-0000-0000F0350000}"/>
    <cellStyle name="Normal 15 11 3 2 4 3" xfId="37906" xr:uid="{00000000-0005-0000-0000-0000F1350000}"/>
    <cellStyle name="Normal 15 11 3 2 4 4" xfId="18770" xr:uid="{00000000-0005-0000-0000-0000F2350000}"/>
    <cellStyle name="Normal 15 11 3 2 5" xfId="44439" xr:uid="{00000000-0005-0000-0000-0000F3350000}"/>
    <cellStyle name="Normal 15 11 3 2 6" xfId="28339" xr:uid="{00000000-0005-0000-0000-0000F4350000}"/>
    <cellStyle name="Normal 15 11 3 2 7" xfId="15275" xr:uid="{00000000-0005-0000-0000-0000F5350000}"/>
    <cellStyle name="Normal 15 11 3 3" xfId="1651" xr:uid="{00000000-0005-0000-0000-0000F6350000}"/>
    <cellStyle name="Normal 15 11 3 3 2" xfId="8185" xr:uid="{00000000-0005-0000-0000-0000F7350000}"/>
    <cellStyle name="Normal 15 11 3 3 2 2" xfId="39926" xr:uid="{00000000-0005-0000-0000-0000F8350000}"/>
    <cellStyle name="Normal 15 11 3 3 2 2 2" xfId="56026" xr:uid="{00000000-0005-0000-0000-0000F9350000}"/>
    <cellStyle name="Normal 15 11 3 3 2 3" xfId="46459" xr:uid="{00000000-0005-0000-0000-0000FA350000}"/>
    <cellStyle name="Normal 15 11 3 3 2 4" xfId="30359" xr:uid="{00000000-0005-0000-0000-0000FB350000}"/>
    <cellStyle name="Normal 15 11 3 3 2 5" xfId="20790" xr:uid="{00000000-0005-0000-0000-0000FC350000}"/>
    <cellStyle name="Normal 15 11 3 3 3" xfId="11221" xr:uid="{00000000-0005-0000-0000-0000FD350000}"/>
    <cellStyle name="Normal 15 11 3 3 3 2" xfId="49495" xr:uid="{00000000-0005-0000-0000-0000FE350000}"/>
    <cellStyle name="Normal 15 11 3 3 3 3" xfId="33395" xr:uid="{00000000-0005-0000-0000-0000FF350000}"/>
    <cellStyle name="Normal 15 11 3 3 3 4" xfId="23826" xr:uid="{00000000-0005-0000-0000-000000360000}"/>
    <cellStyle name="Normal 15 11 3 3 4" xfId="5149" xr:uid="{00000000-0005-0000-0000-000001360000}"/>
    <cellStyle name="Normal 15 11 3 3 4 2" xfId="52990" xr:uid="{00000000-0005-0000-0000-000002360000}"/>
    <cellStyle name="Normal 15 11 3 3 4 3" xfId="36890" xr:uid="{00000000-0005-0000-0000-000003360000}"/>
    <cellStyle name="Normal 15 11 3 3 4 4" xfId="17754" xr:uid="{00000000-0005-0000-0000-000004360000}"/>
    <cellStyle name="Normal 15 11 3 3 5" xfId="43423" xr:uid="{00000000-0005-0000-0000-000005360000}"/>
    <cellStyle name="Normal 15 11 3 3 6" xfId="27323" xr:uid="{00000000-0005-0000-0000-000006360000}"/>
    <cellStyle name="Normal 15 11 3 3 7" xfId="14259" xr:uid="{00000000-0005-0000-0000-000007360000}"/>
    <cellStyle name="Normal 15 11 3 4" xfId="7175" xr:uid="{00000000-0005-0000-0000-000008360000}"/>
    <cellStyle name="Normal 15 11 3 4 2" xfId="38916" xr:uid="{00000000-0005-0000-0000-000009360000}"/>
    <cellStyle name="Normal 15 11 3 4 2 2" xfId="55016" xr:uid="{00000000-0005-0000-0000-00000A360000}"/>
    <cellStyle name="Normal 15 11 3 4 3" xfId="45449" xr:uid="{00000000-0005-0000-0000-00000B360000}"/>
    <cellStyle name="Normal 15 11 3 4 4" xfId="29349" xr:uid="{00000000-0005-0000-0000-00000C360000}"/>
    <cellStyle name="Normal 15 11 3 4 5" xfId="19780" xr:uid="{00000000-0005-0000-0000-00000D360000}"/>
    <cellStyle name="Normal 15 11 3 5" xfId="10211" xr:uid="{00000000-0005-0000-0000-00000E360000}"/>
    <cellStyle name="Normal 15 11 3 5 2" xfId="48485" xr:uid="{00000000-0005-0000-0000-00000F360000}"/>
    <cellStyle name="Normal 15 11 3 5 3" xfId="32385" xr:uid="{00000000-0005-0000-0000-000010360000}"/>
    <cellStyle name="Normal 15 11 3 5 4" xfId="22816" xr:uid="{00000000-0005-0000-0000-000011360000}"/>
    <cellStyle name="Normal 15 11 3 6" xfId="4139" xr:uid="{00000000-0005-0000-0000-000012360000}"/>
    <cellStyle name="Normal 15 11 3 6 2" xfId="51980" xr:uid="{00000000-0005-0000-0000-000013360000}"/>
    <cellStyle name="Normal 15 11 3 6 3" xfId="35880" xr:uid="{00000000-0005-0000-0000-000014360000}"/>
    <cellStyle name="Normal 15 11 3 6 4" xfId="16744" xr:uid="{00000000-0005-0000-0000-000015360000}"/>
    <cellStyle name="Normal 15 11 3 7" xfId="42413" xr:uid="{00000000-0005-0000-0000-000016360000}"/>
    <cellStyle name="Normal 15 11 3 8" xfId="26313" xr:uid="{00000000-0005-0000-0000-000017360000}"/>
    <cellStyle name="Normal 15 11 3 9" xfId="13249" xr:uid="{00000000-0005-0000-0000-000018360000}"/>
    <cellStyle name="Normal 15 11 4" xfId="2441" xr:uid="{00000000-0005-0000-0000-000019360000}"/>
    <cellStyle name="Normal 15 11 4 2" xfId="8973" xr:uid="{00000000-0005-0000-0000-00001A360000}"/>
    <cellStyle name="Normal 15 11 4 2 2" xfId="40714" xr:uid="{00000000-0005-0000-0000-00001B360000}"/>
    <cellStyle name="Normal 15 11 4 2 2 2" xfId="56814" xr:uid="{00000000-0005-0000-0000-00001C360000}"/>
    <cellStyle name="Normal 15 11 4 2 3" xfId="47247" xr:uid="{00000000-0005-0000-0000-00001D360000}"/>
    <cellStyle name="Normal 15 11 4 2 4" xfId="31147" xr:uid="{00000000-0005-0000-0000-00001E360000}"/>
    <cellStyle name="Normal 15 11 4 2 5" xfId="21578" xr:uid="{00000000-0005-0000-0000-00001F360000}"/>
    <cellStyle name="Normal 15 11 4 3" xfId="12009" xr:uid="{00000000-0005-0000-0000-000020360000}"/>
    <cellStyle name="Normal 15 11 4 3 2" xfId="50283" xr:uid="{00000000-0005-0000-0000-000021360000}"/>
    <cellStyle name="Normal 15 11 4 3 3" xfId="34183" xr:uid="{00000000-0005-0000-0000-000022360000}"/>
    <cellStyle name="Normal 15 11 4 3 4" xfId="24614" xr:uid="{00000000-0005-0000-0000-000023360000}"/>
    <cellStyle name="Normal 15 11 4 4" xfId="5937" xr:uid="{00000000-0005-0000-0000-000024360000}"/>
    <cellStyle name="Normal 15 11 4 4 2" xfId="53778" xr:uid="{00000000-0005-0000-0000-000025360000}"/>
    <cellStyle name="Normal 15 11 4 4 3" xfId="37678" xr:uid="{00000000-0005-0000-0000-000026360000}"/>
    <cellStyle name="Normal 15 11 4 4 4" xfId="18542" xr:uid="{00000000-0005-0000-0000-000027360000}"/>
    <cellStyle name="Normal 15 11 4 5" xfId="44211" xr:uid="{00000000-0005-0000-0000-000028360000}"/>
    <cellStyle name="Normal 15 11 4 6" xfId="28111" xr:uid="{00000000-0005-0000-0000-000029360000}"/>
    <cellStyle name="Normal 15 11 4 7" xfId="15047" xr:uid="{00000000-0005-0000-0000-00002A360000}"/>
    <cellStyle name="Normal 15 11 5" xfId="1110" xr:uid="{00000000-0005-0000-0000-00002B360000}"/>
    <cellStyle name="Normal 15 11 5 2" xfId="7644" xr:uid="{00000000-0005-0000-0000-00002C360000}"/>
    <cellStyle name="Normal 15 11 5 2 2" xfId="39385" xr:uid="{00000000-0005-0000-0000-00002D360000}"/>
    <cellStyle name="Normal 15 11 5 2 2 2" xfId="55485" xr:uid="{00000000-0005-0000-0000-00002E360000}"/>
    <cellStyle name="Normal 15 11 5 2 3" xfId="45918" xr:uid="{00000000-0005-0000-0000-00002F360000}"/>
    <cellStyle name="Normal 15 11 5 2 4" xfId="29818" xr:uid="{00000000-0005-0000-0000-000030360000}"/>
    <cellStyle name="Normal 15 11 5 2 5" xfId="20249" xr:uid="{00000000-0005-0000-0000-000031360000}"/>
    <cellStyle name="Normal 15 11 5 3" xfId="10680" xr:uid="{00000000-0005-0000-0000-000032360000}"/>
    <cellStyle name="Normal 15 11 5 3 2" xfId="48954" xr:uid="{00000000-0005-0000-0000-000033360000}"/>
    <cellStyle name="Normal 15 11 5 3 3" xfId="32854" xr:uid="{00000000-0005-0000-0000-000034360000}"/>
    <cellStyle name="Normal 15 11 5 3 4" xfId="23285" xr:uid="{00000000-0005-0000-0000-000035360000}"/>
    <cellStyle name="Normal 15 11 5 4" xfId="4608" xr:uid="{00000000-0005-0000-0000-000036360000}"/>
    <cellStyle name="Normal 15 11 5 4 2" xfId="52449" xr:uid="{00000000-0005-0000-0000-000037360000}"/>
    <cellStyle name="Normal 15 11 5 4 3" xfId="36349" xr:uid="{00000000-0005-0000-0000-000038360000}"/>
    <cellStyle name="Normal 15 11 5 4 4" xfId="17213" xr:uid="{00000000-0005-0000-0000-000039360000}"/>
    <cellStyle name="Normal 15 11 5 5" xfId="42882" xr:uid="{00000000-0005-0000-0000-00003A360000}"/>
    <cellStyle name="Normal 15 11 5 6" xfId="26782" xr:uid="{00000000-0005-0000-0000-00003B360000}"/>
    <cellStyle name="Normal 15 11 5 7" xfId="13718" xr:uid="{00000000-0005-0000-0000-00003C360000}"/>
    <cellStyle name="Normal 15 11 6" xfId="3598" xr:uid="{00000000-0005-0000-0000-00003D360000}"/>
    <cellStyle name="Normal 15 11 6 2" xfId="35339" xr:uid="{00000000-0005-0000-0000-00003E360000}"/>
    <cellStyle name="Normal 15 11 6 2 2" xfId="51439" xr:uid="{00000000-0005-0000-0000-00003F360000}"/>
    <cellStyle name="Normal 15 11 6 3" xfId="41872" xr:uid="{00000000-0005-0000-0000-000040360000}"/>
    <cellStyle name="Normal 15 11 6 4" xfId="25772" xr:uid="{00000000-0005-0000-0000-000041360000}"/>
    <cellStyle name="Normal 15 11 6 5" xfId="16203" xr:uid="{00000000-0005-0000-0000-000042360000}"/>
    <cellStyle name="Normal 15 11 7" xfId="6634" xr:uid="{00000000-0005-0000-0000-000043360000}"/>
    <cellStyle name="Normal 15 11 7 2" xfId="38375" xr:uid="{00000000-0005-0000-0000-000044360000}"/>
    <cellStyle name="Normal 15 11 7 2 2" xfId="54475" xr:uid="{00000000-0005-0000-0000-000045360000}"/>
    <cellStyle name="Normal 15 11 7 3" xfId="44908" xr:uid="{00000000-0005-0000-0000-000046360000}"/>
    <cellStyle name="Normal 15 11 7 4" xfId="28808" xr:uid="{00000000-0005-0000-0000-000047360000}"/>
    <cellStyle name="Normal 15 11 7 5" xfId="19239" xr:uid="{00000000-0005-0000-0000-000048360000}"/>
    <cellStyle name="Normal 15 11 8" xfId="9670" xr:uid="{00000000-0005-0000-0000-000049360000}"/>
    <cellStyle name="Normal 15 11 8 2" xfId="47944" xr:uid="{00000000-0005-0000-0000-00004A360000}"/>
    <cellStyle name="Normal 15 11 8 3" xfId="31844" xr:uid="{00000000-0005-0000-0000-00004B360000}"/>
    <cellStyle name="Normal 15 11 8 4" xfId="22275" xr:uid="{00000000-0005-0000-0000-00004C360000}"/>
    <cellStyle name="Normal 15 11 9" xfId="3138" xr:uid="{00000000-0005-0000-0000-00004D360000}"/>
    <cellStyle name="Normal 15 11 9 2" xfId="50980" xr:uid="{00000000-0005-0000-0000-00004E360000}"/>
    <cellStyle name="Normal 15 11 9 3" xfId="34880" xr:uid="{00000000-0005-0000-0000-00004F360000}"/>
    <cellStyle name="Normal 15 11 9 4" xfId="15744" xr:uid="{00000000-0005-0000-0000-000050360000}"/>
    <cellStyle name="Normal 15 12" xfId="406" xr:uid="{00000000-0005-0000-0000-000051360000}"/>
    <cellStyle name="Normal 15 12 10" xfId="41396" xr:uid="{00000000-0005-0000-0000-000052360000}"/>
    <cellStyle name="Normal 15 12 11" xfId="25296" xr:uid="{00000000-0005-0000-0000-000053360000}"/>
    <cellStyle name="Normal 15 12 12" xfId="12691" xr:uid="{00000000-0005-0000-0000-000054360000}"/>
    <cellStyle name="Normal 15 12 2" xfId="766" xr:uid="{00000000-0005-0000-0000-000055360000}"/>
    <cellStyle name="Normal 15 12 2 10" xfId="13374" xr:uid="{00000000-0005-0000-0000-000056360000}"/>
    <cellStyle name="Normal 15 12 2 2" xfId="2794" xr:uid="{00000000-0005-0000-0000-000057360000}"/>
    <cellStyle name="Normal 15 12 2 2 2" xfId="9326" xr:uid="{00000000-0005-0000-0000-000058360000}"/>
    <cellStyle name="Normal 15 12 2 2 2 2" xfId="41067" xr:uid="{00000000-0005-0000-0000-000059360000}"/>
    <cellStyle name="Normal 15 12 2 2 2 2 2" xfId="57167" xr:uid="{00000000-0005-0000-0000-00005A360000}"/>
    <cellStyle name="Normal 15 12 2 2 2 3" xfId="47600" xr:uid="{00000000-0005-0000-0000-00005B360000}"/>
    <cellStyle name="Normal 15 12 2 2 2 4" xfId="31500" xr:uid="{00000000-0005-0000-0000-00005C360000}"/>
    <cellStyle name="Normal 15 12 2 2 2 5" xfId="21931" xr:uid="{00000000-0005-0000-0000-00005D360000}"/>
    <cellStyle name="Normal 15 12 2 2 3" xfId="12362" xr:uid="{00000000-0005-0000-0000-00005E360000}"/>
    <cellStyle name="Normal 15 12 2 2 3 2" xfId="50636" xr:uid="{00000000-0005-0000-0000-00005F360000}"/>
    <cellStyle name="Normal 15 12 2 2 3 3" xfId="34536" xr:uid="{00000000-0005-0000-0000-000060360000}"/>
    <cellStyle name="Normal 15 12 2 2 3 4" xfId="24967" xr:uid="{00000000-0005-0000-0000-000061360000}"/>
    <cellStyle name="Normal 15 12 2 2 4" xfId="6290" xr:uid="{00000000-0005-0000-0000-000062360000}"/>
    <cellStyle name="Normal 15 12 2 2 4 2" xfId="54131" xr:uid="{00000000-0005-0000-0000-000063360000}"/>
    <cellStyle name="Normal 15 12 2 2 4 3" xfId="38031" xr:uid="{00000000-0005-0000-0000-000064360000}"/>
    <cellStyle name="Normal 15 12 2 2 4 4" xfId="18895" xr:uid="{00000000-0005-0000-0000-000065360000}"/>
    <cellStyle name="Normal 15 12 2 2 5" xfId="44564" xr:uid="{00000000-0005-0000-0000-000066360000}"/>
    <cellStyle name="Normal 15 12 2 2 6" xfId="28464" xr:uid="{00000000-0005-0000-0000-000067360000}"/>
    <cellStyle name="Normal 15 12 2 2 7" xfId="15400" xr:uid="{00000000-0005-0000-0000-000068360000}"/>
    <cellStyle name="Normal 15 12 2 3" xfId="1776" xr:uid="{00000000-0005-0000-0000-000069360000}"/>
    <cellStyle name="Normal 15 12 2 3 2" xfId="8310" xr:uid="{00000000-0005-0000-0000-00006A360000}"/>
    <cellStyle name="Normal 15 12 2 3 2 2" xfId="40051" xr:uid="{00000000-0005-0000-0000-00006B360000}"/>
    <cellStyle name="Normal 15 12 2 3 2 2 2" xfId="56151" xr:uid="{00000000-0005-0000-0000-00006C360000}"/>
    <cellStyle name="Normal 15 12 2 3 2 3" xfId="46584" xr:uid="{00000000-0005-0000-0000-00006D360000}"/>
    <cellStyle name="Normal 15 12 2 3 2 4" xfId="30484" xr:uid="{00000000-0005-0000-0000-00006E360000}"/>
    <cellStyle name="Normal 15 12 2 3 2 5" xfId="20915" xr:uid="{00000000-0005-0000-0000-00006F360000}"/>
    <cellStyle name="Normal 15 12 2 3 3" xfId="11346" xr:uid="{00000000-0005-0000-0000-000070360000}"/>
    <cellStyle name="Normal 15 12 2 3 3 2" xfId="49620" xr:uid="{00000000-0005-0000-0000-000071360000}"/>
    <cellStyle name="Normal 15 12 2 3 3 3" xfId="33520" xr:uid="{00000000-0005-0000-0000-000072360000}"/>
    <cellStyle name="Normal 15 12 2 3 3 4" xfId="23951" xr:uid="{00000000-0005-0000-0000-000073360000}"/>
    <cellStyle name="Normal 15 12 2 3 4" xfId="5274" xr:uid="{00000000-0005-0000-0000-000074360000}"/>
    <cellStyle name="Normal 15 12 2 3 4 2" xfId="53115" xr:uid="{00000000-0005-0000-0000-000075360000}"/>
    <cellStyle name="Normal 15 12 2 3 4 3" xfId="37015" xr:uid="{00000000-0005-0000-0000-000076360000}"/>
    <cellStyle name="Normal 15 12 2 3 4 4" xfId="17879" xr:uid="{00000000-0005-0000-0000-000077360000}"/>
    <cellStyle name="Normal 15 12 2 3 5" xfId="43548" xr:uid="{00000000-0005-0000-0000-000078360000}"/>
    <cellStyle name="Normal 15 12 2 3 6" xfId="27448" xr:uid="{00000000-0005-0000-0000-000079360000}"/>
    <cellStyle name="Normal 15 12 2 3 7" xfId="14384" xr:uid="{00000000-0005-0000-0000-00007A360000}"/>
    <cellStyle name="Normal 15 12 2 4" xfId="4264" xr:uid="{00000000-0005-0000-0000-00007B360000}"/>
    <cellStyle name="Normal 15 12 2 4 2" xfId="36005" xr:uid="{00000000-0005-0000-0000-00007C360000}"/>
    <cellStyle name="Normal 15 12 2 4 2 2" xfId="52105" xr:uid="{00000000-0005-0000-0000-00007D360000}"/>
    <cellStyle name="Normal 15 12 2 4 3" xfId="42538" xr:uid="{00000000-0005-0000-0000-00007E360000}"/>
    <cellStyle name="Normal 15 12 2 4 4" xfId="26438" xr:uid="{00000000-0005-0000-0000-00007F360000}"/>
    <cellStyle name="Normal 15 12 2 4 5" xfId="16869" xr:uid="{00000000-0005-0000-0000-000080360000}"/>
    <cellStyle name="Normal 15 12 2 5" xfId="7300" xr:uid="{00000000-0005-0000-0000-000081360000}"/>
    <cellStyle name="Normal 15 12 2 5 2" xfId="39041" xr:uid="{00000000-0005-0000-0000-000082360000}"/>
    <cellStyle name="Normal 15 12 2 5 2 2" xfId="55141" xr:uid="{00000000-0005-0000-0000-000083360000}"/>
    <cellStyle name="Normal 15 12 2 5 3" xfId="45574" xr:uid="{00000000-0005-0000-0000-000084360000}"/>
    <cellStyle name="Normal 15 12 2 5 4" xfId="29474" xr:uid="{00000000-0005-0000-0000-000085360000}"/>
    <cellStyle name="Normal 15 12 2 5 5" xfId="19905" xr:uid="{00000000-0005-0000-0000-000086360000}"/>
    <cellStyle name="Normal 15 12 2 6" xfId="10336" xr:uid="{00000000-0005-0000-0000-000087360000}"/>
    <cellStyle name="Normal 15 12 2 6 2" xfId="48610" xr:uid="{00000000-0005-0000-0000-000088360000}"/>
    <cellStyle name="Normal 15 12 2 6 3" xfId="32510" xr:uid="{00000000-0005-0000-0000-000089360000}"/>
    <cellStyle name="Normal 15 12 2 6 4" xfId="22941" xr:uid="{00000000-0005-0000-0000-00008A360000}"/>
    <cellStyle name="Normal 15 12 2 7" xfId="3359" xr:uid="{00000000-0005-0000-0000-00008B360000}"/>
    <cellStyle name="Normal 15 12 2 7 2" xfId="51200" xr:uid="{00000000-0005-0000-0000-00008C360000}"/>
    <cellStyle name="Normal 15 12 2 7 3" xfId="35100" xr:uid="{00000000-0005-0000-0000-00008D360000}"/>
    <cellStyle name="Normal 15 12 2 7 4" xfId="15964" xr:uid="{00000000-0005-0000-0000-00008E360000}"/>
    <cellStyle name="Normal 15 12 2 8" xfId="41633" xr:uid="{00000000-0005-0000-0000-00008F360000}"/>
    <cellStyle name="Normal 15 12 2 9" xfId="25533" xr:uid="{00000000-0005-0000-0000-000090360000}"/>
    <cellStyle name="Normal 15 12 3" xfId="624" xr:uid="{00000000-0005-0000-0000-000091360000}"/>
    <cellStyle name="Normal 15 12 3 2" xfId="2652" xr:uid="{00000000-0005-0000-0000-000092360000}"/>
    <cellStyle name="Normal 15 12 3 2 2" xfId="9184" xr:uid="{00000000-0005-0000-0000-000093360000}"/>
    <cellStyle name="Normal 15 12 3 2 2 2" xfId="40925" xr:uid="{00000000-0005-0000-0000-000094360000}"/>
    <cellStyle name="Normal 15 12 3 2 2 2 2" xfId="57025" xr:uid="{00000000-0005-0000-0000-000095360000}"/>
    <cellStyle name="Normal 15 12 3 2 2 3" xfId="47458" xr:uid="{00000000-0005-0000-0000-000096360000}"/>
    <cellStyle name="Normal 15 12 3 2 2 4" xfId="31358" xr:uid="{00000000-0005-0000-0000-000097360000}"/>
    <cellStyle name="Normal 15 12 3 2 2 5" xfId="21789" xr:uid="{00000000-0005-0000-0000-000098360000}"/>
    <cellStyle name="Normal 15 12 3 2 3" xfId="12220" xr:uid="{00000000-0005-0000-0000-000099360000}"/>
    <cellStyle name="Normal 15 12 3 2 3 2" xfId="50494" xr:uid="{00000000-0005-0000-0000-00009A360000}"/>
    <cellStyle name="Normal 15 12 3 2 3 3" xfId="34394" xr:uid="{00000000-0005-0000-0000-00009B360000}"/>
    <cellStyle name="Normal 15 12 3 2 3 4" xfId="24825" xr:uid="{00000000-0005-0000-0000-00009C360000}"/>
    <cellStyle name="Normal 15 12 3 2 4" xfId="6148" xr:uid="{00000000-0005-0000-0000-00009D360000}"/>
    <cellStyle name="Normal 15 12 3 2 4 2" xfId="53989" xr:uid="{00000000-0005-0000-0000-00009E360000}"/>
    <cellStyle name="Normal 15 12 3 2 4 3" xfId="37889" xr:uid="{00000000-0005-0000-0000-00009F360000}"/>
    <cellStyle name="Normal 15 12 3 2 4 4" xfId="18753" xr:uid="{00000000-0005-0000-0000-0000A0360000}"/>
    <cellStyle name="Normal 15 12 3 2 5" xfId="44422" xr:uid="{00000000-0005-0000-0000-0000A1360000}"/>
    <cellStyle name="Normal 15 12 3 2 6" xfId="28322" xr:uid="{00000000-0005-0000-0000-0000A2360000}"/>
    <cellStyle name="Normal 15 12 3 2 7" xfId="15258" xr:uid="{00000000-0005-0000-0000-0000A3360000}"/>
    <cellStyle name="Normal 15 12 3 3" xfId="1634" xr:uid="{00000000-0005-0000-0000-0000A4360000}"/>
    <cellStyle name="Normal 15 12 3 3 2" xfId="8168" xr:uid="{00000000-0005-0000-0000-0000A5360000}"/>
    <cellStyle name="Normal 15 12 3 3 2 2" xfId="39909" xr:uid="{00000000-0005-0000-0000-0000A6360000}"/>
    <cellStyle name="Normal 15 12 3 3 2 2 2" xfId="56009" xr:uid="{00000000-0005-0000-0000-0000A7360000}"/>
    <cellStyle name="Normal 15 12 3 3 2 3" xfId="46442" xr:uid="{00000000-0005-0000-0000-0000A8360000}"/>
    <cellStyle name="Normal 15 12 3 3 2 4" xfId="30342" xr:uid="{00000000-0005-0000-0000-0000A9360000}"/>
    <cellStyle name="Normal 15 12 3 3 2 5" xfId="20773" xr:uid="{00000000-0005-0000-0000-0000AA360000}"/>
    <cellStyle name="Normal 15 12 3 3 3" xfId="11204" xr:uid="{00000000-0005-0000-0000-0000AB360000}"/>
    <cellStyle name="Normal 15 12 3 3 3 2" xfId="49478" xr:uid="{00000000-0005-0000-0000-0000AC360000}"/>
    <cellStyle name="Normal 15 12 3 3 3 3" xfId="33378" xr:uid="{00000000-0005-0000-0000-0000AD360000}"/>
    <cellStyle name="Normal 15 12 3 3 3 4" xfId="23809" xr:uid="{00000000-0005-0000-0000-0000AE360000}"/>
    <cellStyle name="Normal 15 12 3 3 4" xfId="5132" xr:uid="{00000000-0005-0000-0000-0000AF360000}"/>
    <cellStyle name="Normal 15 12 3 3 4 2" xfId="52973" xr:uid="{00000000-0005-0000-0000-0000B0360000}"/>
    <cellStyle name="Normal 15 12 3 3 4 3" xfId="36873" xr:uid="{00000000-0005-0000-0000-0000B1360000}"/>
    <cellStyle name="Normal 15 12 3 3 4 4" xfId="17737" xr:uid="{00000000-0005-0000-0000-0000B2360000}"/>
    <cellStyle name="Normal 15 12 3 3 5" xfId="43406" xr:uid="{00000000-0005-0000-0000-0000B3360000}"/>
    <cellStyle name="Normal 15 12 3 3 6" xfId="27306" xr:uid="{00000000-0005-0000-0000-0000B4360000}"/>
    <cellStyle name="Normal 15 12 3 3 7" xfId="14242" xr:uid="{00000000-0005-0000-0000-0000B5360000}"/>
    <cellStyle name="Normal 15 12 3 4" xfId="7158" xr:uid="{00000000-0005-0000-0000-0000B6360000}"/>
    <cellStyle name="Normal 15 12 3 4 2" xfId="38899" xr:uid="{00000000-0005-0000-0000-0000B7360000}"/>
    <cellStyle name="Normal 15 12 3 4 2 2" xfId="54999" xr:uid="{00000000-0005-0000-0000-0000B8360000}"/>
    <cellStyle name="Normal 15 12 3 4 3" xfId="45432" xr:uid="{00000000-0005-0000-0000-0000B9360000}"/>
    <cellStyle name="Normal 15 12 3 4 4" xfId="29332" xr:uid="{00000000-0005-0000-0000-0000BA360000}"/>
    <cellStyle name="Normal 15 12 3 4 5" xfId="19763" xr:uid="{00000000-0005-0000-0000-0000BB360000}"/>
    <cellStyle name="Normal 15 12 3 5" xfId="10194" xr:uid="{00000000-0005-0000-0000-0000BC360000}"/>
    <cellStyle name="Normal 15 12 3 5 2" xfId="48468" xr:uid="{00000000-0005-0000-0000-0000BD360000}"/>
    <cellStyle name="Normal 15 12 3 5 3" xfId="32368" xr:uid="{00000000-0005-0000-0000-0000BE360000}"/>
    <cellStyle name="Normal 15 12 3 5 4" xfId="22799" xr:uid="{00000000-0005-0000-0000-0000BF360000}"/>
    <cellStyle name="Normal 15 12 3 6" xfId="4122" xr:uid="{00000000-0005-0000-0000-0000C0360000}"/>
    <cellStyle name="Normal 15 12 3 6 2" xfId="51963" xr:uid="{00000000-0005-0000-0000-0000C1360000}"/>
    <cellStyle name="Normal 15 12 3 6 3" xfId="35863" xr:uid="{00000000-0005-0000-0000-0000C2360000}"/>
    <cellStyle name="Normal 15 12 3 6 4" xfId="16727" xr:uid="{00000000-0005-0000-0000-0000C3360000}"/>
    <cellStyle name="Normal 15 12 3 7" xfId="42396" xr:uid="{00000000-0005-0000-0000-0000C4360000}"/>
    <cellStyle name="Normal 15 12 3 8" xfId="26296" xr:uid="{00000000-0005-0000-0000-0000C5360000}"/>
    <cellStyle name="Normal 15 12 3 9" xfId="13232" xr:uid="{00000000-0005-0000-0000-0000C6360000}"/>
    <cellStyle name="Normal 15 12 4" xfId="2424" xr:uid="{00000000-0005-0000-0000-0000C7360000}"/>
    <cellStyle name="Normal 15 12 4 2" xfId="8956" xr:uid="{00000000-0005-0000-0000-0000C8360000}"/>
    <cellStyle name="Normal 15 12 4 2 2" xfId="40697" xr:uid="{00000000-0005-0000-0000-0000C9360000}"/>
    <cellStyle name="Normal 15 12 4 2 2 2" xfId="56797" xr:uid="{00000000-0005-0000-0000-0000CA360000}"/>
    <cellStyle name="Normal 15 12 4 2 3" xfId="47230" xr:uid="{00000000-0005-0000-0000-0000CB360000}"/>
    <cellStyle name="Normal 15 12 4 2 4" xfId="31130" xr:uid="{00000000-0005-0000-0000-0000CC360000}"/>
    <cellStyle name="Normal 15 12 4 2 5" xfId="21561" xr:uid="{00000000-0005-0000-0000-0000CD360000}"/>
    <cellStyle name="Normal 15 12 4 3" xfId="11992" xr:uid="{00000000-0005-0000-0000-0000CE360000}"/>
    <cellStyle name="Normal 15 12 4 3 2" xfId="50266" xr:uid="{00000000-0005-0000-0000-0000CF360000}"/>
    <cellStyle name="Normal 15 12 4 3 3" xfId="34166" xr:uid="{00000000-0005-0000-0000-0000D0360000}"/>
    <cellStyle name="Normal 15 12 4 3 4" xfId="24597" xr:uid="{00000000-0005-0000-0000-0000D1360000}"/>
    <cellStyle name="Normal 15 12 4 4" xfId="5920" xr:uid="{00000000-0005-0000-0000-0000D2360000}"/>
    <cellStyle name="Normal 15 12 4 4 2" xfId="53761" xr:uid="{00000000-0005-0000-0000-0000D3360000}"/>
    <cellStyle name="Normal 15 12 4 4 3" xfId="37661" xr:uid="{00000000-0005-0000-0000-0000D4360000}"/>
    <cellStyle name="Normal 15 12 4 4 4" xfId="18525" xr:uid="{00000000-0005-0000-0000-0000D5360000}"/>
    <cellStyle name="Normal 15 12 4 5" xfId="44194" xr:uid="{00000000-0005-0000-0000-0000D6360000}"/>
    <cellStyle name="Normal 15 12 4 6" xfId="28094" xr:uid="{00000000-0005-0000-0000-0000D7360000}"/>
    <cellStyle name="Normal 15 12 4 7" xfId="15030" xr:uid="{00000000-0005-0000-0000-0000D8360000}"/>
    <cellStyle name="Normal 15 12 5" xfId="1093" xr:uid="{00000000-0005-0000-0000-0000D9360000}"/>
    <cellStyle name="Normal 15 12 5 2" xfId="7627" xr:uid="{00000000-0005-0000-0000-0000DA360000}"/>
    <cellStyle name="Normal 15 12 5 2 2" xfId="39368" xr:uid="{00000000-0005-0000-0000-0000DB360000}"/>
    <cellStyle name="Normal 15 12 5 2 2 2" xfId="55468" xr:uid="{00000000-0005-0000-0000-0000DC360000}"/>
    <cellStyle name="Normal 15 12 5 2 3" xfId="45901" xr:uid="{00000000-0005-0000-0000-0000DD360000}"/>
    <cellStyle name="Normal 15 12 5 2 4" xfId="29801" xr:uid="{00000000-0005-0000-0000-0000DE360000}"/>
    <cellStyle name="Normal 15 12 5 2 5" xfId="20232" xr:uid="{00000000-0005-0000-0000-0000DF360000}"/>
    <cellStyle name="Normal 15 12 5 3" xfId="10663" xr:uid="{00000000-0005-0000-0000-0000E0360000}"/>
    <cellStyle name="Normal 15 12 5 3 2" xfId="48937" xr:uid="{00000000-0005-0000-0000-0000E1360000}"/>
    <cellStyle name="Normal 15 12 5 3 3" xfId="32837" xr:uid="{00000000-0005-0000-0000-0000E2360000}"/>
    <cellStyle name="Normal 15 12 5 3 4" xfId="23268" xr:uid="{00000000-0005-0000-0000-0000E3360000}"/>
    <cellStyle name="Normal 15 12 5 4" xfId="4591" xr:uid="{00000000-0005-0000-0000-0000E4360000}"/>
    <cellStyle name="Normal 15 12 5 4 2" xfId="52432" xr:uid="{00000000-0005-0000-0000-0000E5360000}"/>
    <cellStyle name="Normal 15 12 5 4 3" xfId="36332" xr:uid="{00000000-0005-0000-0000-0000E6360000}"/>
    <cellStyle name="Normal 15 12 5 4 4" xfId="17196" xr:uid="{00000000-0005-0000-0000-0000E7360000}"/>
    <cellStyle name="Normal 15 12 5 5" xfId="42865" xr:uid="{00000000-0005-0000-0000-0000E8360000}"/>
    <cellStyle name="Normal 15 12 5 6" xfId="26765" xr:uid="{00000000-0005-0000-0000-0000E9360000}"/>
    <cellStyle name="Normal 15 12 5 7" xfId="13701" xr:uid="{00000000-0005-0000-0000-0000EA360000}"/>
    <cellStyle name="Normal 15 12 6" xfId="3581" xr:uid="{00000000-0005-0000-0000-0000EB360000}"/>
    <cellStyle name="Normal 15 12 6 2" xfId="35322" xr:uid="{00000000-0005-0000-0000-0000EC360000}"/>
    <cellStyle name="Normal 15 12 6 2 2" xfId="51422" xr:uid="{00000000-0005-0000-0000-0000ED360000}"/>
    <cellStyle name="Normal 15 12 6 3" xfId="41855" xr:uid="{00000000-0005-0000-0000-0000EE360000}"/>
    <cellStyle name="Normal 15 12 6 4" xfId="25755" xr:uid="{00000000-0005-0000-0000-0000EF360000}"/>
    <cellStyle name="Normal 15 12 6 5" xfId="16186" xr:uid="{00000000-0005-0000-0000-0000F0360000}"/>
    <cellStyle name="Normal 15 12 7" xfId="6617" xr:uid="{00000000-0005-0000-0000-0000F1360000}"/>
    <cellStyle name="Normal 15 12 7 2" xfId="38358" xr:uid="{00000000-0005-0000-0000-0000F2360000}"/>
    <cellStyle name="Normal 15 12 7 2 2" xfId="54458" xr:uid="{00000000-0005-0000-0000-0000F3360000}"/>
    <cellStyle name="Normal 15 12 7 3" xfId="44891" xr:uid="{00000000-0005-0000-0000-0000F4360000}"/>
    <cellStyle name="Normal 15 12 7 4" xfId="28791" xr:uid="{00000000-0005-0000-0000-0000F5360000}"/>
    <cellStyle name="Normal 15 12 7 5" xfId="19222" xr:uid="{00000000-0005-0000-0000-0000F6360000}"/>
    <cellStyle name="Normal 15 12 8" xfId="9653" xr:uid="{00000000-0005-0000-0000-0000F7360000}"/>
    <cellStyle name="Normal 15 12 8 2" xfId="47927" xr:uid="{00000000-0005-0000-0000-0000F8360000}"/>
    <cellStyle name="Normal 15 12 8 3" xfId="31827" xr:uid="{00000000-0005-0000-0000-0000F9360000}"/>
    <cellStyle name="Normal 15 12 8 4" xfId="22258" xr:uid="{00000000-0005-0000-0000-0000FA360000}"/>
    <cellStyle name="Normal 15 12 9" xfId="3121" xr:uid="{00000000-0005-0000-0000-0000FB360000}"/>
    <cellStyle name="Normal 15 12 9 2" xfId="50963" xr:uid="{00000000-0005-0000-0000-0000FC360000}"/>
    <cellStyle name="Normal 15 12 9 3" xfId="34863" xr:uid="{00000000-0005-0000-0000-0000FD360000}"/>
    <cellStyle name="Normal 15 12 9 4" xfId="15727" xr:uid="{00000000-0005-0000-0000-0000FE360000}"/>
    <cellStyle name="Normal 15 13" xfId="506" xr:uid="{00000000-0005-0000-0000-0000FF360000}"/>
    <cellStyle name="Normal 15 13 10" xfId="25489" xr:uid="{00000000-0005-0000-0000-000000370000}"/>
    <cellStyle name="Normal 15 13 11" xfId="12883" xr:uid="{00000000-0005-0000-0000-000001370000}"/>
    <cellStyle name="Normal 15 13 2" xfId="958" xr:uid="{00000000-0005-0000-0000-000002370000}"/>
    <cellStyle name="Normal 15 13 2 2" xfId="2986" xr:uid="{00000000-0005-0000-0000-000003370000}"/>
    <cellStyle name="Normal 15 13 2 2 2" xfId="9518" xr:uid="{00000000-0005-0000-0000-000004370000}"/>
    <cellStyle name="Normal 15 13 2 2 2 2" xfId="41259" xr:uid="{00000000-0005-0000-0000-000005370000}"/>
    <cellStyle name="Normal 15 13 2 2 2 2 2" xfId="57359" xr:uid="{00000000-0005-0000-0000-000006370000}"/>
    <cellStyle name="Normal 15 13 2 2 2 3" xfId="47792" xr:uid="{00000000-0005-0000-0000-000007370000}"/>
    <cellStyle name="Normal 15 13 2 2 2 4" xfId="31692" xr:uid="{00000000-0005-0000-0000-000008370000}"/>
    <cellStyle name="Normal 15 13 2 2 2 5" xfId="22123" xr:uid="{00000000-0005-0000-0000-000009370000}"/>
    <cellStyle name="Normal 15 13 2 2 3" xfId="12554" xr:uid="{00000000-0005-0000-0000-00000A370000}"/>
    <cellStyle name="Normal 15 13 2 2 3 2" xfId="50828" xr:uid="{00000000-0005-0000-0000-00000B370000}"/>
    <cellStyle name="Normal 15 13 2 2 3 3" xfId="34728" xr:uid="{00000000-0005-0000-0000-00000C370000}"/>
    <cellStyle name="Normal 15 13 2 2 3 4" xfId="25159" xr:uid="{00000000-0005-0000-0000-00000D370000}"/>
    <cellStyle name="Normal 15 13 2 2 4" xfId="6482" xr:uid="{00000000-0005-0000-0000-00000E370000}"/>
    <cellStyle name="Normal 15 13 2 2 4 2" xfId="54323" xr:uid="{00000000-0005-0000-0000-00000F370000}"/>
    <cellStyle name="Normal 15 13 2 2 4 3" xfId="38223" xr:uid="{00000000-0005-0000-0000-000010370000}"/>
    <cellStyle name="Normal 15 13 2 2 4 4" xfId="19087" xr:uid="{00000000-0005-0000-0000-000011370000}"/>
    <cellStyle name="Normal 15 13 2 2 5" xfId="44756" xr:uid="{00000000-0005-0000-0000-000012370000}"/>
    <cellStyle name="Normal 15 13 2 2 6" xfId="28656" xr:uid="{00000000-0005-0000-0000-000013370000}"/>
    <cellStyle name="Normal 15 13 2 2 7" xfId="15592" xr:uid="{00000000-0005-0000-0000-000014370000}"/>
    <cellStyle name="Normal 15 13 2 3" xfId="1968" xr:uid="{00000000-0005-0000-0000-000015370000}"/>
    <cellStyle name="Normal 15 13 2 3 2" xfId="8502" xr:uid="{00000000-0005-0000-0000-000016370000}"/>
    <cellStyle name="Normal 15 13 2 3 2 2" xfId="40243" xr:uid="{00000000-0005-0000-0000-000017370000}"/>
    <cellStyle name="Normal 15 13 2 3 2 2 2" xfId="56343" xr:uid="{00000000-0005-0000-0000-000018370000}"/>
    <cellStyle name="Normal 15 13 2 3 2 3" xfId="46776" xr:uid="{00000000-0005-0000-0000-000019370000}"/>
    <cellStyle name="Normal 15 13 2 3 2 4" xfId="30676" xr:uid="{00000000-0005-0000-0000-00001A370000}"/>
    <cellStyle name="Normal 15 13 2 3 2 5" xfId="21107" xr:uid="{00000000-0005-0000-0000-00001B370000}"/>
    <cellStyle name="Normal 15 13 2 3 3" xfId="11538" xr:uid="{00000000-0005-0000-0000-00001C370000}"/>
    <cellStyle name="Normal 15 13 2 3 3 2" xfId="49812" xr:uid="{00000000-0005-0000-0000-00001D370000}"/>
    <cellStyle name="Normal 15 13 2 3 3 3" xfId="33712" xr:uid="{00000000-0005-0000-0000-00001E370000}"/>
    <cellStyle name="Normal 15 13 2 3 3 4" xfId="24143" xr:uid="{00000000-0005-0000-0000-00001F370000}"/>
    <cellStyle name="Normal 15 13 2 3 4" xfId="5466" xr:uid="{00000000-0005-0000-0000-000020370000}"/>
    <cellStyle name="Normal 15 13 2 3 4 2" xfId="53307" xr:uid="{00000000-0005-0000-0000-000021370000}"/>
    <cellStyle name="Normal 15 13 2 3 4 3" xfId="37207" xr:uid="{00000000-0005-0000-0000-000022370000}"/>
    <cellStyle name="Normal 15 13 2 3 4 4" xfId="18071" xr:uid="{00000000-0005-0000-0000-000023370000}"/>
    <cellStyle name="Normal 15 13 2 3 5" xfId="43740" xr:uid="{00000000-0005-0000-0000-000024370000}"/>
    <cellStyle name="Normal 15 13 2 3 6" xfId="27640" xr:uid="{00000000-0005-0000-0000-000025370000}"/>
    <cellStyle name="Normal 15 13 2 3 7" xfId="14576" xr:uid="{00000000-0005-0000-0000-000026370000}"/>
    <cellStyle name="Normal 15 13 2 4" xfId="7492" xr:uid="{00000000-0005-0000-0000-000027370000}"/>
    <cellStyle name="Normal 15 13 2 4 2" xfId="39233" xr:uid="{00000000-0005-0000-0000-000028370000}"/>
    <cellStyle name="Normal 15 13 2 4 2 2" xfId="55333" xr:uid="{00000000-0005-0000-0000-000029370000}"/>
    <cellStyle name="Normal 15 13 2 4 3" xfId="45766" xr:uid="{00000000-0005-0000-0000-00002A370000}"/>
    <cellStyle name="Normal 15 13 2 4 4" xfId="29666" xr:uid="{00000000-0005-0000-0000-00002B370000}"/>
    <cellStyle name="Normal 15 13 2 4 5" xfId="20097" xr:uid="{00000000-0005-0000-0000-00002C370000}"/>
    <cellStyle name="Normal 15 13 2 5" xfId="10528" xr:uid="{00000000-0005-0000-0000-00002D370000}"/>
    <cellStyle name="Normal 15 13 2 5 2" xfId="48802" xr:uid="{00000000-0005-0000-0000-00002E370000}"/>
    <cellStyle name="Normal 15 13 2 5 3" xfId="32702" xr:uid="{00000000-0005-0000-0000-00002F370000}"/>
    <cellStyle name="Normal 15 13 2 5 4" xfId="23133" xr:uid="{00000000-0005-0000-0000-000030370000}"/>
    <cellStyle name="Normal 15 13 2 6" xfId="4456" xr:uid="{00000000-0005-0000-0000-000031370000}"/>
    <cellStyle name="Normal 15 13 2 6 2" xfId="52297" xr:uid="{00000000-0005-0000-0000-000032370000}"/>
    <cellStyle name="Normal 15 13 2 6 3" xfId="36197" xr:uid="{00000000-0005-0000-0000-000033370000}"/>
    <cellStyle name="Normal 15 13 2 6 4" xfId="17061" xr:uid="{00000000-0005-0000-0000-000034370000}"/>
    <cellStyle name="Normal 15 13 2 7" xfId="42730" xr:uid="{00000000-0005-0000-0000-000035370000}"/>
    <cellStyle name="Normal 15 13 2 8" xfId="26630" xr:uid="{00000000-0005-0000-0000-000036370000}"/>
    <cellStyle name="Normal 15 13 2 9" xfId="13566" xr:uid="{00000000-0005-0000-0000-000037370000}"/>
    <cellStyle name="Normal 15 13 3" xfId="2536" xr:uid="{00000000-0005-0000-0000-000038370000}"/>
    <cellStyle name="Normal 15 13 3 2" xfId="9068" xr:uid="{00000000-0005-0000-0000-000039370000}"/>
    <cellStyle name="Normal 15 13 3 2 2" xfId="40809" xr:uid="{00000000-0005-0000-0000-00003A370000}"/>
    <cellStyle name="Normal 15 13 3 2 2 2" xfId="56909" xr:uid="{00000000-0005-0000-0000-00003B370000}"/>
    <cellStyle name="Normal 15 13 3 2 3" xfId="47342" xr:uid="{00000000-0005-0000-0000-00003C370000}"/>
    <cellStyle name="Normal 15 13 3 2 4" xfId="31242" xr:uid="{00000000-0005-0000-0000-00003D370000}"/>
    <cellStyle name="Normal 15 13 3 2 5" xfId="21673" xr:uid="{00000000-0005-0000-0000-00003E370000}"/>
    <cellStyle name="Normal 15 13 3 3" xfId="12104" xr:uid="{00000000-0005-0000-0000-00003F370000}"/>
    <cellStyle name="Normal 15 13 3 3 2" xfId="50378" xr:uid="{00000000-0005-0000-0000-000040370000}"/>
    <cellStyle name="Normal 15 13 3 3 3" xfId="34278" xr:uid="{00000000-0005-0000-0000-000041370000}"/>
    <cellStyle name="Normal 15 13 3 3 4" xfId="24709" xr:uid="{00000000-0005-0000-0000-000042370000}"/>
    <cellStyle name="Normal 15 13 3 4" xfId="6032" xr:uid="{00000000-0005-0000-0000-000043370000}"/>
    <cellStyle name="Normal 15 13 3 4 2" xfId="53873" xr:uid="{00000000-0005-0000-0000-000044370000}"/>
    <cellStyle name="Normal 15 13 3 4 3" xfId="37773" xr:uid="{00000000-0005-0000-0000-000045370000}"/>
    <cellStyle name="Normal 15 13 3 4 4" xfId="18637" xr:uid="{00000000-0005-0000-0000-000046370000}"/>
    <cellStyle name="Normal 15 13 3 5" xfId="44306" xr:uid="{00000000-0005-0000-0000-000047370000}"/>
    <cellStyle name="Normal 15 13 3 6" xfId="28206" xr:uid="{00000000-0005-0000-0000-000048370000}"/>
    <cellStyle name="Normal 15 13 3 7" xfId="15142" xr:uid="{00000000-0005-0000-0000-000049370000}"/>
    <cellStyle name="Normal 15 13 4" xfId="1285" xr:uid="{00000000-0005-0000-0000-00004A370000}"/>
    <cellStyle name="Normal 15 13 4 2" xfId="7819" xr:uid="{00000000-0005-0000-0000-00004B370000}"/>
    <cellStyle name="Normal 15 13 4 2 2" xfId="39560" xr:uid="{00000000-0005-0000-0000-00004C370000}"/>
    <cellStyle name="Normal 15 13 4 2 2 2" xfId="55660" xr:uid="{00000000-0005-0000-0000-00004D370000}"/>
    <cellStyle name="Normal 15 13 4 2 3" xfId="46093" xr:uid="{00000000-0005-0000-0000-00004E370000}"/>
    <cellStyle name="Normal 15 13 4 2 4" xfId="29993" xr:uid="{00000000-0005-0000-0000-00004F370000}"/>
    <cellStyle name="Normal 15 13 4 2 5" xfId="20424" xr:uid="{00000000-0005-0000-0000-000050370000}"/>
    <cellStyle name="Normal 15 13 4 3" xfId="10855" xr:uid="{00000000-0005-0000-0000-000051370000}"/>
    <cellStyle name="Normal 15 13 4 3 2" xfId="49129" xr:uid="{00000000-0005-0000-0000-000052370000}"/>
    <cellStyle name="Normal 15 13 4 3 3" xfId="33029" xr:uid="{00000000-0005-0000-0000-000053370000}"/>
    <cellStyle name="Normal 15 13 4 3 4" xfId="23460" xr:uid="{00000000-0005-0000-0000-000054370000}"/>
    <cellStyle name="Normal 15 13 4 4" xfId="4783" xr:uid="{00000000-0005-0000-0000-000055370000}"/>
    <cellStyle name="Normal 15 13 4 4 2" xfId="52624" xr:uid="{00000000-0005-0000-0000-000056370000}"/>
    <cellStyle name="Normal 15 13 4 4 3" xfId="36524" xr:uid="{00000000-0005-0000-0000-000057370000}"/>
    <cellStyle name="Normal 15 13 4 4 4" xfId="17388" xr:uid="{00000000-0005-0000-0000-000058370000}"/>
    <cellStyle name="Normal 15 13 4 5" xfId="43057" xr:uid="{00000000-0005-0000-0000-000059370000}"/>
    <cellStyle name="Normal 15 13 4 6" xfId="26957" xr:uid="{00000000-0005-0000-0000-00005A370000}"/>
    <cellStyle name="Normal 15 13 4 7" xfId="13893" xr:uid="{00000000-0005-0000-0000-00005B370000}"/>
    <cellStyle name="Normal 15 13 5" xfId="3773" xr:uid="{00000000-0005-0000-0000-00005C370000}"/>
    <cellStyle name="Normal 15 13 5 2" xfId="35514" xr:uid="{00000000-0005-0000-0000-00005D370000}"/>
    <cellStyle name="Normal 15 13 5 2 2" xfId="51614" xr:uid="{00000000-0005-0000-0000-00005E370000}"/>
    <cellStyle name="Normal 15 13 5 3" xfId="42047" xr:uid="{00000000-0005-0000-0000-00005F370000}"/>
    <cellStyle name="Normal 15 13 5 4" xfId="25947" xr:uid="{00000000-0005-0000-0000-000060370000}"/>
    <cellStyle name="Normal 15 13 5 5" xfId="16378" xr:uid="{00000000-0005-0000-0000-000061370000}"/>
    <cellStyle name="Normal 15 13 6" xfId="6809" xr:uid="{00000000-0005-0000-0000-000062370000}"/>
    <cellStyle name="Normal 15 13 6 2" xfId="38550" xr:uid="{00000000-0005-0000-0000-000063370000}"/>
    <cellStyle name="Normal 15 13 6 2 2" xfId="54650" xr:uid="{00000000-0005-0000-0000-000064370000}"/>
    <cellStyle name="Normal 15 13 6 3" xfId="45083" xr:uid="{00000000-0005-0000-0000-000065370000}"/>
    <cellStyle name="Normal 15 13 6 4" xfId="28983" xr:uid="{00000000-0005-0000-0000-000066370000}"/>
    <cellStyle name="Normal 15 13 6 5" xfId="19414" xr:uid="{00000000-0005-0000-0000-000067370000}"/>
    <cellStyle name="Normal 15 13 7" xfId="9845" xr:uid="{00000000-0005-0000-0000-000068370000}"/>
    <cellStyle name="Normal 15 13 7 2" xfId="48119" xr:uid="{00000000-0005-0000-0000-000069370000}"/>
    <cellStyle name="Normal 15 13 7 3" xfId="32019" xr:uid="{00000000-0005-0000-0000-00006A370000}"/>
    <cellStyle name="Normal 15 13 7 4" xfId="22450" xr:uid="{00000000-0005-0000-0000-00006B370000}"/>
    <cellStyle name="Normal 15 13 8" xfId="3315" xr:uid="{00000000-0005-0000-0000-00006C370000}"/>
    <cellStyle name="Normal 15 13 8 2" xfId="51156" xr:uid="{00000000-0005-0000-0000-00006D370000}"/>
    <cellStyle name="Normal 15 13 8 3" xfId="35056" xr:uid="{00000000-0005-0000-0000-00006E370000}"/>
    <cellStyle name="Normal 15 13 8 4" xfId="15920" xr:uid="{00000000-0005-0000-0000-00006F370000}"/>
    <cellStyle name="Normal 15 13 9" xfId="41589" xr:uid="{00000000-0005-0000-0000-000070370000}"/>
    <cellStyle name="Normal 15 14" xfId="736" xr:uid="{00000000-0005-0000-0000-000071370000}"/>
    <cellStyle name="Normal 15 14 10" xfId="13344" xr:uid="{00000000-0005-0000-0000-000072370000}"/>
    <cellStyle name="Normal 15 14 2" xfId="2764" xr:uid="{00000000-0005-0000-0000-000073370000}"/>
    <cellStyle name="Normal 15 14 2 2" xfId="9296" xr:uid="{00000000-0005-0000-0000-000074370000}"/>
    <cellStyle name="Normal 15 14 2 2 2" xfId="41037" xr:uid="{00000000-0005-0000-0000-000075370000}"/>
    <cellStyle name="Normal 15 14 2 2 2 2" xfId="57137" xr:uid="{00000000-0005-0000-0000-000076370000}"/>
    <cellStyle name="Normal 15 14 2 2 3" xfId="47570" xr:uid="{00000000-0005-0000-0000-000077370000}"/>
    <cellStyle name="Normal 15 14 2 2 4" xfId="31470" xr:uid="{00000000-0005-0000-0000-000078370000}"/>
    <cellStyle name="Normal 15 14 2 2 5" xfId="21901" xr:uid="{00000000-0005-0000-0000-000079370000}"/>
    <cellStyle name="Normal 15 14 2 3" xfId="12332" xr:uid="{00000000-0005-0000-0000-00007A370000}"/>
    <cellStyle name="Normal 15 14 2 3 2" xfId="50606" xr:uid="{00000000-0005-0000-0000-00007B370000}"/>
    <cellStyle name="Normal 15 14 2 3 3" xfId="34506" xr:uid="{00000000-0005-0000-0000-00007C370000}"/>
    <cellStyle name="Normal 15 14 2 3 4" xfId="24937" xr:uid="{00000000-0005-0000-0000-00007D370000}"/>
    <cellStyle name="Normal 15 14 2 4" xfId="6260" xr:uid="{00000000-0005-0000-0000-00007E370000}"/>
    <cellStyle name="Normal 15 14 2 4 2" xfId="54101" xr:uid="{00000000-0005-0000-0000-00007F370000}"/>
    <cellStyle name="Normal 15 14 2 4 3" xfId="38001" xr:uid="{00000000-0005-0000-0000-000080370000}"/>
    <cellStyle name="Normal 15 14 2 4 4" xfId="18865" xr:uid="{00000000-0005-0000-0000-000081370000}"/>
    <cellStyle name="Normal 15 14 2 5" xfId="44534" xr:uid="{00000000-0005-0000-0000-000082370000}"/>
    <cellStyle name="Normal 15 14 2 6" xfId="28434" xr:uid="{00000000-0005-0000-0000-000083370000}"/>
    <cellStyle name="Normal 15 14 2 7" xfId="15370" xr:uid="{00000000-0005-0000-0000-000084370000}"/>
    <cellStyle name="Normal 15 14 3" xfId="1746" xr:uid="{00000000-0005-0000-0000-000085370000}"/>
    <cellStyle name="Normal 15 14 3 2" xfId="8280" xr:uid="{00000000-0005-0000-0000-000086370000}"/>
    <cellStyle name="Normal 15 14 3 2 2" xfId="40021" xr:uid="{00000000-0005-0000-0000-000087370000}"/>
    <cellStyle name="Normal 15 14 3 2 2 2" xfId="56121" xr:uid="{00000000-0005-0000-0000-000088370000}"/>
    <cellStyle name="Normal 15 14 3 2 3" xfId="46554" xr:uid="{00000000-0005-0000-0000-000089370000}"/>
    <cellStyle name="Normal 15 14 3 2 4" xfId="30454" xr:uid="{00000000-0005-0000-0000-00008A370000}"/>
    <cellStyle name="Normal 15 14 3 2 5" xfId="20885" xr:uid="{00000000-0005-0000-0000-00008B370000}"/>
    <cellStyle name="Normal 15 14 3 3" xfId="11316" xr:uid="{00000000-0005-0000-0000-00008C370000}"/>
    <cellStyle name="Normal 15 14 3 3 2" xfId="49590" xr:uid="{00000000-0005-0000-0000-00008D370000}"/>
    <cellStyle name="Normal 15 14 3 3 3" xfId="33490" xr:uid="{00000000-0005-0000-0000-00008E370000}"/>
    <cellStyle name="Normal 15 14 3 3 4" xfId="23921" xr:uid="{00000000-0005-0000-0000-00008F370000}"/>
    <cellStyle name="Normal 15 14 3 4" xfId="5244" xr:uid="{00000000-0005-0000-0000-000090370000}"/>
    <cellStyle name="Normal 15 14 3 4 2" xfId="53085" xr:uid="{00000000-0005-0000-0000-000091370000}"/>
    <cellStyle name="Normal 15 14 3 4 3" xfId="36985" xr:uid="{00000000-0005-0000-0000-000092370000}"/>
    <cellStyle name="Normal 15 14 3 4 4" xfId="17849" xr:uid="{00000000-0005-0000-0000-000093370000}"/>
    <cellStyle name="Normal 15 14 3 5" xfId="43518" xr:uid="{00000000-0005-0000-0000-000094370000}"/>
    <cellStyle name="Normal 15 14 3 6" xfId="27418" xr:uid="{00000000-0005-0000-0000-000095370000}"/>
    <cellStyle name="Normal 15 14 3 7" xfId="14354" xr:uid="{00000000-0005-0000-0000-000096370000}"/>
    <cellStyle name="Normal 15 14 4" xfId="4234" xr:uid="{00000000-0005-0000-0000-000097370000}"/>
    <cellStyle name="Normal 15 14 4 2" xfId="35975" xr:uid="{00000000-0005-0000-0000-000098370000}"/>
    <cellStyle name="Normal 15 14 4 2 2" xfId="52075" xr:uid="{00000000-0005-0000-0000-000099370000}"/>
    <cellStyle name="Normal 15 14 4 3" xfId="42508" xr:uid="{00000000-0005-0000-0000-00009A370000}"/>
    <cellStyle name="Normal 15 14 4 4" xfId="26408" xr:uid="{00000000-0005-0000-0000-00009B370000}"/>
    <cellStyle name="Normal 15 14 4 5" xfId="16839" xr:uid="{00000000-0005-0000-0000-00009C370000}"/>
    <cellStyle name="Normal 15 14 5" xfId="7270" xr:uid="{00000000-0005-0000-0000-00009D370000}"/>
    <cellStyle name="Normal 15 14 5 2" xfId="39011" xr:uid="{00000000-0005-0000-0000-00009E370000}"/>
    <cellStyle name="Normal 15 14 5 2 2" xfId="55111" xr:uid="{00000000-0005-0000-0000-00009F370000}"/>
    <cellStyle name="Normal 15 14 5 3" xfId="45544" xr:uid="{00000000-0005-0000-0000-0000A0370000}"/>
    <cellStyle name="Normal 15 14 5 4" xfId="29444" xr:uid="{00000000-0005-0000-0000-0000A1370000}"/>
    <cellStyle name="Normal 15 14 5 5" xfId="19875" xr:uid="{00000000-0005-0000-0000-0000A2370000}"/>
    <cellStyle name="Normal 15 14 6" xfId="10306" xr:uid="{00000000-0005-0000-0000-0000A3370000}"/>
    <cellStyle name="Normal 15 14 6 2" xfId="48580" xr:uid="{00000000-0005-0000-0000-0000A4370000}"/>
    <cellStyle name="Normal 15 14 6 3" xfId="32480" xr:uid="{00000000-0005-0000-0000-0000A5370000}"/>
    <cellStyle name="Normal 15 14 6 4" xfId="22911" xr:uid="{00000000-0005-0000-0000-0000A6370000}"/>
    <cellStyle name="Normal 15 14 7" xfId="3329" xr:uid="{00000000-0005-0000-0000-0000A7370000}"/>
    <cellStyle name="Normal 15 14 7 2" xfId="51170" xr:uid="{00000000-0005-0000-0000-0000A8370000}"/>
    <cellStyle name="Normal 15 14 7 3" xfId="35070" xr:uid="{00000000-0005-0000-0000-0000A9370000}"/>
    <cellStyle name="Normal 15 14 7 4" xfId="15934" xr:uid="{00000000-0005-0000-0000-0000AA370000}"/>
    <cellStyle name="Normal 15 14 8" xfId="41603" xr:uid="{00000000-0005-0000-0000-0000AB370000}"/>
    <cellStyle name="Normal 15 14 9" xfId="25503" xr:uid="{00000000-0005-0000-0000-0000AC370000}"/>
    <cellStyle name="Normal 15 15" xfId="2073" xr:uid="{00000000-0005-0000-0000-0000AD370000}"/>
    <cellStyle name="Normal 15 15 2" xfId="8607" xr:uid="{00000000-0005-0000-0000-0000AE370000}"/>
    <cellStyle name="Normal 15 15 2 2" xfId="40348" xr:uid="{00000000-0005-0000-0000-0000AF370000}"/>
    <cellStyle name="Normal 15 15 2 2 2" xfId="56448" xr:uid="{00000000-0005-0000-0000-0000B0370000}"/>
    <cellStyle name="Normal 15 15 2 3" xfId="46881" xr:uid="{00000000-0005-0000-0000-0000B1370000}"/>
    <cellStyle name="Normal 15 15 2 4" xfId="30781" xr:uid="{00000000-0005-0000-0000-0000B2370000}"/>
    <cellStyle name="Normal 15 15 2 5" xfId="21212" xr:uid="{00000000-0005-0000-0000-0000B3370000}"/>
    <cellStyle name="Normal 15 15 3" xfId="11643" xr:uid="{00000000-0005-0000-0000-0000B4370000}"/>
    <cellStyle name="Normal 15 15 3 2" xfId="49917" xr:uid="{00000000-0005-0000-0000-0000B5370000}"/>
    <cellStyle name="Normal 15 15 3 3" xfId="33817" xr:uid="{00000000-0005-0000-0000-0000B6370000}"/>
    <cellStyle name="Normal 15 15 3 4" xfId="24248" xr:uid="{00000000-0005-0000-0000-0000B7370000}"/>
    <cellStyle name="Normal 15 15 4" xfId="5571" xr:uid="{00000000-0005-0000-0000-0000B8370000}"/>
    <cellStyle name="Normal 15 15 4 2" xfId="53412" xr:uid="{00000000-0005-0000-0000-0000B9370000}"/>
    <cellStyle name="Normal 15 15 4 3" xfId="37312" xr:uid="{00000000-0005-0000-0000-0000BA370000}"/>
    <cellStyle name="Normal 15 15 4 4" xfId="18176" xr:uid="{00000000-0005-0000-0000-0000BB370000}"/>
    <cellStyle name="Normal 15 15 5" xfId="43845" xr:uid="{00000000-0005-0000-0000-0000BC370000}"/>
    <cellStyle name="Normal 15 15 6" xfId="27745" xr:uid="{00000000-0005-0000-0000-0000BD370000}"/>
    <cellStyle name="Normal 15 15 7" xfId="14681" xr:uid="{00000000-0005-0000-0000-0000BE370000}"/>
    <cellStyle name="Normal 15 16" xfId="1063" xr:uid="{00000000-0005-0000-0000-0000BF370000}"/>
    <cellStyle name="Normal 15 16 2" xfId="7597" xr:uid="{00000000-0005-0000-0000-0000C0370000}"/>
    <cellStyle name="Normal 15 16 2 2" xfId="39338" xr:uid="{00000000-0005-0000-0000-0000C1370000}"/>
    <cellStyle name="Normal 15 16 2 2 2" xfId="55438" xr:uid="{00000000-0005-0000-0000-0000C2370000}"/>
    <cellStyle name="Normal 15 16 2 3" xfId="45871" xr:uid="{00000000-0005-0000-0000-0000C3370000}"/>
    <cellStyle name="Normal 15 16 2 4" xfId="29771" xr:uid="{00000000-0005-0000-0000-0000C4370000}"/>
    <cellStyle name="Normal 15 16 2 5" xfId="20202" xr:uid="{00000000-0005-0000-0000-0000C5370000}"/>
    <cellStyle name="Normal 15 16 3" xfId="10633" xr:uid="{00000000-0005-0000-0000-0000C6370000}"/>
    <cellStyle name="Normal 15 16 3 2" xfId="48907" xr:uid="{00000000-0005-0000-0000-0000C7370000}"/>
    <cellStyle name="Normal 15 16 3 3" xfId="32807" xr:uid="{00000000-0005-0000-0000-0000C8370000}"/>
    <cellStyle name="Normal 15 16 3 4" xfId="23238" xr:uid="{00000000-0005-0000-0000-0000C9370000}"/>
    <cellStyle name="Normal 15 16 4" xfId="4561" xr:uid="{00000000-0005-0000-0000-0000CA370000}"/>
    <cellStyle name="Normal 15 16 4 2" xfId="52402" xr:uid="{00000000-0005-0000-0000-0000CB370000}"/>
    <cellStyle name="Normal 15 16 4 3" xfId="36302" xr:uid="{00000000-0005-0000-0000-0000CC370000}"/>
    <cellStyle name="Normal 15 16 4 4" xfId="17166" xr:uid="{00000000-0005-0000-0000-0000CD370000}"/>
    <cellStyle name="Normal 15 16 5" xfId="42835" xr:uid="{00000000-0005-0000-0000-0000CE370000}"/>
    <cellStyle name="Normal 15 16 6" xfId="26735" xr:uid="{00000000-0005-0000-0000-0000CF370000}"/>
    <cellStyle name="Normal 15 16 7" xfId="13671" xr:uid="{00000000-0005-0000-0000-0000D0370000}"/>
    <cellStyle name="Normal 15 17" xfId="3551" xr:uid="{00000000-0005-0000-0000-0000D1370000}"/>
    <cellStyle name="Normal 15 17 2" xfId="35292" xr:uid="{00000000-0005-0000-0000-0000D2370000}"/>
    <cellStyle name="Normal 15 17 2 2" xfId="51392" xr:uid="{00000000-0005-0000-0000-0000D3370000}"/>
    <cellStyle name="Normal 15 17 3" xfId="41825" xr:uid="{00000000-0005-0000-0000-0000D4370000}"/>
    <cellStyle name="Normal 15 17 4" xfId="25725" xr:uid="{00000000-0005-0000-0000-0000D5370000}"/>
    <cellStyle name="Normal 15 17 5" xfId="16156" xr:uid="{00000000-0005-0000-0000-0000D6370000}"/>
    <cellStyle name="Normal 15 18" xfId="6587" xr:uid="{00000000-0005-0000-0000-0000D7370000}"/>
    <cellStyle name="Normal 15 18 2" xfId="38328" xr:uid="{00000000-0005-0000-0000-0000D8370000}"/>
    <cellStyle name="Normal 15 18 2 2" xfId="54428" xr:uid="{00000000-0005-0000-0000-0000D9370000}"/>
    <cellStyle name="Normal 15 18 3" xfId="44861" xr:uid="{00000000-0005-0000-0000-0000DA370000}"/>
    <cellStyle name="Normal 15 18 4" xfId="28761" xr:uid="{00000000-0005-0000-0000-0000DB370000}"/>
    <cellStyle name="Normal 15 18 5" xfId="19192" xr:uid="{00000000-0005-0000-0000-0000DC370000}"/>
    <cellStyle name="Normal 15 19" xfId="9623" xr:uid="{00000000-0005-0000-0000-0000DD370000}"/>
    <cellStyle name="Normal 15 19 2" xfId="47897" xr:uid="{00000000-0005-0000-0000-0000DE370000}"/>
    <cellStyle name="Normal 15 19 3" xfId="31797" xr:uid="{00000000-0005-0000-0000-0000DF370000}"/>
    <cellStyle name="Normal 15 19 4" xfId="22228" xr:uid="{00000000-0005-0000-0000-0000E0370000}"/>
    <cellStyle name="Normal 15 2" xfId="68" xr:uid="{00000000-0005-0000-0000-0000E1370000}"/>
    <cellStyle name="Normal 15 2 10" xfId="3569" xr:uid="{00000000-0005-0000-0000-0000E2370000}"/>
    <cellStyle name="Normal 15 2 10 2" xfId="35310" xr:uid="{00000000-0005-0000-0000-0000E3370000}"/>
    <cellStyle name="Normal 15 2 10 2 2" xfId="51410" xr:uid="{00000000-0005-0000-0000-0000E4370000}"/>
    <cellStyle name="Normal 15 2 10 3" xfId="41843" xr:uid="{00000000-0005-0000-0000-0000E5370000}"/>
    <cellStyle name="Normal 15 2 10 4" xfId="25743" xr:uid="{00000000-0005-0000-0000-0000E6370000}"/>
    <cellStyle name="Normal 15 2 10 5" xfId="16174" xr:uid="{00000000-0005-0000-0000-0000E7370000}"/>
    <cellStyle name="Normal 15 2 11" xfId="6605" xr:uid="{00000000-0005-0000-0000-0000E8370000}"/>
    <cellStyle name="Normal 15 2 11 2" xfId="38346" xr:uid="{00000000-0005-0000-0000-0000E9370000}"/>
    <cellStyle name="Normal 15 2 11 2 2" xfId="54446" xr:uid="{00000000-0005-0000-0000-0000EA370000}"/>
    <cellStyle name="Normal 15 2 11 3" xfId="44879" xr:uid="{00000000-0005-0000-0000-0000EB370000}"/>
    <cellStyle name="Normal 15 2 11 4" xfId="28779" xr:uid="{00000000-0005-0000-0000-0000EC370000}"/>
    <cellStyle name="Normal 15 2 11 5" xfId="19210" xr:uid="{00000000-0005-0000-0000-0000ED370000}"/>
    <cellStyle name="Normal 15 2 12" xfId="9641" xr:uid="{00000000-0005-0000-0000-0000EE370000}"/>
    <cellStyle name="Normal 15 2 12 2" xfId="47915" xr:uid="{00000000-0005-0000-0000-0000EF370000}"/>
    <cellStyle name="Normal 15 2 12 3" xfId="31815" xr:uid="{00000000-0005-0000-0000-0000F0370000}"/>
    <cellStyle name="Normal 15 2 12 4" xfId="22246" xr:uid="{00000000-0005-0000-0000-0000F1370000}"/>
    <cellStyle name="Normal 15 2 13" xfId="3109" xr:uid="{00000000-0005-0000-0000-0000F2370000}"/>
    <cellStyle name="Normal 15 2 13 2" xfId="50951" xr:uid="{00000000-0005-0000-0000-0000F3370000}"/>
    <cellStyle name="Normal 15 2 13 3" xfId="34851" xr:uid="{00000000-0005-0000-0000-0000F4370000}"/>
    <cellStyle name="Normal 15 2 13 4" xfId="15715" xr:uid="{00000000-0005-0000-0000-0000F5370000}"/>
    <cellStyle name="Normal 15 2 14" xfId="41384" xr:uid="{00000000-0005-0000-0000-0000F6370000}"/>
    <cellStyle name="Normal 15 2 15" xfId="25284" xr:uid="{00000000-0005-0000-0000-0000F7370000}"/>
    <cellStyle name="Normal 15 2 16" xfId="12679" xr:uid="{00000000-0005-0000-0000-0000F8370000}"/>
    <cellStyle name="Normal 15 2 2" xfId="139" xr:uid="{00000000-0005-0000-0000-0000F9370000}"/>
    <cellStyle name="Normal 15 2 2 10" xfId="9687" xr:uid="{00000000-0005-0000-0000-0000FA370000}"/>
    <cellStyle name="Normal 15 2 2 10 2" xfId="47961" xr:uid="{00000000-0005-0000-0000-0000FB370000}"/>
    <cellStyle name="Normal 15 2 2 10 3" xfId="31861" xr:uid="{00000000-0005-0000-0000-0000FC370000}"/>
    <cellStyle name="Normal 15 2 2 10 4" xfId="22292" xr:uid="{00000000-0005-0000-0000-0000FD370000}"/>
    <cellStyle name="Normal 15 2 2 11" xfId="3155" xr:uid="{00000000-0005-0000-0000-0000FE370000}"/>
    <cellStyle name="Normal 15 2 2 11 2" xfId="50997" xr:uid="{00000000-0005-0000-0000-0000FF370000}"/>
    <cellStyle name="Normal 15 2 2 11 3" xfId="34897" xr:uid="{00000000-0005-0000-0000-000000380000}"/>
    <cellStyle name="Normal 15 2 2 11 4" xfId="15761" xr:uid="{00000000-0005-0000-0000-000001380000}"/>
    <cellStyle name="Normal 15 2 2 12" xfId="41430" xr:uid="{00000000-0005-0000-0000-000002380000}"/>
    <cellStyle name="Normal 15 2 2 13" xfId="25330" xr:uid="{00000000-0005-0000-0000-000003380000}"/>
    <cellStyle name="Normal 15 2 2 14" xfId="12725" xr:uid="{00000000-0005-0000-0000-000004380000}"/>
    <cellStyle name="Normal 15 2 2 2" xfId="214" xr:uid="{00000000-0005-0000-0000-000005380000}"/>
    <cellStyle name="Normal 15 2 2 2 10" xfId="41667" xr:uid="{00000000-0005-0000-0000-000006380000}"/>
    <cellStyle name="Normal 15 2 2 2 11" xfId="25567" xr:uid="{00000000-0005-0000-0000-000007380000}"/>
    <cellStyle name="Normal 15 2 2 2 12" xfId="13043" xr:uid="{00000000-0005-0000-0000-000008380000}"/>
    <cellStyle name="Normal 15 2 2 2 2" xfId="391" xr:uid="{00000000-0005-0000-0000-000009380000}"/>
    <cellStyle name="Normal 15 2 2 2 2 2" xfId="2410" xr:uid="{00000000-0005-0000-0000-00000A380000}"/>
    <cellStyle name="Normal 15 2 2 2 2 2 2" xfId="8944" xr:uid="{00000000-0005-0000-0000-00000B380000}"/>
    <cellStyle name="Normal 15 2 2 2 2 2 2 2" xfId="40685" xr:uid="{00000000-0005-0000-0000-00000C380000}"/>
    <cellStyle name="Normal 15 2 2 2 2 2 2 2 2" xfId="56785" xr:uid="{00000000-0005-0000-0000-00000D380000}"/>
    <cellStyle name="Normal 15 2 2 2 2 2 2 3" xfId="47218" xr:uid="{00000000-0005-0000-0000-00000E380000}"/>
    <cellStyle name="Normal 15 2 2 2 2 2 2 4" xfId="31118" xr:uid="{00000000-0005-0000-0000-00000F380000}"/>
    <cellStyle name="Normal 15 2 2 2 2 2 2 5" xfId="21549" xr:uid="{00000000-0005-0000-0000-000010380000}"/>
    <cellStyle name="Normal 15 2 2 2 2 2 3" xfId="11980" xr:uid="{00000000-0005-0000-0000-000011380000}"/>
    <cellStyle name="Normal 15 2 2 2 2 2 3 2" xfId="50254" xr:uid="{00000000-0005-0000-0000-000012380000}"/>
    <cellStyle name="Normal 15 2 2 2 2 2 3 3" xfId="34154" xr:uid="{00000000-0005-0000-0000-000013380000}"/>
    <cellStyle name="Normal 15 2 2 2 2 2 3 4" xfId="24585" xr:uid="{00000000-0005-0000-0000-000014380000}"/>
    <cellStyle name="Normal 15 2 2 2 2 2 4" xfId="5908" xr:uid="{00000000-0005-0000-0000-000015380000}"/>
    <cellStyle name="Normal 15 2 2 2 2 2 4 2" xfId="53749" xr:uid="{00000000-0005-0000-0000-000016380000}"/>
    <cellStyle name="Normal 15 2 2 2 2 2 4 3" xfId="37649" xr:uid="{00000000-0005-0000-0000-000017380000}"/>
    <cellStyle name="Normal 15 2 2 2 2 2 4 4" xfId="18513" xr:uid="{00000000-0005-0000-0000-000018380000}"/>
    <cellStyle name="Normal 15 2 2 2 2 2 5" xfId="44182" xr:uid="{00000000-0005-0000-0000-000019380000}"/>
    <cellStyle name="Normal 15 2 2 2 2 2 6" xfId="28082" xr:uid="{00000000-0005-0000-0000-00001A380000}"/>
    <cellStyle name="Normal 15 2 2 2 2 2 7" xfId="15018" xr:uid="{00000000-0005-0000-0000-00001B380000}"/>
    <cellStyle name="Normal 15 2 2 2 2 3" xfId="1622" xr:uid="{00000000-0005-0000-0000-00001C380000}"/>
    <cellStyle name="Normal 15 2 2 2 2 3 2" xfId="8156" xr:uid="{00000000-0005-0000-0000-00001D380000}"/>
    <cellStyle name="Normal 15 2 2 2 2 3 2 2" xfId="39897" xr:uid="{00000000-0005-0000-0000-00001E380000}"/>
    <cellStyle name="Normal 15 2 2 2 2 3 2 2 2" xfId="55997" xr:uid="{00000000-0005-0000-0000-00001F380000}"/>
    <cellStyle name="Normal 15 2 2 2 2 3 2 3" xfId="46430" xr:uid="{00000000-0005-0000-0000-000020380000}"/>
    <cellStyle name="Normal 15 2 2 2 2 3 2 4" xfId="30330" xr:uid="{00000000-0005-0000-0000-000021380000}"/>
    <cellStyle name="Normal 15 2 2 2 2 3 2 5" xfId="20761" xr:uid="{00000000-0005-0000-0000-000022380000}"/>
    <cellStyle name="Normal 15 2 2 2 2 3 3" xfId="11192" xr:uid="{00000000-0005-0000-0000-000023380000}"/>
    <cellStyle name="Normal 15 2 2 2 2 3 3 2" xfId="49466" xr:uid="{00000000-0005-0000-0000-000024380000}"/>
    <cellStyle name="Normal 15 2 2 2 2 3 3 3" xfId="33366" xr:uid="{00000000-0005-0000-0000-000025380000}"/>
    <cellStyle name="Normal 15 2 2 2 2 3 3 4" xfId="23797" xr:uid="{00000000-0005-0000-0000-000026380000}"/>
    <cellStyle name="Normal 15 2 2 2 2 3 4" xfId="5120" xr:uid="{00000000-0005-0000-0000-000027380000}"/>
    <cellStyle name="Normal 15 2 2 2 2 3 4 2" xfId="52961" xr:uid="{00000000-0005-0000-0000-000028380000}"/>
    <cellStyle name="Normal 15 2 2 2 2 3 4 3" xfId="36861" xr:uid="{00000000-0005-0000-0000-000029380000}"/>
    <cellStyle name="Normal 15 2 2 2 2 3 4 4" xfId="17725" xr:uid="{00000000-0005-0000-0000-00002A380000}"/>
    <cellStyle name="Normal 15 2 2 2 2 3 5" xfId="43394" xr:uid="{00000000-0005-0000-0000-00002B380000}"/>
    <cellStyle name="Normal 15 2 2 2 2 3 6" xfId="27294" xr:uid="{00000000-0005-0000-0000-00002C380000}"/>
    <cellStyle name="Normal 15 2 2 2 2 3 7" xfId="14230" xr:uid="{00000000-0005-0000-0000-00002D380000}"/>
    <cellStyle name="Normal 15 2 2 2 2 4" xfId="7146" xr:uid="{00000000-0005-0000-0000-00002E380000}"/>
    <cellStyle name="Normal 15 2 2 2 2 4 2" xfId="38887" xr:uid="{00000000-0005-0000-0000-00002F380000}"/>
    <cellStyle name="Normal 15 2 2 2 2 4 2 2" xfId="54987" xr:uid="{00000000-0005-0000-0000-000030380000}"/>
    <cellStyle name="Normal 15 2 2 2 2 4 3" xfId="45420" xr:uid="{00000000-0005-0000-0000-000031380000}"/>
    <cellStyle name="Normal 15 2 2 2 2 4 4" xfId="29320" xr:uid="{00000000-0005-0000-0000-000032380000}"/>
    <cellStyle name="Normal 15 2 2 2 2 4 5" xfId="19751" xr:uid="{00000000-0005-0000-0000-000033380000}"/>
    <cellStyle name="Normal 15 2 2 2 2 5" xfId="10182" xr:uid="{00000000-0005-0000-0000-000034380000}"/>
    <cellStyle name="Normal 15 2 2 2 2 5 2" xfId="48456" xr:uid="{00000000-0005-0000-0000-000035380000}"/>
    <cellStyle name="Normal 15 2 2 2 2 5 3" xfId="32356" xr:uid="{00000000-0005-0000-0000-000036380000}"/>
    <cellStyle name="Normal 15 2 2 2 2 5 4" xfId="22787" xr:uid="{00000000-0005-0000-0000-000037380000}"/>
    <cellStyle name="Normal 15 2 2 2 2 6" xfId="4110" xr:uid="{00000000-0005-0000-0000-000038380000}"/>
    <cellStyle name="Normal 15 2 2 2 2 6 2" xfId="51951" xr:uid="{00000000-0005-0000-0000-000039380000}"/>
    <cellStyle name="Normal 15 2 2 2 2 6 3" xfId="35851" xr:uid="{00000000-0005-0000-0000-00003A380000}"/>
    <cellStyle name="Normal 15 2 2 2 2 6 4" xfId="16715" xr:uid="{00000000-0005-0000-0000-00003B380000}"/>
    <cellStyle name="Normal 15 2 2 2 2 7" xfId="42384" xr:uid="{00000000-0005-0000-0000-00003C380000}"/>
    <cellStyle name="Normal 15 2 2 2 2 8" xfId="26284" xr:uid="{00000000-0005-0000-0000-00003D380000}"/>
    <cellStyle name="Normal 15 2 2 2 2 9" xfId="13220" xr:uid="{00000000-0005-0000-0000-00003E380000}"/>
    <cellStyle name="Normal 15 2 2 2 3" xfId="1029" xr:uid="{00000000-0005-0000-0000-00003F380000}"/>
    <cellStyle name="Normal 15 2 2 2 3 2" xfId="3057" xr:uid="{00000000-0005-0000-0000-000040380000}"/>
    <cellStyle name="Normal 15 2 2 2 3 2 2" xfId="9589" xr:uid="{00000000-0005-0000-0000-000041380000}"/>
    <cellStyle name="Normal 15 2 2 2 3 2 2 2" xfId="41330" xr:uid="{00000000-0005-0000-0000-000042380000}"/>
    <cellStyle name="Normal 15 2 2 2 3 2 2 2 2" xfId="57430" xr:uid="{00000000-0005-0000-0000-000043380000}"/>
    <cellStyle name="Normal 15 2 2 2 3 2 2 3" xfId="47863" xr:uid="{00000000-0005-0000-0000-000044380000}"/>
    <cellStyle name="Normal 15 2 2 2 3 2 2 4" xfId="31763" xr:uid="{00000000-0005-0000-0000-000045380000}"/>
    <cellStyle name="Normal 15 2 2 2 3 2 2 5" xfId="22194" xr:uid="{00000000-0005-0000-0000-000046380000}"/>
    <cellStyle name="Normal 15 2 2 2 3 2 3" xfId="12625" xr:uid="{00000000-0005-0000-0000-000047380000}"/>
    <cellStyle name="Normal 15 2 2 2 3 2 3 2" xfId="50899" xr:uid="{00000000-0005-0000-0000-000048380000}"/>
    <cellStyle name="Normal 15 2 2 2 3 2 3 3" xfId="34799" xr:uid="{00000000-0005-0000-0000-000049380000}"/>
    <cellStyle name="Normal 15 2 2 2 3 2 3 4" xfId="25230" xr:uid="{00000000-0005-0000-0000-00004A380000}"/>
    <cellStyle name="Normal 15 2 2 2 3 2 4" xfId="6553" xr:uid="{00000000-0005-0000-0000-00004B380000}"/>
    <cellStyle name="Normal 15 2 2 2 3 2 4 2" xfId="54394" xr:uid="{00000000-0005-0000-0000-00004C380000}"/>
    <cellStyle name="Normal 15 2 2 2 3 2 4 3" xfId="38294" xr:uid="{00000000-0005-0000-0000-00004D380000}"/>
    <cellStyle name="Normal 15 2 2 2 3 2 4 4" xfId="19158" xr:uid="{00000000-0005-0000-0000-00004E380000}"/>
    <cellStyle name="Normal 15 2 2 2 3 2 5" xfId="44827" xr:uid="{00000000-0005-0000-0000-00004F380000}"/>
    <cellStyle name="Normal 15 2 2 2 3 2 6" xfId="28727" xr:uid="{00000000-0005-0000-0000-000050380000}"/>
    <cellStyle name="Normal 15 2 2 2 3 2 7" xfId="15663" xr:uid="{00000000-0005-0000-0000-000051380000}"/>
    <cellStyle name="Normal 15 2 2 2 3 3" xfId="2039" xr:uid="{00000000-0005-0000-0000-000052380000}"/>
    <cellStyle name="Normal 15 2 2 2 3 3 2" xfId="8573" xr:uid="{00000000-0005-0000-0000-000053380000}"/>
    <cellStyle name="Normal 15 2 2 2 3 3 2 2" xfId="40314" xr:uid="{00000000-0005-0000-0000-000054380000}"/>
    <cellStyle name="Normal 15 2 2 2 3 3 2 2 2" xfId="56414" xr:uid="{00000000-0005-0000-0000-000055380000}"/>
    <cellStyle name="Normal 15 2 2 2 3 3 2 3" xfId="46847" xr:uid="{00000000-0005-0000-0000-000056380000}"/>
    <cellStyle name="Normal 15 2 2 2 3 3 2 4" xfId="30747" xr:uid="{00000000-0005-0000-0000-000057380000}"/>
    <cellStyle name="Normal 15 2 2 2 3 3 2 5" xfId="21178" xr:uid="{00000000-0005-0000-0000-000058380000}"/>
    <cellStyle name="Normal 15 2 2 2 3 3 3" xfId="11609" xr:uid="{00000000-0005-0000-0000-000059380000}"/>
    <cellStyle name="Normal 15 2 2 2 3 3 3 2" xfId="49883" xr:uid="{00000000-0005-0000-0000-00005A380000}"/>
    <cellStyle name="Normal 15 2 2 2 3 3 3 3" xfId="33783" xr:uid="{00000000-0005-0000-0000-00005B380000}"/>
    <cellStyle name="Normal 15 2 2 2 3 3 3 4" xfId="24214" xr:uid="{00000000-0005-0000-0000-00005C380000}"/>
    <cellStyle name="Normal 15 2 2 2 3 3 4" xfId="5537" xr:uid="{00000000-0005-0000-0000-00005D380000}"/>
    <cellStyle name="Normal 15 2 2 2 3 3 4 2" xfId="53378" xr:uid="{00000000-0005-0000-0000-00005E380000}"/>
    <cellStyle name="Normal 15 2 2 2 3 3 4 3" xfId="37278" xr:uid="{00000000-0005-0000-0000-00005F380000}"/>
    <cellStyle name="Normal 15 2 2 2 3 3 4 4" xfId="18142" xr:uid="{00000000-0005-0000-0000-000060380000}"/>
    <cellStyle name="Normal 15 2 2 2 3 3 5" xfId="43811" xr:uid="{00000000-0005-0000-0000-000061380000}"/>
    <cellStyle name="Normal 15 2 2 2 3 3 6" xfId="27711" xr:uid="{00000000-0005-0000-0000-000062380000}"/>
    <cellStyle name="Normal 15 2 2 2 3 3 7" xfId="14647" xr:uid="{00000000-0005-0000-0000-000063380000}"/>
    <cellStyle name="Normal 15 2 2 2 3 4" xfId="7563" xr:uid="{00000000-0005-0000-0000-000064380000}"/>
    <cellStyle name="Normal 15 2 2 2 3 4 2" xfId="39304" xr:uid="{00000000-0005-0000-0000-000065380000}"/>
    <cellStyle name="Normal 15 2 2 2 3 4 2 2" xfId="55404" xr:uid="{00000000-0005-0000-0000-000066380000}"/>
    <cellStyle name="Normal 15 2 2 2 3 4 3" xfId="45837" xr:uid="{00000000-0005-0000-0000-000067380000}"/>
    <cellStyle name="Normal 15 2 2 2 3 4 4" xfId="29737" xr:uid="{00000000-0005-0000-0000-000068380000}"/>
    <cellStyle name="Normal 15 2 2 2 3 4 5" xfId="20168" xr:uid="{00000000-0005-0000-0000-000069380000}"/>
    <cellStyle name="Normal 15 2 2 2 3 5" xfId="10599" xr:uid="{00000000-0005-0000-0000-00006A380000}"/>
    <cellStyle name="Normal 15 2 2 2 3 5 2" xfId="48873" xr:uid="{00000000-0005-0000-0000-00006B380000}"/>
    <cellStyle name="Normal 15 2 2 2 3 5 3" xfId="32773" xr:uid="{00000000-0005-0000-0000-00006C380000}"/>
    <cellStyle name="Normal 15 2 2 2 3 5 4" xfId="23204" xr:uid="{00000000-0005-0000-0000-00006D380000}"/>
    <cellStyle name="Normal 15 2 2 2 3 6" xfId="4527" xr:uid="{00000000-0005-0000-0000-00006E380000}"/>
    <cellStyle name="Normal 15 2 2 2 3 6 2" xfId="52368" xr:uid="{00000000-0005-0000-0000-00006F380000}"/>
    <cellStyle name="Normal 15 2 2 2 3 6 3" xfId="36268" xr:uid="{00000000-0005-0000-0000-000070380000}"/>
    <cellStyle name="Normal 15 2 2 2 3 6 4" xfId="17132" xr:uid="{00000000-0005-0000-0000-000071380000}"/>
    <cellStyle name="Normal 15 2 2 2 3 7" xfId="42801" xr:uid="{00000000-0005-0000-0000-000072380000}"/>
    <cellStyle name="Normal 15 2 2 2 3 8" xfId="26701" xr:uid="{00000000-0005-0000-0000-000073380000}"/>
    <cellStyle name="Normal 15 2 2 2 3 9" xfId="13637" xr:uid="{00000000-0005-0000-0000-000074380000}"/>
    <cellStyle name="Normal 15 2 2 2 4" xfId="2233" xr:uid="{00000000-0005-0000-0000-000075380000}"/>
    <cellStyle name="Normal 15 2 2 2 4 2" xfId="8767" xr:uid="{00000000-0005-0000-0000-000076380000}"/>
    <cellStyle name="Normal 15 2 2 2 4 2 2" xfId="40508" xr:uid="{00000000-0005-0000-0000-000077380000}"/>
    <cellStyle name="Normal 15 2 2 2 4 2 2 2" xfId="56608" xr:uid="{00000000-0005-0000-0000-000078380000}"/>
    <cellStyle name="Normal 15 2 2 2 4 2 3" xfId="47041" xr:uid="{00000000-0005-0000-0000-000079380000}"/>
    <cellStyle name="Normal 15 2 2 2 4 2 4" xfId="30941" xr:uid="{00000000-0005-0000-0000-00007A380000}"/>
    <cellStyle name="Normal 15 2 2 2 4 2 5" xfId="21372" xr:uid="{00000000-0005-0000-0000-00007B380000}"/>
    <cellStyle name="Normal 15 2 2 2 4 3" xfId="11803" xr:uid="{00000000-0005-0000-0000-00007C380000}"/>
    <cellStyle name="Normal 15 2 2 2 4 3 2" xfId="50077" xr:uid="{00000000-0005-0000-0000-00007D380000}"/>
    <cellStyle name="Normal 15 2 2 2 4 3 3" xfId="33977" xr:uid="{00000000-0005-0000-0000-00007E380000}"/>
    <cellStyle name="Normal 15 2 2 2 4 3 4" xfId="24408" xr:uid="{00000000-0005-0000-0000-00007F380000}"/>
    <cellStyle name="Normal 15 2 2 2 4 4" xfId="5731" xr:uid="{00000000-0005-0000-0000-000080380000}"/>
    <cellStyle name="Normal 15 2 2 2 4 4 2" xfId="53572" xr:uid="{00000000-0005-0000-0000-000081380000}"/>
    <cellStyle name="Normal 15 2 2 2 4 4 3" xfId="37472" xr:uid="{00000000-0005-0000-0000-000082380000}"/>
    <cellStyle name="Normal 15 2 2 2 4 4 4" xfId="18336" xr:uid="{00000000-0005-0000-0000-000083380000}"/>
    <cellStyle name="Normal 15 2 2 2 4 5" xfId="44005" xr:uid="{00000000-0005-0000-0000-000084380000}"/>
    <cellStyle name="Normal 15 2 2 2 4 6" xfId="27905" xr:uid="{00000000-0005-0000-0000-000085380000}"/>
    <cellStyle name="Normal 15 2 2 2 4 7" xfId="14841" xr:uid="{00000000-0005-0000-0000-000086380000}"/>
    <cellStyle name="Normal 15 2 2 2 5" xfId="1445" xr:uid="{00000000-0005-0000-0000-000087380000}"/>
    <cellStyle name="Normal 15 2 2 2 5 2" xfId="7979" xr:uid="{00000000-0005-0000-0000-000088380000}"/>
    <cellStyle name="Normal 15 2 2 2 5 2 2" xfId="39720" xr:uid="{00000000-0005-0000-0000-000089380000}"/>
    <cellStyle name="Normal 15 2 2 2 5 2 2 2" xfId="55820" xr:uid="{00000000-0005-0000-0000-00008A380000}"/>
    <cellStyle name="Normal 15 2 2 2 5 2 3" xfId="46253" xr:uid="{00000000-0005-0000-0000-00008B380000}"/>
    <cellStyle name="Normal 15 2 2 2 5 2 4" xfId="30153" xr:uid="{00000000-0005-0000-0000-00008C380000}"/>
    <cellStyle name="Normal 15 2 2 2 5 2 5" xfId="20584" xr:uid="{00000000-0005-0000-0000-00008D380000}"/>
    <cellStyle name="Normal 15 2 2 2 5 3" xfId="11015" xr:uid="{00000000-0005-0000-0000-00008E380000}"/>
    <cellStyle name="Normal 15 2 2 2 5 3 2" xfId="49289" xr:uid="{00000000-0005-0000-0000-00008F380000}"/>
    <cellStyle name="Normal 15 2 2 2 5 3 3" xfId="33189" xr:uid="{00000000-0005-0000-0000-000090380000}"/>
    <cellStyle name="Normal 15 2 2 2 5 3 4" xfId="23620" xr:uid="{00000000-0005-0000-0000-000091380000}"/>
    <cellStyle name="Normal 15 2 2 2 5 4" xfId="4943" xr:uid="{00000000-0005-0000-0000-000092380000}"/>
    <cellStyle name="Normal 15 2 2 2 5 4 2" xfId="52784" xr:uid="{00000000-0005-0000-0000-000093380000}"/>
    <cellStyle name="Normal 15 2 2 2 5 4 3" xfId="36684" xr:uid="{00000000-0005-0000-0000-000094380000}"/>
    <cellStyle name="Normal 15 2 2 2 5 4 4" xfId="17548" xr:uid="{00000000-0005-0000-0000-000095380000}"/>
    <cellStyle name="Normal 15 2 2 2 5 5" xfId="43217" xr:uid="{00000000-0005-0000-0000-000096380000}"/>
    <cellStyle name="Normal 15 2 2 2 5 6" xfId="27117" xr:uid="{00000000-0005-0000-0000-000097380000}"/>
    <cellStyle name="Normal 15 2 2 2 5 7" xfId="14053" xr:uid="{00000000-0005-0000-0000-000098380000}"/>
    <cellStyle name="Normal 15 2 2 2 6" xfId="3933" xr:uid="{00000000-0005-0000-0000-000099380000}"/>
    <cellStyle name="Normal 15 2 2 2 6 2" xfId="35674" xr:uid="{00000000-0005-0000-0000-00009A380000}"/>
    <cellStyle name="Normal 15 2 2 2 6 2 2" xfId="51774" xr:uid="{00000000-0005-0000-0000-00009B380000}"/>
    <cellStyle name="Normal 15 2 2 2 6 3" xfId="42207" xr:uid="{00000000-0005-0000-0000-00009C380000}"/>
    <cellStyle name="Normal 15 2 2 2 6 4" xfId="26107" xr:uid="{00000000-0005-0000-0000-00009D380000}"/>
    <cellStyle name="Normal 15 2 2 2 6 5" xfId="16538" xr:uid="{00000000-0005-0000-0000-00009E380000}"/>
    <cellStyle name="Normal 15 2 2 2 7" xfId="6969" xr:uid="{00000000-0005-0000-0000-00009F380000}"/>
    <cellStyle name="Normal 15 2 2 2 7 2" xfId="38710" xr:uid="{00000000-0005-0000-0000-0000A0380000}"/>
    <cellStyle name="Normal 15 2 2 2 7 2 2" xfId="54810" xr:uid="{00000000-0005-0000-0000-0000A1380000}"/>
    <cellStyle name="Normal 15 2 2 2 7 3" xfId="45243" xr:uid="{00000000-0005-0000-0000-0000A2380000}"/>
    <cellStyle name="Normal 15 2 2 2 7 4" xfId="29143" xr:uid="{00000000-0005-0000-0000-0000A3380000}"/>
    <cellStyle name="Normal 15 2 2 2 7 5" xfId="19574" xr:uid="{00000000-0005-0000-0000-0000A4380000}"/>
    <cellStyle name="Normal 15 2 2 2 8" xfId="10005" xr:uid="{00000000-0005-0000-0000-0000A5380000}"/>
    <cellStyle name="Normal 15 2 2 2 8 2" xfId="48279" xr:uid="{00000000-0005-0000-0000-0000A6380000}"/>
    <cellStyle name="Normal 15 2 2 2 8 3" xfId="32179" xr:uid="{00000000-0005-0000-0000-0000A7380000}"/>
    <cellStyle name="Normal 15 2 2 2 8 4" xfId="22610" xr:uid="{00000000-0005-0000-0000-0000A8380000}"/>
    <cellStyle name="Normal 15 2 2 2 9" xfId="3393" xr:uid="{00000000-0005-0000-0000-0000A9380000}"/>
    <cellStyle name="Normal 15 2 2 2 9 2" xfId="51234" xr:uid="{00000000-0005-0000-0000-0000AA380000}"/>
    <cellStyle name="Normal 15 2 2 2 9 3" xfId="35134" xr:uid="{00000000-0005-0000-0000-0000AB380000}"/>
    <cellStyle name="Normal 15 2 2 2 9 4" xfId="15998" xr:uid="{00000000-0005-0000-0000-0000AC380000}"/>
    <cellStyle name="Normal 15 2 2 3" xfId="320" xr:uid="{00000000-0005-0000-0000-0000AD380000}"/>
    <cellStyle name="Normal 15 2 2 3 2" xfId="2339" xr:uid="{00000000-0005-0000-0000-0000AE380000}"/>
    <cellStyle name="Normal 15 2 2 3 2 2" xfId="8873" xr:uid="{00000000-0005-0000-0000-0000AF380000}"/>
    <cellStyle name="Normal 15 2 2 3 2 2 2" xfId="40614" xr:uid="{00000000-0005-0000-0000-0000B0380000}"/>
    <cellStyle name="Normal 15 2 2 3 2 2 2 2" xfId="56714" xr:uid="{00000000-0005-0000-0000-0000B1380000}"/>
    <cellStyle name="Normal 15 2 2 3 2 2 3" xfId="47147" xr:uid="{00000000-0005-0000-0000-0000B2380000}"/>
    <cellStyle name="Normal 15 2 2 3 2 2 4" xfId="31047" xr:uid="{00000000-0005-0000-0000-0000B3380000}"/>
    <cellStyle name="Normal 15 2 2 3 2 2 5" xfId="21478" xr:uid="{00000000-0005-0000-0000-0000B4380000}"/>
    <cellStyle name="Normal 15 2 2 3 2 3" xfId="11909" xr:uid="{00000000-0005-0000-0000-0000B5380000}"/>
    <cellStyle name="Normal 15 2 2 3 2 3 2" xfId="50183" xr:uid="{00000000-0005-0000-0000-0000B6380000}"/>
    <cellStyle name="Normal 15 2 2 3 2 3 3" xfId="34083" xr:uid="{00000000-0005-0000-0000-0000B7380000}"/>
    <cellStyle name="Normal 15 2 2 3 2 3 4" xfId="24514" xr:uid="{00000000-0005-0000-0000-0000B8380000}"/>
    <cellStyle name="Normal 15 2 2 3 2 4" xfId="5837" xr:uid="{00000000-0005-0000-0000-0000B9380000}"/>
    <cellStyle name="Normal 15 2 2 3 2 4 2" xfId="53678" xr:uid="{00000000-0005-0000-0000-0000BA380000}"/>
    <cellStyle name="Normal 15 2 2 3 2 4 3" xfId="37578" xr:uid="{00000000-0005-0000-0000-0000BB380000}"/>
    <cellStyle name="Normal 15 2 2 3 2 4 4" xfId="18442" xr:uid="{00000000-0005-0000-0000-0000BC380000}"/>
    <cellStyle name="Normal 15 2 2 3 2 5" xfId="44111" xr:uid="{00000000-0005-0000-0000-0000BD380000}"/>
    <cellStyle name="Normal 15 2 2 3 2 6" xfId="28011" xr:uid="{00000000-0005-0000-0000-0000BE380000}"/>
    <cellStyle name="Normal 15 2 2 3 2 7" xfId="14947" xr:uid="{00000000-0005-0000-0000-0000BF380000}"/>
    <cellStyle name="Normal 15 2 2 3 3" xfId="1551" xr:uid="{00000000-0005-0000-0000-0000C0380000}"/>
    <cellStyle name="Normal 15 2 2 3 3 2" xfId="8085" xr:uid="{00000000-0005-0000-0000-0000C1380000}"/>
    <cellStyle name="Normal 15 2 2 3 3 2 2" xfId="39826" xr:uid="{00000000-0005-0000-0000-0000C2380000}"/>
    <cellStyle name="Normal 15 2 2 3 3 2 2 2" xfId="55926" xr:uid="{00000000-0005-0000-0000-0000C3380000}"/>
    <cellStyle name="Normal 15 2 2 3 3 2 3" xfId="46359" xr:uid="{00000000-0005-0000-0000-0000C4380000}"/>
    <cellStyle name="Normal 15 2 2 3 3 2 4" xfId="30259" xr:uid="{00000000-0005-0000-0000-0000C5380000}"/>
    <cellStyle name="Normal 15 2 2 3 3 2 5" xfId="20690" xr:uid="{00000000-0005-0000-0000-0000C6380000}"/>
    <cellStyle name="Normal 15 2 2 3 3 3" xfId="11121" xr:uid="{00000000-0005-0000-0000-0000C7380000}"/>
    <cellStyle name="Normal 15 2 2 3 3 3 2" xfId="49395" xr:uid="{00000000-0005-0000-0000-0000C8380000}"/>
    <cellStyle name="Normal 15 2 2 3 3 3 3" xfId="33295" xr:uid="{00000000-0005-0000-0000-0000C9380000}"/>
    <cellStyle name="Normal 15 2 2 3 3 3 4" xfId="23726" xr:uid="{00000000-0005-0000-0000-0000CA380000}"/>
    <cellStyle name="Normal 15 2 2 3 3 4" xfId="5049" xr:uid="{00000000-0005-0000-0000-0000CB380000}"/>
    <cellStyle name="Normal 15 2 2 3 3 4 2" xfId="52890" xr:uid="{00000000-0005-0000-0000-0000CC380000}"/>
    <cellStyle name="Normal 15 2 2 3 3 4 3" xfId="36790" xr:uid="{00000000-0005-0000-0000-0000CD380000}"/>
    <cellStyle name="Normal 15 2 2 3 3 4 4" xfId="17654" xr:uid="{00000000-0005-0000-0000-0000CE380000}"/>
    <cellStyle name="Normal 15 2 2 3 3 5" xfId="43323" xr:uid="{00000000-0005-0000-0000-0000CF380000}"/>
    <cellStyle name="Normal 15 2 2 3 3 6" xfId="27223" xr:uid="{00000000-0005-0000-0000-0000D0380000}"/>
    <cellStyle name="Normal 15 2 2 3 3 7" xfId="14159" xr:uid="{00000000-0005-0000-0000-0000D1380000}"/>
    <cellStyle name="Normal 15 2 2 3 4" xfId="7075" xr:uid="{00000000-0005-0000-0000-0000D2380000}"/>
    <cellStyle name="Normal 15 2 2 3 4 2" xfId="38816" xr:uid="{00000000-0005-0000-0000-0000D3380000}"/>
    <cellStyle name="Normal 15 2 2 3 4 2 2" xfId="54916" xr:uid="{00000000-0005-0000-0000-0000D4380000}"/>
    <cellStyle name="Normal 15 2 2 3 4 3" xfId="45349" xr:uid="{00000000-0005-0000-0000-0000D5380000}"/>
    <cellStyle name="Normal 15 2 2 3 4 4" xfId="29249" xr:uid="{00000000-0005-0000-0000-0000D6380000}"/>
    <cellStyle name="Normal 15 2 2 3 4 5" xfId="19680" xr:uid="{00000000-0005-0000-0000-0000D7380000}"/>
    <cellStyle name="Normal 15 2 2 3 5" xfId="10111" xr:uid="{00000000-0005-0000-0000-0000D8380000}"/>
    <cellStyle name="Normal 15 2 2 3 5 2" xfId="48385" xr:uid="{00000000-0005-0000-0000-0000D9380000}"/>
    <cellStyle name="Normal 15 2 2 3 5 3" xfId="32285" xr:uid="{00000000-0005-0000-0000-0000DA380000}"/>
    <cellStyle name="Normal 15 2 2 3 5 4" xfId="22716" xr:uid="{00000000-0005-0000-0000-0000DB380000}"/>
    <cellStyle name="Normal 15 2 2 3 6" xfId="4039" xr:uid="{00000000-0005-0000-0000-0000DC380000}"/>
    <cellStyle name="Normal 15 2 2 3 6 2" xfId="51880" xr:uid="{00000000-0005-0000-0000-0000DD380000}"/>
    <cellStyle name="Normal 15 2 2 3 6 3" xfId="35780" xr:uid="{00000000-0005-0000-0000-0000DE380000}"/>
    <cellStyle name="Normal 15 2 2 3 6 4" xfId="16644" xr:uid="{00000000-0005-0000-0000-0000DF380000}"/>
    <cellStyle name="Normal 15 2 2 3 7" xfId="42313" xr:uid="{00000000-0005-0000-0000-0000E0380000}"/>
    <cellStyle name="Normal 15 2 2 3 8" xfId="26213" xr:uid="{00000000-0005-0000-0000-0000E1380000}"/>
    <cellStyle name="Normal 15 2 2 3 9" xfId="13149" xr:uid="{00000000-0005-0000-0000-0000E2380000}"/>
    <cellStyle name="Normal 15 2 2 4" xfId="577" xr:uid="{00000000-0005-0000-0000-0000E3380000}"/>
    <cellStyle name="Normal 15 2 2 4 2" xfId="2606" xr:uid="{00000000-0005-0000-0000-0000E4380000}"/>
    <cellStyle name="Normal 15 2 2 4 2 2" xfId="9138" xr:uid="{00000000-0005-0000-0000-0000E5380000}"/>
    <cellStyle name="Normal 15 2 2 4 2 2 2" xfId="40879" xr:uid="{00000000-0005-0000-0000-0000E6380000}"/>
    <cellStyle name="Normal 15 2 2 4 2 2 2 2" xfId="56979" xr:uid="{00000000-0005-0000-0000-0000E7380000}"/>
    <cellStyle name="Normal 15 2 2 4 2 2 3" xfId="47412" xr:uid="{00000000-0005-0000-0000-0000E8380000}"/>
    <cellStyle name="Normal 15 2 2 4 2 2 4" xfId="31312" xr:uid="{00000000-0005-0000-0000-0000E9380000}"/>
    <cellStyle name="Normal 15 2 2 4 2 2 5" xfId="21743" xr:uid="{00000000-0005-0000-0000-0000EA380000}"/>
    <cellStyle name="Normal 15 2 2 4 2 3" xfId="12174" xr:uid="{00000000-0005-0000-0000-0000EB380000}"/>
    <cellStyle name="Normal 15 2 2 4 2 3 2" xfId="50448" xr:uid="{00000000-0005-0000-0000-0000EC380000}"/>
    <cellStyle name="Normal 15 2 2 4 2 3 3" xfId="34348" xr:uid="{00000000-0005-0000-0000-0000ED380000}"/>
    <cellStyle name="Normal 15 2 2 4 2 3 4" xfId="24779" xr:uid="{00000000-0005-0000-0000-0000EE380000}"/>
    <cellStyle name="Normal 15 2 2 4 2 4" xfId="6102" xr:uid="{00000000-0005-0000-0000-0000EF380000}"/>
    <cellStyle name="Normal 15 2 2 4 2 4 2" xfId="53943" xr:uid="{00000000-0005-0000-0000-0000F0380000}"/>
    <cellStyle name="Normal 15 2 2 4 2 4 3" xfId="37843" xr:uid="{00000000-0005-0000-0000-0000F1380000}"/>
    <cellStyle name="Normal 15 2 2 4 2 4 4" xfId="18707" xr:uid="{00000000-0005-0000-0000-0000F2380000}"/>
    <cellStyle name="Normal 15 2 2 4 2 5" xfId="44376" xr:uid="{00000000-0005-0000-0000-0000F3380000}"/>
    <cellStyle name="Normal 15 2 2 4 2 6" xfId="28276" xr:uid="{00000000-0005-0000-0000-0000F4380000}"/>
    <cellStyle name="Normal 15 2 2 4 2 7" xfId="15212" xr:uid="{00000000-0005-0000-0000-0000F5380000}"/>
    <cellStyle name="Normal 15 2 2 4 3" xfId="1374" xr:uid="{00000000-0005-0000-0000-0000F6380000}"/>
    <cellStyle name="Normal 15 2 2 4 3 2" xfId="7908" xr:uid="{00000000-0005-0000-0000-0000F7380000}"/>
    <cellStyle name="Normal 15 2 2 4 3 2 2" xfId="39649" xr:uid="{00000000-0005-0000-0000-0000F8380000}"/>
    <cellStyle name="Normal 15 2 2 4 3 2 2 2" xfId="55749" xr:uid="{00000000-0005-0000-0000-0000F9380000}"/>
    <cellStyle name="Normal 15 2 2 4 3 2 3" xfId="46182" xr:uid="{00000000-0005-0000-0000-0000FA380000}"/>
    <cellStyle name="Normal 15 2 2 4 3 2 4" xfId="30082" xr:uid="{00000000-0005-0000-0000-0000FB380000}"/>
    <cellStyle name="Normal 15 2 2 4 3 2 5" xfId="20513" xr:uid="{00000000-0005-0000-0000-0000FC380000}"/>
    <cellStyle name="Normal 15 2 2 4 3 3" xfId="10944" xr:uid="{00000000-0005-0000-0000-0000FD380000}"/>
    <cellStyle name="Normal 15 2 2 4 3 3 2" xfId="49218" xr:uid="{00000000-0005-0000-0000-0000FE380000}"/>
    <cellStyle name="Normal 15 2 2 4 3 3 3" xfId="33118" xr:uid="{00000000-0005-0000-0000-0000FF380000}"/>
    <cellStyle name="Normal 15 2 2 4 3 3 4" xfId="23549" xr:uid="{00000000-0005-0000-0000-000000390000}"/>
    <cellStyle name="Normal 15 2 2 4 3 4" xfId="4872" xr:uid="{00000000-0005-0000-0000-000001390000}"/>
    <cellStyle name="Normal 15 2 2 4 3 4 2" xfId="52713" xr:uid="{00000000-0005-0000-0000-000002390000}"/>
    <cellStyle name="Normal 15 2 2 4 3 4 3" xfId="36613" xr:uid="{00000000-0005-0000-0000-000003390000}"/>
    <cellStyle name="Normal 15 2 2 4 3 4 4" xfId="17477" xr:uid="{00000000-0005-0000-0000-000004390000}"/>
    <cellStyle name="Normal 15 2 2 4 3 5" xfId="43146" xr:uid="{00000000-0005-0000-0000-000005390000}"/>
    <cellStyle name="Normal 15 2 2 4 3 6" xfId="27046" xr:uid="{00000000-0005-0000-0000-000006390000}"/>
    <cellStyle name="Normal 15 2 2 4 3 7" xfId="13982" xr:uid="{00000000-0005-0000-0000-000007390000}"/>
    <cellStyle name="Normal 15 2 2 4 4" xfId="6898" xr:uid="{00000000-0005-0000-0000-000008390000}"/>
    <cellStyle name="Normal 15 2 2 4 4 2" xfId="38639" xr:uid="{00000000-0005-0000-0000-000009390000}"/>
    <cellStyle name="Normal 15 2 2 4 4 2 2" xfId="54739" xr:uid="{00000000-0005-0000-0000-00000A390000}"/>
    <cellStyle name="Normal 15 2 2 4 4 3" xfId="45172" xr:uid="{00000000-0005-0000-0000-00000B390000}"/>
    <cellStyle name="Normal 15 2 2 4 4 4" xfId="29072" xr:uid="{00000000-0005-0000-0000-00000C390000}"/>
    <cellStyle name="Normal 15 2 2 4 4 5" xfId="19503" xr:uid="{00000000-0005-0000-0000-00000D390000}"/>
    <cellStyle name="Normal 15 2 2 4 5" xfId="9934" xr:uid="{00000000-0005-0000-0000-00000E390000}"/>
    <cellStyle name="Normal 15 2 2 4 5 2" xfId="48208" xr:uid="{00000000-0005-0000-0000-00000F390000}"/>
    <cellStyle name="Normal 15 2 2 4 5 3" xfId="32108" xr:uid="{00000000-0005-0000-0000-000010390000}"/>
    <cellStyle name="Normal 15 2 2 4 5 4" xfId="22539" xr:uid="{00000000-0005-0000-0000-000011390000}"/>
    <cellStyle name="Normal 15 2 2 4 6" xfId="3862" xr:uid="{00000000-0005-0000-0000-000012390000}"/>
    <cellStyle name="Normal 15 2 2 4 6 2" xfId="51703" xr:uid="{00000000-0005-0000-0000-000013390000}"/>
    <cellStyle name="Normal 15 2 2 4 6 3" xfId="35603" xr:uid="{00000000-0005-0000-0000-000014390000}"/>
    <cellStyle name="Normal 15 2 2 4 6 4" xfId="16467" xr:uid="{00000000-0005-0000-0000-000015390000}"/>
    <cellStyle name="Normal 15 2 2 4 7" xfId="42136" xr:uid="{00000000-0005-0000-0000-000016390000}"/>
    <cellStyle name="Normal 15 2 2 4 8" xfId="26036" xr:uid="{00000000-0005-0000-0000-000017390000}"/>
    <cellStyle name="Normal 15 2 2 4 9" xfId="12972" xr:uid="{00000000-0005-0000-0000-000018390000}"/>
    <cellStyle name="Normal 15 2 2 5" xfId="800" xr:uid="{00000000-0005-0000-0000-000019390000}"/>
    <cellStyle name="Normal 15 2 2 5 2" xfId="2828" xr:uid="{00000000-0005-0000-0000-00001A390000}"/>
    <cellStyle name="Normal 15 2 2 5 2 2" xfId="9360" xr:uid="{00000000-0005-0000-0000-00001B390000}"/>
    <cellStyle name="Normal 15 2 2 5 2 2 2" xfId="41101" xr:uid="{00000000-0005-0000-0000-00001C390000}"/>
    <cellStyle name="Normal 15 2 2 5 2 2 2 2" xfId="57201" xr:uid="{00000000-0005-0000-0000-00001D390000}"/>
    <cellStyle name="Normal 15 2 2 5 2 2 3" xfId="47634" xr:uid="{00000000-0005-0000-0000-00001E390000}"/>
    <cellStyle name="Normal 15 2 2 5 2 2 4" xfId="31534" xr:uid="{00000000-0005-0000-0000-00001F390000}"/>
    <cellStyle name="Normal 15 2 2 5 2 2 5" xfId="21965" xr:uid="{00000000-0005-0000-0000-000020390000}"/>
    <cellStyle name="Normal 15 2 2 5 2 3" xfId="12396" xr:uid="{00000000-0005-0000-0000-000021390000}"/>
    <cellStyle name="Normal 15 2 2 5 2 3 2" xfId="50670" xr:uid="{00000000-0005-0000-0000-000022390000}"/>
    <cellStyle name="Normal 15 2 2 5 2 3 3" xfId="34570" xr:uid="{00000000-0005-0000-0000-000023390000}"/>
    <cellStyle name="Normal 15 2 2 5 2 3 4" xfId="25001" xr:uid="{00000000-0005-0000-0000-000024390000}"/>
    <cellStyle name="Normal 15 2 2 5 2 4" xfId="6324" xr:uid="{00000000-0005-0000-0000-000025390000}"/>
    <cellStyle name="Normal 15 2 2 5 2 4 2" xfId="54165" xr:uid="{00000000-0005-0000-0000-000026390000}"/>
    <cellStyle name="Normal 15 2 2 5 2 4 3" xfId="38065" xr:uid="{00000000-0005-0000-0000-000027390000}"/>
    <cellStyle name="Normal 15 2 2 5 2 4 4" xfId="18929" xr:uid="{00000000-0005-0000-0000-000028390000}"/>
    <cellStyle name="Normal 15 2 2 5 2 5" xfId="44598" xr:uid="{00000000-0005-0000-0000-000029390000}"/>
    <cellStyle name="Normal 15 2 2 5 2 6" xfId="28498" xr:uid="{00000000-0005-0000-0000-00002A390000}"/>
    <cellStyle name="Normal 15 2 2 5 2 7" xfId="15434" xr:uid="{00000000-0005-0000-0000-00002B390000}"/>
    <cellStyle name="Normal 15 2 2 5 3" xfId="1810" xr:uid="{00000000-0005-0000-0000-00002C390000}"/>
    <cellStyle name="Normal 15 2 2 5 3 2" xfId="8344" xr:uid="{00000000-0005-0000-0000-00002D390000}"/>
    <cellStyle name="Normal 15 2 2 5 3 2 2" xfId="40085" xr:uid="{00000000-0005-0000-0000-00002E390000}"/>
    <cellStyle name="Normal 15 2 2 5 3 2 2 2" xfId="56185" xr:uid="{00000000-0005-0000-0000-00002F390000}"/>
    <cellStyle name="Normal 15 2 2 5 3 2 3" xfId="46618" xr:uid="{00000000-0005-0000-0000-000030390000}"/>
    <cellStyle name="Normal 15 2 2 5 3 2 4" xfId="30518" xr:uid="{00000000-0005-0000-0000-000031390000}"/>
    <cellStyle name="Normal 15 2 2 5 3 2 5" xfId="20949" xr:uid="{00000000-0005-0000-0000-000032390000}"/>
    <cellStyle name="Normal 15 2 2 5 3 3" xfId="11380" xr:uid="{00000000-0005-0000-0000-000033390000}"/>
    <cellStyle name="Normal 15 2 2 5 3 3 2" xfId="49654" xr:uid="{00000000-0005-0000-0000-000034390000}"/>
    <cellStyle name="Normal 15 2 2 5 3 3 3" xfId="33554" xr:uid="{00000000-0005-0000-0000-000035390000}"/>
    <cellStyle name="Normal 15 2 2 5 3 3 4" xfId="23985" xr:uid="{00000000-0005-0000-0000-000036390000}"/>
    <cellStyle name="Normal 15 2 2 5 3 4" xfId="5308" xr:uid="{00000000-0005-0000-0000-000037390000}"/>
    <cellStyle name="Normal 15 2 2 5 3 4 2" xfId="53149" xr:uid="{00000000-0005-0000-0000-000038390000}"/>
    <cellStyle name="Normal 15 2 2 5 3 4 3" xfId="37049" xr:uid="{00000000-0005-0000-0000-000039390000}"/>
    <cellStyle name="Normal 15 2 2 5 3 4 4" xfId="17913" xr:uid="{00000000-0005-0000-0000-00003A390000}"/>
    <cellStyle name="Normal 15 2 2 5 3 5" xfId="43582" xr:uid="{00000000-0005-0000-0000-00003B390000}"/>
    <cellStyle name="Normal 15 2 2 5 3 6" xfId="27482" xr:uid="{00000000-0005-0000-0000-00003C390000}"/>
    <cellStyle name="Normal 15 2 2 5 3 7" xfId="14418" xr:uid="{00000000-0005-0000-0000-00003D390000}"/>
    <cellStyle name="Normal 15 2 2 5 4" xfId="7334" xr:uid="{00000000-0005-0000-0000-00003E390000}"/>
    <cellStyle name="Normal 15 2 2 5 4 2" xfId="39075" xr:uid="{00000000-0005-0000-0000-00003F390000}"/>
    <cellStyle name="Normal 15 2 2 5 4 2 2" xfId="55175" xr:uid="{00000000-0005-0000-0000-000040390000}"/>
    <cellStyle name="Normal 15 2 2 5 4 3" xfId="45608" xr:uid="{00000000-0005-0000-0000-000041390000}"/>
    <cellStyle name="Normal 15 2 2 5 4 4" xfId="29508" xr:uid="{00000000-0005-0000-0000-000042390000}"/>
    <cellStyle name="Normal 15 2 2 5 4 5" xfId="19939" xr:uid="{00000000-0005-0000-0000-000043390000}"/>
    <cellStyle name="Normal 15 2 2 5 5" xfId="10370" xr:uid="{00000000-0005-0000-0000-000044390000}"/>
    <cellStyle name="Normal 15 2 2 5 5 2" xfId="48644" xr:uid="{00000000-0005-0000-0000-000045390000}"/>
    <cellStyle name="Normal 15 2 2 5 5 3" xfId="32544" xr:uid="{00000000-0005-0000-0000-000046390000}"/>
    <cellStyle name="Normal 15 2 2 5 5 4" xfId="22975" xr:uid="{00000000-0005-0000-0000-000047390000}"/>
    <cellStyle name="Normal 15 2 2 5 6" xfId="4298" xr:uid="{00000000-0005-0000-0000-000048390000}"/>
    <cellStyle name="Normal 15 2 2 5 6 2" xfId="52139" xr:uid="{00000000-0005-0000-0000-000049390000}"/>
    <cellStyle name="Normal 15 2 2 5 6 3" xfId="36039" xr:uid="{00000000-0005-0000-0000-00004A390000}"/>
    <cellStyle name="Normal 15 2 2 5 6 4" xfId="16903" xr:uid="{00000000-0005-0000-0000-00004B390000}"/>
    <cellStyle name="Normal 15 2 2 5 7" xfId="42572" xr:uid="{00000000-0005-0000-0000-00004C390000}"/>
    <cellStyle name="Normal 15 2 2 5 8" xfId="26472" xr:uid="{00000000-0005-0000-0000-00004D390000}"/>
    <cellStyle name="Normal 15 2 2 5 9" xfId="13408" xr:uid="{00000000-0005-0000-0000-00004E390000}"/>
    <cellStyle name="Normal 15 2 2 6" xfId="2162" xr:uid="{00000000-0005-0000-0000-00004F390000}"/>
    <cellStyle name="Normal 15 2 2 6 2" xfId="8696" xr:uid="{00000000-0005-0000-0000-000050390000}"/>
    <cellStyle name="Normal 15 2 2 6 2 2" xfId="40437" xr:uid="{00000000-0005-0000-0000-000051390000}"/>
    <cellStyle name="Normal 15 2 2 6 2 2 2" xfId="56537" xr:uid="{00000000-0005-0000-0000-000052390000}"/>
    <cellStyle name="Normal 15 2 2 6 2 3" xfId="46970" xr:uid="{00000000-0005-0000-0000-000053390000}"/>
    <cellStyle name="Normal 15 2 2 6 2 4" xfId="30870" xr:uid="{00000000-0005-0000-0000-000054390000}"/>
    <cellStyle name="Normal 15 2 2 6 2 5" xfId="21301" xr:uid="{00000000-0005-0000-0000-000055390000}"/>
    <cellStyle name="Normal 15 2 2 6 3" xfId="11732" xr:uid="{00000000-0005-0000-0000-000056390000}"/>
    <cellStyle name="Normal 15 2 2 6 3 2" xfId="50006" xr:uid="{00000000-0005-0000-0000-000057390000}"/>
    <cellStyle name="Normal 15 2 2 6 3 3" xfId="33906" xr:uid="{00000000-0005-0000-0000-000058390000}"/>
    <cellStyle name="Normal 15 2 2 6 3 4" xfId="24337" xr:uid="{00000000-0005-0000-0000-000059390000}"/>
    <cellStyle name="Normal 15 2 2 6 4" xfId="5660" xr:uid="{00000000-0005-0000-0000-00005A390000}"/>
    <cellStyle name="Normal 15 2 2 6 4 2" xfId="53501" xr:uid="{00000000-0005-0000-0000-00005B390000}"/>
    <cellStyle name="Normal 15 2 2 6 4 3" xfId="37401" xr:uid="{00000000-0005-0000-0000-00005C390000}"/>
    <cellStyle name="Normal 15 2 2 6 4 4" xfId="18265" xr:uid="{00000000-0005-0000-0000-00005D390000}"/>
    <cellStyle name="Normal 15 2 2 6 5" xfId="43934" xr:uid="{00000000-0005-0000-0000-00005E390000}"/>
    <cellStyle name="Normal 15 2 2 6 6" xfId="27834" xr:uid="{00000000-0005-0000-0000-00005F390000}"/>
    <cellStyle name="Normal 15 2 2 6 7" xfId="14770" xr:uid="{00000000-0005-0000-0000-000060390000}"/>
    <cellStyle name="Normal 15 2 2 7" xfId="1127" xr:uid="{00000000-0005-0000-0000-000061390000}"/>
    <cellStyle name="Normal 15 2 2 7 2" xfId="7661" xr:uid="{00000000-0005-0000-0000-000062390000}"/>
    <cellStyle name="Normal 15 2 2 7 2 2" xfId="39402" xr:uid="{00000000-0005-0000-0000-000063390000}"/>
    <cellStyle name="Normal 15 2 2 7 2 2 2" xfId="55502" xr:uid="{00000000-0005-0000-0000-000064390000}"/>
    <cellStyle name="Normal 15 2 2 7 2 3" xfId="45935" xr:uid="{00000000-0005-0000-0000-000065390000}"/>
    <cellStyle name="Normal 15 2 2 7 2 4" xfId="29835" xr:uid="{00000000-0005-0000-0000-000066390000}"/>
    <cellStyle name="Normal 15 2 2 7 2 5" xfId="20266" xr:uid="{00000000-0005-0000-0000-000067390000}"/>
    <cellStyle name="Normal 15 2 2 7 3" xfId="10697" xr:uid="{00000000-0005-0000-0000-000068390000}"/>
    <cellStyle name="Normal 15 2 2 7 3 2" xfId="48971" xr:uid="{00000000-0005-0000-0000-000069390000}"/>
    <cellStyle name="Normal 15 2 2 7 3 3" xfId="32871" xr:uid="{00000000-0005-0000-0000-00006A390000}"/>
    <cellStyle name="Normal 15 2 2 7 3 4" xfId="23302" xr:uid="{00000000-0005-0000-0000-00006B390000}"/>
    <cellStyle name="Normal 15 2 2 7 4" xfId="4625" xr:uid="{00000000-0005-0000-0000-00006C390000}"/>
    <cellStyle name="Normal 15 2 2 7 4 2" xfId="52466" xr:uid="{00000000-0005-0000-0000-00006D390000}"/>
    <cellStyle name="Normal 15 2 2 7 4 3" xfId="36366" xr:uid="{00000000-0005-0000-0000-00006E390000}"/>
    <cellStyle name="Normal 15 2 2 7 4 4" xfId="17230" xr:uid="{00000000-0005-0000-0000-00006F390000}"/>
    <cellStyle name="Normal 15 2 2 7 5" xfId="42899" xr:uid="{00000000-0005-0000-0000-000070390000}"/>
    <cellStyle name="Normal 15 2 2 7 6" xfId="26799" xr:uid="{00000000-0005-0000-0000-000071390000}"/>
    <cellStyle name="Normal 15 2 2 7 7" xfId="13735" xr:uid="{00000000-0005-0000-0000-000072390000}"/>
    <cellStyle name="Normal 15 2 2 8" xfId="3615" xr:uid="{00000000-0005-0000-0000-000073390000}"/>
    <cellStyle name="Normal 15 2 2 8 2" xfId="35356" xr:uid="{00000000-0005-0000-0000-000074390000}"/>
    <cellStyle name="Normal 15 2 2 8 2 2" xfId="51456" xr:uid="{00000000-0005-0000-0000-000075390000}"/>
    <cellStyle name="Normal 15 2 2 8 3" xfId="41889" xr:uid="{00000000-0005-0000-0000-000076390000}"/>
    <cellStyle name="Normal 15 2 2 8 4" xfId="25789" xr:uid="{00000000-0005-0000-0000-000077390000}"/>
    <cellStyle name="Normal 15 2 2 8 5" xfId="16220" xr:uid="{00000000-0005-0000-0000-000078390000}"/>
    <cellStyle name="Normal 15 2 2 9" xfId="6651" xr:uid="{00000000-0005-0000-0000-000079390000}"/>
    <cellStyle name="Normal 15 2 2 9 2" xfId="38392" xr:uid="{00000000-0005-0000-0000-00007A390000}"/>
    <cellStyle name="Normal 15 2 2 9 2 2" xfId="54492" xr:uid="{00000000-0005-0000-0000-00007B390000}"/>
    <cellStyle name="Normal 15 2 2 9 3" xfId="44925" xr:uid="{00000000-0005-0000-0000-00007C390000}"/>
    <cellStyle name="Normal 15 2 2 9 4" xfId="28825" xr:uid="{00000000-0005-0000-0000-00007D390000}"/>
    <cellStyle name="Normal 15 2 2 9 5" xfId="19256" xr:uid="{00000000-0005-0000-0000-00007E390000}"/>
    <cellStyle name="Normal 15 2 3" xfId="103" xr:uid="{00000000-0005-0000-0000-00007F390000}"/>
    <cellStyle name="Normal 15 2 3 10" xfId="41621" xr:uid="{00000000-0005-0000-0000-000080390000}"/>
    <cellStyle name="Normal 15 2 3 11" xfId="25521" xr:uid="{00000000-0005-0000-0000-000081390000}"/>
    <cellStyle name="Normal 15 2 3 12" xfId="12936" xr:uid="{00000000-0005-0000-0000-000082390000}"/>
    <cellStyle name="Normal 15 2 3 2" xfId="284" xr:uid="{00000000-0005-0000-0000-000083390000}"/>
    <cellStyle name="Normal 15 2 3 2 2" xfId="2303" xr:uid="{00000000-0005-0000-0000-000084390000}"/>
    <cellStyle name="Normal 15 2 3 2 2 2" xfId="8837" xr:uid="{00000000-0005-0000-0000-000085390000}"/>
    <cellStyle name="Normal 15 2 3 2 2 2 2" xfId="40578" xr:uid="{00000000-0005-0000-0000-000086390000}"/>
    <cellStyle name="Normal 15 2 3 2 2 2 2 2" xfId="56678" xr:uid="{00000000-0005-0000-0000-000087390000}"/>
    <cellStyle name="Normal 15 2 3 2 2 2 3" xfId="47111" xr:uid="{00000000-0005-0000-0000-000088390000}"/>
    <cellStyle name="Normal 15 2 3 2 2 2 4" xfId="31011" xr:uid="{00000000-0005-0000-0000-000089390000}"/>
    <cellStyle name="Normal 15 2 3 2 2 2 5" xfId="21442" xr:uid="{00000000-0005-0000-0000-00008A390000}"/>
    <cellStyle name="Normal 15 2 3 2 2 3" xfId="11873" xr:uid="{00000000-0005-0000-0000-00008B390000}"/>
    <cellStyle name="Normal 15 2 3 2 2 3 2" xfId="50147" xr:uid="{00000000-0005-0000-0000-00008C390000}"/>
    <cellStyle name="Normal 15 2 3 2 2 3 3" xfId="34047" xr:uid="{00000000-0005-0000-0000-00008D390000}"/>
    <cellStyle name="Normal 15 2 3 2 2 3 4" xfId="24478" xr:uid="{00000000-0005-0000-0000-00008E390000}"/>
    <cellStyle name="Normal 15 2 3 2 2 4" xfId="5801" xr:uid="{00000000-0005-0000-0000-00008F390000}"/>
    <cellStyle name="Normal 15 2 3 2 2 4 2" xfId="53642" xr:uid="{00000000-0005-0000-0000-000090390000}"/>
    <cellStyle name="Normal 15 2 3 2 2 4 3" xfId="37542" xr:uid="{00000000-0005-0000-0000-000091390000}"/>
    <cellStyle name="Normal 15 2 3 2 2 4 4" xfId="18406" xr:uid="{00000000-0005-0000-0000-000092390000}"/>
    <cellStyle name="Normal 15 2 3 2 2 5" xfId="44075" xr:uid="{00000000-0005-0000-0000-000093390000}"/>
    <cellStyle name="Normal 15 2 3 2 2 6" xfId="27975" xr:uid="{00000000-0005-0000-0000-000094390000}"/>
    <cellStyle name="Normal 15 2 3 2 2 7" xfId="14911" xr:uid="{00000000-0005-0000-0000-000095390000}"/>
    <cellStyle name="Normal 15 2 3 2 3" xfId="1515" xr:uid="{00000000-0005-0000-0000-000096390000}"/>
    <cellStyle name="Normal 15 2 3 2 3 2" xfId="8049" xr:uid="{00000000-0005-0000-0000-000097390000}"/>
    <cellStyle name="Normal 15 2 3 2 3 2 2" xfId="39790" xr:uid="{00000000-0005-0000-0000-000098390000}"/>
    <cellStyle name="Normal 15 2 3 2 3 2 2 2" xfId="55890" xr:uid="{00000000-0005-0000-0000-000099390000}"/>
    <cellStyle name="Normal 15 2 3 2 3 2 3" xfId="46323" xr:uid="{00000000-0005-0000-0000-00009A390000}"/>
    <cellStyle name="Normal 15 2 3 2 3 2 4" xfId="30223" xr:uid="{00000000-0005-0000-0000-00009B390000}"/>
    <cellStyle name="Normal 15 2 3 2 3 2 5" xfId="20654" xr:uid="{00000000-0005-0000-0000-00009C390000}"/>
    <cellStyle name="Normal 15 2 3 2 3 3" xfId="11085" xr:uid="{00000000-0005-0000-0000-00009D390000}"/>
    <cellStyle name="Normal 15 2 3 2 3 3 2" xfId="49359" xr:uid="{00000000-0005-0000-0000-00009E390000}"/>
    <cellStyle name="Normal 15 2 3 2 3 3 3" xfId="33259" xr:uid="{00000000-0005-0000-0000-00009F390000}"/>
    <cellStyle name="Normal 15 2 3 2 3 3 4" xfId="23690" xr:uid="{00000000-0005-0000-0000-0000A0390000}"/>
    <cellStyle name="Normal 15 2 3 2 3 4" xfId="5013" xr:uid="{00000000-0005-0000-0000-0000A1390000}"/>
    <cellStyle name="Normal 15 2 3 2 3 4 2" xfId="52854" xr:uid="{00000000-0005-0000-0000-0000A2390000}"/>
    <cellStyle name="Normal 15 2 3 2 3 4 3" xfId="36754" xr:uid="{00000000-0005-0000-0000-0000A3390000}"/>
    <cellStyle name="Normal 15 2 3 2 3 4 4" xfId="17618" xr:uid="{00000000-0005-0000-0000-0000A4390000}"/>
    <cellStyle name="Normal 15 2 3 2 3 5" xfId="43287" xr:uid="{00000000-0005-0000-0000-0000A5390000}"/>
    <cellStyle name="Normal 15 2 3 2 3 6" xfId="27187" xr:uid="{00000000-0005-0000-0000-0000A6390000}"/>
    <cellStyle name="Normal 15 2 3 2 3 7" xfId="14123" xr:uid="{00000000-0005-0000-0000-0000A7390000}"/>
    <cellStyle name="Normal 15 2 3 2 4" xfId="7039" xr:uid="{00000000-0005-0000-0000-0000A8390000}"/>
    <cellStyle name="Normal 15 2 3 2 4 2" xfId="38780" xr:uid="{00000000-0005-0000-0000-0000A9390000}"/>
    <cellStyle name="Normal 15 2 3 2 4 2 2" xfId="54880" xr:uid="{00000000-0005-0000-0000-0000AA390000}"/>
    <cellStyle name="Normal 15 2 3 2 4 3" xfId="45313" xr:uid="{00000000-0005-0000-0000-0000AB390000}"/>
    <cellStyle name="Normal 15 2 3 2 4 4" xfId="29213" xr:uid="{00000000-0005-0000-0000-0000AC390000}"/>
    <cellStyle name="Normal 15 2 3 2 4 5" xfId="19644" xr:uid="{00000000-0005-0000-0000-0000AD390000}"/>
    <cellStyle name="Normal 15 2 3 2 5" xfId="10075" xr:uid="{00000000-0005-0000-0000-0000AE390000}"/>
    <cellStyle name="Normal 15 2 3 2 5 2" xfId="48349" xr:uid="{00000000-0005-0000-0000-0000AF390000}"/>
    <cellStyle name="Normal 15 2 3 2 5 3" xfId="32249" xr:uid="{00000000-0005-0000-0000-0000B0390000}"/>
    <cellStyle name="Normal 15 2 3 2 5 4" xfId="22680" xr:uid="{00000000-0005-0000-0000-0000B1390000}"/>
    <cellStyle name="Normal 15 2 3 2 6" xfId="4003" xr:uid="{00000000-0005-0000-0000-0000B2390000}"/>
    <cellStyle name="Normal 15 2 3 2 6 2" xfId="51844" xr:uid="{00000000-0005-0000-0000-0000B3390000}"/>
    <cellStyle name="Normal 15 2 3 2 6 3" xfId="35744" xr:uid="{00000000-0005-0000-0000-0000B4390000}"/>
    <cellStyle name="Normal 15 2 3 2 6 4" xfId="16608" xr:uid="{00000000-0005-0000-0000-0000B5390000}"/>
    <cellStyle name="Normal 15 2 3 2 7" xfId="42277" xr:uid="{00000000-0005-0000-0000-0000B6390000}"/>
    <cellStyle name="Normal 15 2 3 2 8" xfId="26177" xr:uid="{00000000-0005-0000-0000-0000B7390000}"/>
    <cellStyle name="Normal 15 2 3 2 9" xfId="13113" xr:uid="{00000000-0005-0000-0000-0000B8390000}"/>
    <cellStyle name="Normal 15 2 3 3" xfId="976" xr:uid="{00000000-0005-0000-0000-0000B9390000}"/>
    <cellStyle name="Normal 15 2 3 3 2" xfId="3004" xr:uid="{00000000-0005-0000-0000-0000BA390000}"/>
    <cellStyle name="Normal 15 2 3 3 2 2" xfId="9536" xr:uid="{00000000-0005-0000-0000-0000BB390000}"/>
    <cellStyle name="Normal 15 2 3 3 2 2 2" xfId="41277" xr:uid="{00000000-0005-0000-0000-0000BC390000}"/>
    <cellStyle name="Normal 15 2 3 3 2 2 2 2" xfId="57377" xr:uid="{00000000-0005-0000-0000-0000BD390000}"/>
    <cellStyle name="Normal 15 2 3 3 2 2 3" xfId="47810" xr:uid="{00000000-0005-0000-0000-0000BE390000}"/>
    <cellStyle name="Normal 15 2 3 3 2 2 4" xfId="31710" xr:uid="{00000000-0005-0000-0000-0000BF390000}"/>
    <cellStyle name="Normal 15 2 3 3 2 2 5" xfId="22141" xr:uid="{00000000-0005-0000-0000-0000C0390000}"/>
    <cellStyle name="Normal 15 2 3 3 2 3" xfId="12572" xr:uid="{00000000-0005-0000-0000-0000C1390000}"/>
    <cellStyle name="Normal 15 2 3 3 2 3 2" xfId="50846" xr:uid="{00000000-0005-0000-0000-0000C2390000}"/>
    <cellStyle name="Normal 15 2 3 3 2 3 3" xfId="34746" xr:uid="{00000000-0005-0000-0000-0000C3390000}"/>
    <cellStyle name="Normal 15 2 3 3 2 3 4" xfId="25177" xr:uid="{00000000-0005-0000-0000-0000C4390000}"/>
    <cellStyle name="Normal 15 2 3 3 2 4" xfId="6500" xr:uid="{00000000-0005-0000-0000-0000C5390000}"/>
    <cellStyle name="Normal 15 2 3 3 2 4 2" xfId="54341" xr:uid="{00000000-0005-0000-0000-0000C6390000}"/>
    <cellStyle name="Normal 15 2 3 3 2 4 3" xfId="38241" xr:uid="{00000000-0005-0000-0000-0000C7390000}"/>
    <cellStyle name="Normal 15 2 3 3 2 4 4" xfId="19105" xr:uid="{00000000-0005-0000-0000-0000C8390000}"/>
    <cellStyle name="Normal 15 2 3 3 2 5" xfId="44774" xr:uid="{00000000-0005-0000-0000-0000C9390000}"/>
    <cellStyle name="Normal 15 2 3 3 2 6" xfId="28674" xr:uid="{00000000-0005-0000-0000-0000CA390000}"/>
    <cellStyle name="Normal 15 2 3 3 2 7" xfId="15610" xr:uid="{00000000-0005-0000-0000-0000CB390000}"/>
    <cellStyle name="Normal 15 2 3 3 3" xfId="1986" xr:uid="{00000000-0005-0000-0000-0000CC390000}"/>
    <cellStyle name="Normal 15 2 3 3 3 2" xfId="8520" xr:uid="{00000000-0005-0000-0000-0000CD390000}"/>
    <cellStyle name="Normal 15 2 3 3 3 2 2" xfId="40261" xr:uid="{00000000-0005-0000-0000-0000CE390000}"/>
    <cellStyle name="Normal 15 2 3 3 3 2 2 2" xfId="56361" xr:uid="{00000000-0005-0000-0000-0000CF390000}"/>
    <cellStyle name="Normal 15 2 3 3 3 2 3" xfId="46794" xr:uid="{00000000-0005-0000-0000-0000D0390000}"/>
    <cellStyle name="Normal 15 2 3 3 3 2 4" xfId="30694" xr:uid="{00000000-0005-0000-0000-0000D1390000}"/>
    <cellStyle name="Normal 15 2 3 3 3 2 5" xfId="21125" xr:uid="{00000000-0005-0000-0000-0000D2390000}"/>
    <cellStyle name="Normal 15 2 3 3 3 3" xfId="11556" xr:uid="{00000000-0005-0000-0000-0000D3390000}"/>
    <cellStyle name="Normal 15 2 3 3 3 3 2" xfId="49830" xr:uid="{00000000-0005-0000-0000-0000D4390000}"/>
    <cellStyle name="Normal 15 2 3 3 3 3 3" xfId="33730" xr:uid="{00000000-0005-0000-0000-0000D5390000}"/>
    <cellStyle name="Normal 15 2 3 3 3 3 4" xfId="24161" xr:uid="{00000000-0005-0000-0000-0000D6390000}"/>
    <cellStyle name="Normal 15 2 3 3 3 4" xfId="5484" xr:uid="{00000000-0005-0000-0000-0000D7390000}"/>
    <cellStyle name="Normal 15 2 3 3 3 4 2" xfId="53325" xr:uid="{00000000-0005-0000-0000-0000D8390000}"/>
    <cellStyle name="Normal 15 2 3 3 3 4 3" xfId="37225" xr:uid="{00000000-0005-0000-0000-0000D9390000}"/>
    <cellStyle name="Normal 15 2 3 3 3 4 4" xfId="18089" xr:uid="{00000000-0005-0000-0000-0000DA390000}"/>
    <cellStyle name="Normal 15 2 3 3 3 5" xfId="43758" xr:uid="{00000000-0005-0000-0000-0000DB390000}"/>
    <cellStyle name="Normal 15 2 3 3 3 6" xfId="27658" xr:uid="{00000000-0005-0000-0000-0000DC390000}"/>
    <cellStyle name="Normal 15 2 3 3 3 7" xfId="14594" xr:uid="{00000000-0005-0000-0000-0000DD390000}"/>
    <cellStyle name="Normal 15 2 3 3 4" xfId="7510" xr:uid="{00000000-0005-0000-0000-0000DE390000}"/>
    <cellStyle name="Normal 15 2 3 3 4 2" xfId="39251" xr:uid="{00000000-0005-0000-0000-0000DF390000}"/>
    <cellStyle name="Normal 15 2 3 3 4 2 2" xfId="55351" xr:uid="{00000000-0005-0000-0000-0000E0390000}"/>
    <cellStyle name="Normal 15 2 3 3 4 3" xfId="45784" xr:uid="{00000000-0005-0000-0000-0000E1390000}"/>
    <cellStyle name="Normal 15 2 3 3 4 4" xfId="29684" xr:uid="{00000000-0005-0000-0000-0000E2390000}"/>
    <cellStyle name="Normal 15 2 3 3 4 5" xfId="20115" xr:uid="{00000000-0005-0000-0000-0000E3390000}"/>
    <cellStyle name="Normal 15 2 3 3 5" xfId="10546" xr:uid="{00000000-0005-0000-0000-0000E4390000}"/>
    <cellStyle name="Normal 15 2 3 3 5 2" xfId="48820" xr:uid="{00000000-0005-0000-0000-0000E5390000}"/>
    <cellStyle name="Normal 15 2 3 3 5 3" xfId="32720" xr:uid="{00000000-0005-0000-0000-0000E6390000}"/>
    <cellStyle name="Normal 15 2 3 3 5 4" xfId="23151" xr:uid="{00000000-0005-0000-0000-0000E7390000}"/>
    <cellStyle name="Normal 15 2 3 3 6" xfId="4474" xr:uid="{00000000-0005-0000-0000-0000E8390000}"/>
    <cellStyle name="Normal 15 2 3 3 6 2" xfId="52315" xr:uid="{00000000-0005-0000-0000-0000E9390000}"/>
    <cellStyle name="Normal 15 2 3 3 6 3" xfId="36215" xr:uid="{00000000-0005-0000-0000-0000EA390000}"/>
    <cellStyle name="Normal 15 2 3 3 6 4" xfId="17079" xr:uid="{00000000-0005-0000-0000-0000EB390000}"/>
    <cellStyle name="Normal 15 2 3 3 7" xfId="42748" xr:uid="{00000000-0005-0000-0000-0000EC390000}"/>
    <cellStyle name="Normal 15 2 3 3 8" xfId="26648" xr:uid="{00000000-0005-0000-0000-0000ED390000}"/>
    <cellStyle name="Normal 15 2 3 3 9" xfId="13584" xr:uid="{00000000-0005-0000-0000-0000EE390000}"/>
    <cellStyle name="Normal 15 2 3 4" xfId="2126" xr:uid="{00000000-0005-0000-0000-0000EF390000}"/>
    <cellStyle name="Normal 15 2 3 4 2" xfId="8660" xr:uid="{00000000-0005-0000-0000-0000F0390000}"/>
    <cellStyle name="Normal 15 2 3 4 2 2" xfId="40401" xr:uid="{00000000-0005-0000-0000-0000F1390000}"/>
    <cellStyle name="Normal 15 2 3 4 2 2 2" xfId="56501" xr:uid="{00000000-0005-0000-0000-0000F2390000}"/>
    <cellStyle name="Normal 15 2 3 4 2 3" xfId="46934" xr:uid="{00000000-0005-0000-0000-0000F3390000}"/>
    <cellStyle name="Normal 15 2 3 4 2 4" xfId="30834" xr:uid="{00000000-0005-0000-0000-0000F4390000}"/>
    <cellStyle name="Normal 15 2 3 4 2 5" xfId="21265" xr:uid="{00000000-0005-0000-0000-0000F5390000}"/>
    <cellStyle name="Normal 15 2 3 4 3" xfId="11696" xr:uid="{00000000-0005-0000-0000-0000F6390000}"/>
    <cellStyle name="Normal 15 2 3 4 3 2" xfId="49970" xr:uid="{00000000-0005-0000-0000-0000F7390000}"/>
    <cellStyle name="Normal 15 2 3 4 3 3" xfId="33870" xr:uid="{00000000-0005-0000-0000-0000F8390000}"/>
    <cellStyle name="Normal 15 2 3 4 3 4" xfId="24301" xr:uid="{00000000-0005-0000-0000-0000F9390000}"/>
    <cellStyle name="Normal 15 2 3 4 4" xfId="5624" xr:uid="{00000000-0005-0000-0000-0000FA390000}"/>
    <cellStyle name="Normal 15 2 3 4 4 2" xfId="53465" xr:uid="{00000000-0005-0000-0000-0000FB390000}"/>
    <cellStyle name="Normal 15 2 3 4 4 3" xfId="37365" xr:uid="{00000000-0005-0000-0000-0000FC390000}"/>
    <cellStyle name="Normal 15 2 3 4 4 4" xfId="18229" xr:uid="{00000000-0005-0000-0000-0000FD390000}"/>
    <cellStyle name="Normal 15 2 3 4 5" xfId="43898" xr:uid="{00000000-0005-0000-0000-0000FE390000}"/>
    <cellStyle name="Normal 15 2 3 4 6" xfId="27798" xr:uid="{00000000-0005-0000-0000-0000FF390000}"/>
    <cellStyle name="Normal 15 2 3 4 7" xfId="14734" xr:uid="{00000000-0005-0000-0000-0000003A0000}"/>
    <cellStyle name="Normal 15 2 3 5" xfId="1338" xr:uid="{00000000-0005-0000-0000-0000013A0000}"/>
    <cellStyle name="Normal 15 2 3 5 2" xfId="7872" xr:uid="{00000000-0005-0000-0000-0000023A0000}"/>
    <cellStyle name="Normal 15 2 3 5 2 2" xfId="39613" xr:uid="{00000000-0005-0000-0000-0000033A0000}"/>
    <cellStyle name="Normal 15 2 3 5 2 2 2" xfId="55713" xr:uid="{00000000-0005-0000-0000-0000043A0000}"/>
    <cellStyle name="Normal 15 2 3 5 2 3" xfId="46146" xr:uid="{00000000-0005-0000-0000-0000053A0000}"/>
    <cellStyle name="Normal 15 2 3 5 2 4" xfId="30046" xr:uid="{00000000-0005-0000-0000-0000063A0000}"/>
    <cellStyle name="Normal 15 2 3 5 2 5" xfId="20477" xr:uid="{00000000-0005-0000-0000-0000073A0000}"/>
    <cellStyle name="Normal 15 2 3 5 3" xfId="10908" xr:uid="{00000000-0005-0000-0000-0000083A0000}"/>
    <cellStyle name="Normal 15 2 3 5 3 2" xfId="49182" xr:uid="{00000000-0005-0000-0000-0000093A0000}"/>
    <cellStyle name="Normal 15 2 3 5 3 3" xfId="33082" xr:uid="{00000000-0005-0000-0000-00000A3A0000}"/>
    <cellStyle name="Normal 15 2 3 5 3 4" xfId="23513" xr:uid="{00000000-0005-0000-0000-00000B3A0000}"/>
    <cellStyle name="Normal 15 2 3 5 4" xfId="4836" xr:uid="{00000000-0005-0000-0000-00000C3A0000}"/>
    <cellStyle name="Normal 15 2 3 5 4 2" xfId="52677" xr:uid="{00000000-0005-0000-0000-00000D3A0000}"/>
    <cellStyle name="Normal 15 2 3 5 4 3" xfId="36577" xr:uid="{00000000-0005-0000-0000-00000E3A0000}"/>
    <cellStyle name="Normal 15 2 3 5 4 4" xfId="17441" xr:uid="{00000000-0005-0000-0000-00000F3A0000}"/>
    <cellStyle name="Normal 15 2 3 5 5" xfId="43110" xr:uid="{00000000-0005-0000-0000-0000103A0000}"/>
    <cellStyle name="Normal 15 2 3 5 6" xfId="27010" xr:uid="{00000000-0005-0000-0000-0000113A0000}"/>
    <cellStyle name="Normal 15 2 3 5 7" xfId="13946" xr:uid="{00000000-0005-0000-0000-0000123A0000}"/>
    <cellStyle name="Normal 15 2 3 6" xfId="3826" xr:uid="{00000000-0005-0000-0000-0000133A0000}"/>
    <cellStyle name="Normal 15 2 3 6 2" xfId="35567" xr:uid="{00000000-0005-0000-0000-0000143A0000}"/>
    <cellStyle name="Normal 15 2 3 6 2 2" xfId="51667" xr:uid="{00000000-0005-0000-0000-0000153A0000}"/>
    <cellStyle name="Normal 15 2 3 6 3" xfId="42100" xr:uid="{00000000-0005-0000-0000-0000163A0000}"/>
    <cellStyle name="Normal 15 2 3 6 4" xfId="26000" xr:uid="{00000000-0005-0000-0000-0000173A0000}"/>
    <cellStyle name="Normal 15 2 3 6 5" xfId="16431" xr:uid="{00000000-0005-0000-0000-0000183A0000}"/>
    <cellStyle name="Normal 15 2 3 7" xfId="6862" xr:uid="{00000000-0005-0000-0000-0000193A0000}"/>
    <cellStyle name="Normal 15 2 3 7 2" xfId="38603" xr:uid="{00000000-0005-0000-0000-00001A3A0000}"/>
    <cellStyle name="Normal 15 2 3 7 2 2" xfId="54703" xr:uid="{00000000-0005-0000-0000-00001B3A0000}"/>
    <cellStyle name="Normal 15 2 3 7 3" xfId="45136" xr:uid="{00000000-0005-0000-0000-00001C3A0000}"/>
    <cellStyle name="Normal 15 2 3 7 4" xfId="29036" xr:uid="{00000000-0005-0000-0000-00001D3A0000}"/>
    <cellStyle name="Normal 15 2 3 7 5" xfId="19467" xr:uid="{00000000-0005-0000-0000-00001E3A0000}"/>
    <cellStyle name="Normal 15 2 3 8" xfId="9898" xr:uid="{00000000-0005-0000-0000-00001F3A0000}"/>
    <cellStyle name="Normal 15 2 3 8 2" xfId="48172" xr:uid="{00000000-0005-0000-0000-0000203A0000}"/>
    <cellStyle name="Normal 15 2 3 8 3" xfId="32072" xr:uid="{00000000-0005-0000-0000-0000213A0000}"/>
    <cellStyle name="Normal 15 2 3 8 4" xfId="22503" xr:uid="{00000000-0005-0000-0000-0000223A0000}"/>
    <cellStyle name="Normal 15 2 3 9" xfId="3347" xr:uid="{00000000-0005-0000-0000-0000233A0000}"/>
    <cellStyle name="Normal 15 2 3 9 2" xfId="51188" xr:uid="{00000000-0005-0000-0000-0000243A0000}"/>
    <cellStyle name="Normal 15 2 3 9 3" xfId="35088" xr:uid="{00000000-0005-0000-0000-0000253A0000}"/>
    <cellStyle name="Normal 15 2 3 9 4" xfId="15952" xr:uid="{00000000-0005-0000-0000-0000263A0000}"/>
    <cellStyle name="Normal 15 2 4" xfId="178" xr:uid="{00000000-0005-0000-0000-0000273A0000}"/>
    <cellStyle name="Normal 15 2 4 10" xfId="26071" xr:uid="{00000000-0005-0000-0000-0000283A0000}"/>
    <cellStyle name="Normal 15 2 4 11" xfId="13007" xr:uid="{00000000-0005-0000-0000-0000293A0000}"/>
    <cellStyle name="Normal 15 2 4 2" xfId="355" xr:uid="{00000000-0005-0000-0000-00002A3A0000}"/>
    <cellStyle name="Normal 15 2 4 2 2" xfId="2374" xr:uid="{00000000-0005-0000-0000-00002B3A0000}"/>
    <cellStyle name="Normal 15 2 4 2 2 2" xfId="8908" xr:uid="{00000000-0005-0000-0000-00002C3A0000}"/>
    <cellStyle name="Normal 15 2 4 2 2 2 2" xfId="40649" xr:uid="{00000000-0005-0000-0000-00002D3A0000}"/>
    <cellStyle name="Normal 15 2 4 2 2 2 2 2" xfId="56749" xr:uid="{00000000-0005-0000-0000-00002E3A0000}"/>
    <cellStyle name="Normal 15 2 4 2 2 2 3" xfId="47182" xr:uid="{00000000-0005-0000-0000-00002F3A0000}"/>
    <cellStyle name="Normal 15 2 4 2 2 2 4" xfId="31082" xr:uid="{00000000-0005-0000-0000-0000303A0000}"/>
    <cellStyle name="Normal 15 2 4 2 2 2 5" xfId="21513" xr:uid="{00000000-0005-0000-0000-0000313A0000}"/>
    <cellStyle name="Normal 15 2 4 2 2 3" xfId="11944" xr:uid="{00000000-0005-0000-0000-0000323A0000}"/>
    <cellStyle name="Normal 15 2 4 2 2 3 2" xfId="50218" xr:uid="{00000000-0005-0000-0000-0000333A0000}"/>
    <cellStyle name="Normal 15 2 4 2 2 3 3" xfId="34118" xr:uid="{00000000-0005-0000-0000-0000343A0000}"/>
    <cellStyle name="Normal 15 2 4 2 2 3 4" xfId="24549" xr:uid="{00000000-0005-0000-0000-0000353A0000}"/>
    <cellStyle name="Normal 15 2 4 2 2 4" xfId="5872" xr:uid="{00000000-0005-0000-0000-0000363A0000}"/>
    <cellStyle name="Normal 15 2 4 2 2 4 2" xfId="53713" xr:uid="{00000000-0005-0000-0000-0000373A0000}"/>
    <cellStyle name="Normal 15 2 4 2 2 4 3" xfId="37613" xr:uid="{00000000-0005-0000-0000-0000383A0000}"/>
    <cellStyle name="Normal 15 2 4 2 2 4 4" xfId="18477" xr:uid="{00000000-0005-0000-0000-0000393A0000}"/>
    <cellStyle name="Normal 15 2 4 2 2 5" xfId="44146" xr:uid="{00000000-0005-0000-0000-00003A3A0000}"/>
    <cellStyle name="Normal 15 2 4 2 2 6" xfId="28046" xr:uid="{00000000-0005-0000-0000-00003B3A0000}"/>
    <cellStyle name="Normal 15 2 4 2 2 7" xfId="14982" xr:uid="{00000000-0005-0000-0000-00003C3A0000}"/>
    <cellStyle name="Normal 15 2 4 2 3" xfId="1586" xr:uid="{00000000-0005-0000-0000-00003D3A0000}"/>
    <cellStyle name="Normal 15 2 4 2 3 2" xfId="8120" xr:uid="{00000000-0005-0000-0000-00003E3A0000}"/>
    <cellStyle name="Normal 15 2 4 2 3 2 2" xfId="39861" xr:uid="{00000000-0005-0000-0000-00003F3A0000}"/>
    <cellStyle name="Normal 15 2 4 2 3 2 2 2" xfId="55961" xr:uid="{00000000-0005-0000-0000-0000403A0000}"/>
    <cellStyle name="Normal 15 2 4 2 3 2 3" xfId="46394" xr:uid="{00000000-0005-0000-0000-0000413A0000}"/>
    <cellStyle name="Normal 15 2 4 2 3 2 4" xfId="30294" xr:uid="{00000000-0005-0000-0000-0000423A0000}"/>
    <cellStyle name="Normal 15 2 4 2 3 2 5" xfId="20725" xr:uid="{00000000-0005-0000-0000-0000433A0000}"/>
    <cellStyle name="Normal 15 2 4 2 3 3" xfId="11156" xr:uid="{00000000-0005-0000-0000-0000443A0000}"/>
    <cellStyle name="Normal 15 2 4 2 3 3 2" xfId="49430" xr:uid="{00000000-0005-0000-0000-0000453A0000}"/>
    <cellStyle name="Normal 15 2 4 2 3 3 3" xfId="33330" xr:uid="{00000000-0005-0000-0000-0000463A0000}"/>
    <cellStyle name="Normal 15 2 4 2 3 3 4" xfId="23761" xr:uid="{00000000-0005-0000-0000-0000473A0000}"/>
    <cellStyle name="Normal 15 2 4 2 3 4" xfId="5084" xr:uid="{00000000-0005-0000-0000-0000483A0000}"/>
    <cellStyle name="Normal 15 2 4 2 3 4 2" xfId="52925" xr:uid="{00000000-0005-0000-0000-0000493A0000}"/>
    <cellStyle name="Normal 15 2 4 2 3 4 3" xfId="36825" xr:uid="{00000000-0005-0000-0000-00004A3A0000}"/>
    <cellStyle name="Normal 15 2 4 2 3 4 4" xfId="17689" xr:uid="{00000000-0005-0000-0000-00004B3A0000}"/>
    <cellStyle name="Normal 15 2 4 2 3 5" xfId="43358" xr:uid="{00000000-0005-0000-0000-00004C3A0000}"/>
    <cellStyle name="Normal 15 2 4 2 3 6" xfId="27258" xr:uid="{00000000-0005-0000-0000-00004D3A0000}"/>
    <cellStyle name="Normal 15 2 4 2 3 7" xfId="14194" xr:uid="{00000000-0005-0000-0000-00004E3A0000}"/>
    <cellStyle name="Normal 15 2 4 2 4" xfId="7110" xr:uid="{00000000-0005-0000-0000-00004F3A0000}"/>
    <cellStyle name="Normal 15 2 4 2 4 2" xfId="38851" xr:uid="{00000000-0005-0000-0000-0000503A0000}"/>
    <cellStyle name="Normal 15 2 4 2 4 2 2" xfId="54951" xr:uid="{00000000-0005-0000-0000-0000513A0000}"/>
    <cellStyle name="Normal 15 2 4 2 4 3" xfId="45384" xr:uid="{00000000-0005-0000-0000-0000523A0000}"/>
    <cellStyle name="Normal 15 2 4 2 4 4" xfId="29284" xr:uid="{00000000-0005-0000-0000-0000533A0000}"/>
    <cellStyle name="Normal 15 2 4 2 4 5" xfId="19715" xr:uid="{00000000-0005-0000-0000-0000543A0000}"/>
    <cellStyle name="Normal 15 2 4 2 5" xfId="10146" xr:uid="{00000000-0005-0000-0000-0000553A0000}"/>
    <cellStyle name="Normal 15 2 4 2 5 2" xfId="48420" xr:uid="{00000000-0005-0000-0000-0000563A0000}"/>
    <cellStyle name="Normal 15 2 4 2 5 3" xfId="32320" xr:uid="{00000000-0005-0000-0000-0000573A0000}"/>
    <cellStyle name="Normal 15 2 4 2 5 4" xfId="22751" xr:uid="{00000000-0005-0000-0000-0000583A0000}"/>
    <cellStyle name="Normal 15 2 4 2 6" xfId="4074" xr:uid="{00000000-0005-0000-0000-0000593A0000}"/>
    <cellStyle name="Normal 15 2 4 2 6 2" xfId="51915" xr:uid="{00000000-0005-0000-0000-00005A3A0000}"/>
    <cellStyle name="Normal 15 2 4 2 6 3" xfId="35815" xr:uid="{00000000-0005-0000-0000-00005B3A0000}"/>
    <cellStyle name="Normal 15 2 4 2 6 4" xfId="16679" xr:uid="{00000000-0005-0000-0000-00005C3A0000}"/>
    <cellStyle name="Normal 15 2 4 2 7" xfId="42348" xr:uid="{00000000-0005-0000-0000-00005D3A0000}"/>
    <cellStyle name="Normal 15 2 4 2 8" xfId="26248" xr:uid="{00000000-0005-0000-0000-00005E3A0000}"/>
    <cellStyle name="Normal 15 2 4 2 9" xfId="13184" xr:uid="{00000000-0005-0000-0000-00005F3A0000}"/>
    <cellStyle name="Normal 15 2 4 3" xfId="995" xr:uid="{00000000-0005-0000-0000-0000603A0000}"/>
    <cellStyle name="Normal 15 2 4 3 2" xfId="3023" xr:uid="{00000000-0005-0000-0000-0000613A0000}"/>
    <cellStyle name="Normal 15 2 4 3 2 2" xfId="9555" xr:uid="{00000000-0005-0000-0000-0000623A0000}"/>
    <cellStyle name="Normal 15 2 4 3 2 2 2" xfId="41296" xr:uid="{00000000-0005-0000-0000-0000633A0000}"/>
    <cellStyle name="Normal 15 2 4 3 2 2 2 2" xfId="57396" xr:uid="{00000000-0005-0000-0000-0000643A0000}"/>
    <cellStyle name="Normal 15 2 4 3 2 2 3" xfId="47829" xr:uid="{00000000-0005-0000-0000-0000653A0000}"/>
    <cellStyle name="Normal 15 2 4 3 2 2 4" xfId="31729" xr:uid="{00000000-0005-0000-0000-0000663A0000}"/>
    <cellStyle name="Normal 15 2 4 3 2 2 5" xfId="22160" xr:uid="{00000000-0005-0000-0000-0000673A0000}"/>
    <cellStyle name="Normal 15 2 4 3 2 3" xfId="12591" xr:uid="{00000000-0005-0000-0000-0000683A0000}"/>
    <cellStyle name="Normal 15 2 4 3 2 3 2" xfId="50865" xr:uid="{00000000-0005-0000-0000-0000693A0000}"/>
    <cellStyle name="Normal 15 2 4 3 2 3 3" xfId="34765" xr:uid="{00000000-0005-0000-0000-00006A3A0000}"/>
    <cellStyle name="Normal 15 2 4 3 2 3 4" xfId="25196" xr:uid="{00000000-0005-0000-0000-00006B3A0000}"/>
    <cellStyle name="Normal 15 2 4 3 2 4" xfId="6519" xr:uid="{00000000-0005-0000-0000-00006C3A0000}"/>
    <cellStyle name="Normal 15 2 4 3 2 4 2" xfId="54360" xr:uid="{00000000-0005-0000-0000-00006D3A0000}"/>
    <cellStyle name="Normal 15 2 4 3 2 4 3" xfId="38260" xr:uid="{00000000-0005-0000-0000-00006E3A0000}"/>
    <cellStyle name="Normal 15 2 4 3 2 4 4" xfId="19124" xr:uid="{00000000-0005-0000-0000-00006F3A0000}"/>
    <cellStyle name="Normal 15 2 4 3 2 5" xfId="44793" xr:uid="{00000000-0005-0000-0000-0000703A0000}"/>
    <cellStyle name="Normal 15 2 4 3 2 6" xfId="28693" xr:uid="{00000000-0005-0000-0000-0000713A0000}"/>
    <cellStyle name="Normal 15 2 4 3 2 7" xfId="15629" xr:uid="{00000000-0005-0000-0000-0000723A0000}"/>
    <cellStyle name="Normal 15 2 4 3 3" xfId="2005" xr:uid="{00000000-0005-0000-0000-0000733A0000}"/>
    <cellStyle name="Normal 15 2 4 3 3 2" xfId="8539" xr:uid="{00000000-0005-0000-0000-0000743A0000}"/>
    <cellStyle name="Normal 15 2 4 3 3 2 2" xfId="40280" xr:uid="{00000000-0005-0000-0000-0000753A0000}"/>
    <cellStyle name="Normal 15 2 4 3 3 2 2 2" xfId="56380" xr:uid="{00000000-0005-0000-0000-0000763A0000}"/>
    <cellStyle name="Normal 15 2 4 3 3 2 3" xfId="46813" xr:uid="{00000000-0005-0000-0000-0000773A0000}"/>
    <cellStyle name="Normal 15 2 4 3 3 2 4" xfId="30713" xr:uid="{00000000-0005-0000-0000-0000783A0000}"/>
    <cellStyle name="Normal 15 2 4 3 3 2 5" xfId="21144" xr:uid="{00000000-0005-0000-0000-0000793A0000}"/>
    <cellStyle name="Normal 15 2 4 3 3 3" xfId="11575" xr:uid="{00000000-0005-0000-0000-00007A3A0000}"/>
    <cellStyle name="Normal 15 2 4 3 3 3 2" xfId="49849" xr:uid="{00000000-0005-0000-0000-00007B3A0000}"/>
    <cellStyle name="Normal 15 2 4 3 3 3 3" xfId="33749" xr:uid="{00000000-0005-0000-0000-00007C3A0000}"/>
    <cellStyle name="Normal 15 2 4 3 3 3 4" xfId="24180" xr:uid="{00000000-0005-0000-0000-00007D3A0000}"/>
    <cellStyle name="Normal 15 2 4 3 3 4" xfId="5503" xr:uid="{00000000-0005-0000-0000-00007E3A0000}"/>
    <cellStyle name="Normal 15 2 4 3 3 4 2" xfId="53344" xr:uid="{00000000-0005-0000-0000-00007F3A0000}"/>
    <cellStyle name="Normal 15 2 4 3 3 4 3" xfId="37244" xr:uid="{00000000-0005-0000-0000-0000803A0000}"/>
    <cellStyle name="Normal 15 2 4 3 3 4 4" xfId="18108" xr:uid="{00000000-0005-0000-0000-0000813A0000}"/>
    <cellStyle name="Normal 15 2 4 3 3 5" xfId="43777" xr:uid="{00000000-0005-0000-0000-0000823A0000}"/>
    <cellStyle name="Normal 15 2 4 3 3 6" xfId="27677" xr:uid="{00000000-0005-0000-0000-0000833A0000}"/>
    <cellStyle name="Normal 15 2 4 3 3 7" xfId="14613" xr:uid="{00000000-0005-0000-0000-0000843A0000}"/>
    <cellStyle name="Normal 15 2 4 3 4" xfId="7529" xr:uid="{00000000-0005-0000-0000-0000853A0000}"/>
    <cellStyle name="Normal 15 2 4 3 4 2" xfId="39270" xr:uid="{00000000-0005-0000-0000-0000863A0000}"/>
    <cellStyle name="Normal 15 2 4 3 4 2 2" xfId="55370" xr:uid="{00000000-0005-0000-0000-0000873A0000}"/>
    <cellStyle name="Normal 15 2 4 3 4 3" xfId="45803" xr:uid="{00000000-0005-0000-0000-0000883A0000}"/>
    <cellStyle name="Normal 15 2 4 3 4 4" xfId="29703" xr:uid="{00000000-0005-0000-0000-0000893A0000}"/>
    <cellStyle name="Normal 15 2 4 3 4 5" xfId="20134" xr:uid="{00000000-0005-0000-0000-00008A3A0000}"/>
    <cellStyle name="Normal 15 2 4 3 5" xfId="10565" xr:uid="{00000000-0005-0000-0000-00008B3A0000}"/>
    <cellStyle name="Normal 15 2 4 3 5 2" xfId="48839" xr:uid="{00000000-0005-0000-0000-00008C3A0000}"/>
    <cellStyle name="Normal 15 2 4 3 5 3" xfId="32739" xr:uid="{00000000-0005-0000-0000-00008D3A0000}"/>
    <cellStyle name="Normal 15 2 4 3 5 4" xfId="23170" xr:uid="{00000000-0005-0000-0000-00008E3A0000}"/>
    <cellStyle name="Normal 15 2 4 3 6" xfId="4493" xr:uid="{00000000-0005-0000-0000-00008F3A0000}"/>
    <cellStyle name="Normal 15 2 4 3 6 2" xfId="52334" xr:uid="{00000000-0005-0000-0000-0000903A0000}"/>
    <cellStyle name="Normal 15 2 4 3 6 3" xfId="36234" xr:uid="{00000000-0005-0000-0000-0000913A0000}"/>
    <cellStyle name="Normal 15 2 4 3 6 4" xfId="17098" xr:uid="{00000000-0005-0000-0000-0000923A0000}"/>
    <cellStyle name="Normal 15 2 4 3 7" xfId="42767" xr:uid="{00000000-0005-0000-0000-0000933A0000}"/>
    <cellStyle name="Normal 15 2 4 3 8" xfId="26667" xr:uid="{00000000-0005-0000-0000-0000943A0000}"/>
    <cellStyle name="Normal 15 2 4 3 9" xfId="13603" xr:uid="{00000000-0005-0000-0000-0000953A0000}"/>
    <cellStyle name="Normal 15 2 4 4" xfId="2197" xr:uid="{00000000-0005-0000-0000-0000963A0000}"/>
    <cellStyle name="Normal 15 2 4 4 2" xfId="8731" xr:uid="{00000000-0005-0000-0000-0000973A0000}"/>
    <cellStyle name="Normal 15 2 4 4 2 2" xfId="40472" xr:uid="{00000000-0005-0000-0000-0000983A0000}"/>
    <cellStyle name="Normal 15 2 4 4 2 2 2" xfId="56572" xr:uid="{00000000-0005-0000-0000-0000993A0000}"/>
    <cellStyle name="Normal 15 2 4 4 2 3" xfId="47005" xr:uid="{00000000-0005-0000-0000-00009A3A0000}"/>
    <cellStyle name="Normal 15 2 4 4 2 4" xfId="30905" xr:uid="{00000000-0005-0000-0000-00009B3A0000}"/>
    <cellStyle name="Normal 15 2 4 4 2 5" xfId="21336" xr:uid="{00000000-0005-0000-0000-00009C3A0000}"/>
    <cellStyle name="Normal 15 2 4 4 3" xfId="11767" xr:uid="{00000000-0005-0000-0000-00009D3A0000}"/>
    <cellStyle name="Normal 15 2 4 4 3 2" xfId="50041" xr:uid="{00000000-0005-0000-0000-00009E3A0000}"/>
    <cellStyle name="Normal 15 2 4 4 3 3" xfId="33941" xr:uid="{00000000-0005-0000-0000-00009F3A0000}"/>
    <cellStyle name="Normal 15 2 4 4 3 4" xfId="24372" xr:uid="{00000000-0005-0000-0000-0000A03A0000}"/>
    <cellStyle name="Normal 15 2 4 4 4" xfId="5695" xr:uid="{00000000-0005-0000-0000-0000A13A0000}"/>
    <cellStyle name="Normal 15 2 4 4 4 2" xfId="53536" xr:uid="{00000000-0005-0000-0000-0000A23A0000}"/>
    <cellStyle name="Normal 15 2 4 4 4 3" xfId="37436" xr:uid="{00000000-0005-0000-0000-0000A33A0000}"/>
    <cellStyle name="Normal 15 2 4 4 4 4" xfId="18300" xr:uid="{00000000-0005-0000-0000-0000A43A0000}"/>
    <cellStyle name="Normal 15 2 4 4 5" xfId="43969" xr:uid="{00000000-0005-0000-0000-0000A53A0000}"/>
    <cellStyle name="Normal 15 2 4 4 6" xfId="27869" xr:uid="{00000000-0005-0000-0000-0000A63A0000}"/>
    <cellStyle name="Normal 15 2 4 4 7" xfId="14805" xr:uid="{00000000-0005-0000-0000-0000A73A0000}"/>
    <cellStyle name="Normal 15 2 4 5" xfId="1409" xr:uid="{00000000-0005-0000-0000-0000A83A0000}"/>
    <cellStyle name="Normal 15 2 4 5 2" xfId="7943" xr:uid="{00000000-0005-0000-0000-0000A93A0000}"/>
    <cellStyle name="Normal 15 2 4 5 2 2" xfId="39684" xr:uid="{00000000-0005-0000-0000-0000AA3A0000}"/>
    <cellStyle name="Normal 15 2 4 5 2 2 2" xfId="55784" xr:uid="{00000000-0005-0000-0000-0000AB3A0000}"/>
    <cellStyle name="Normal 15 2 4 5 2 3" xfId="46217" xr:uid="{00000000-0005-0000-0000-0000AC3A0000}"/>
    <cellStyle name="Normal 15 2 4 5 2 4" xfId="30117" xr:uid="{00000000-0005-0000-0000-0000AD3A0000}"/>
    <cellStyle name="Normal 15 2 4 5 2 5" xfId="20548" xr:uid="{00000000-0005-0000-0000-0000AE3A0000}"/>
    <cellStyle name="Normal 15 2 4 5 3" xfId="10979" xr:uid="{00000000-0005-0000-0000-0000AF3A0000}"/>
    <cellStyle name="Normal 15 2 4 5 3 2" xfId="49253" xr:uid="{00000000-0005-0000-0000-0000B03A0000}"/>
    <cellStyle name="Normal 15 2 4 5 3 3" xfId="33153" xr:uid="{00000000-0005-0000-0000-0000B13A0000}"/>
    <cellStyle name="Normal 15 2 4 5 3 4" xfId="23584" xr:uid="{00000000-0005-0000-0000-0000B23A0000}"/>
    <cellStyle name="Normal 15 2 4 5 4" xfId="4907" xr:uid="{00000000-0005-0000-0000-0000B33A0000}"/>
    <cellStyle name="Normal 15 2 4 5 4 2" xfId="52748" xr:uid="{00000000-0005-0000-0000-0000B43A0000}"/>
    <cellStyle name="Normal 15 2 4 5 4 3" xfId="36648" xr:uid="{00000000-0005-0000-0000-0000B53A0000}"/>
    <cellStyle name="Normal 15 2 4 5 4 4" xfId="17512" xr:uid="{00000000-0005-0000-0000-0000B63A0000}"/>
    <cellStyle name="Normal 15 2 4 5 5" xfId="43181" xr:uid="{00000000-0005-0000-0000-0000B73A0000}"/>
    <cellStyle name="Normal 15 2 4 5 6" xfId="27081" xr:uid="{00000000-0005-0000-0000-0000B83A0000}"/>
    <cellStyle name="Normal 15 2 4 5 7" xfId="14017" xr:uid="{00000000-0005-0000-0000-0000B93A0000}"/>
    <cellStyle name="Normal 15 2 4 6" xfId="6933" xr:uid="{00000000-0005-0000-0000-0000BA3A0000}"/>
    <cellStyle name="Normal 15 2 4 6 2" xfId="38674" xr:uid="{00000000-0005-0000-0000-0000BB3A0000}"/>
    <cellStyle name="Normal 15 2 4 6 2 2" xfId="54774" xr:uid="{00000000-0005-0000-0000-0000BC3A0000}"/>
    <cellStyle name="Normal 15 2 4 6 3" xfId="45207" xr:uid="{00000000-0005-0000-0000-0000BD3A0000}"/>
    <cellStyle name="Normal 15 2 4 6 4" xfId="29107" xr:uid="{00000000-0005-0000-0000-0000BE3A0000}"/>
    <cellStyle name="Normal 15 2 4 6 5" xfId="19538" xr:uid="{00000000-0005-0000-0000-0000BF3A0000}"/>
    <cellStyle name="Normal 15 2 4 7" xfId="9969" xr:uid="{00000000-0005-0000-0000-0000C03A0000}"/>
    <cellStyle name="Normal 15 2 4 7 2" xfId="48243" xr:uid="{00000000-0005-0000-0000-0000C13A0000}"/>
    <cellStyle name="Normal 15 2 4 7 3" xfId="32143" xr:uid="{00000000-0005-0000-0000-0000C23A0000}"/>
    <cellStyle name="Normal 15 2 4 7 4" xfId="22574" xr:uid="{00000000-0005-0000-0000-0000C33A0000}"/>
    <cellStyle name="Normal 15 2 4 8" xfId="3897" xr:uid="{00000000-0005-0000-0000-0000C43A0000}"/>
    <cellStyle name="Normal 15 2 4 8 2" xfId="51738" xr:uid="{00000000-0005-0000-0000-0000C53A0000}"/>
    <cellStyle name="Normal 15 2 4 8 3" xfId="35638" xr:uid="{00000000-0005-0000-0000-0000C63A0000}"/>
    <cellStyle name="Normal 15 2 4 8 4" xfId="16502" xr:uid="{00000000-0005-0000-0000-0000C73A0000}"/>
    <cellStyle name="Normal 15 2 4 9" xfId="42171" xr:uid="{00000000-0005-0000-0000-0000C83A0000}"/>
    <cellStyle name="Normal 15 2 5" xfId="249" xr:uid="{00000000-0005-0000-0000-0000C93A0000}"/>
    <cellStyle name="Normal 15 2 5 2" xfId="2268" xr:uid="{00000000-0005-0000-0000-0000CA3A0000}"/>
    <cellStyle name="Normal 15 2 5 2 2" xfId="8802" xr:uid="{00000000-0005-0000-0000-0000CB3A0000}"/>
    <cellStyle name="Normal 15 2 5 2 2 2" xfId="40543" xr:uid="{00000000-0005-0000-0000-0000CC3A0000}"/>
    <cellStyle name="Normal 15 2 5 2 2 2 2" xfId="56643" xr:uid="{00000000-0005-0000-0000-0000CD3A0000}"/>
    <cellStyle name="Normal 15 2 5 2 2 3" xfId="47076" xr:uid="{00000000-0005-0000-0000-0000CE3A0000}"/>
    <cellStyle name="Normal 15 2 5 2 2 4" xfId="30976" xr:uid="{00000000-0005-0000-0000-0000CF3A0000}"/>
    <cellStyle name="Normal 15 2 5 2 2 5" xfId="21407" xr:uid="{00000000-0005-0000-0000-0000D03A0000}"/>
    <cellStyle name="Normal 15 2 5 2 3" xfId="11838" xr:uid="{00000000-0005-0000-0000-0000D13A0000}"/>
    <cellStyle name="Normal 15 2 5 2 3 2" xfId="50112" xr:uid="{00000000-0005-0000-0000-0000D23A0000}"/>
    <cellStyle name="Normal 15 2 5 2 3 3" xfId="34012" xr:uid="{00000000-0005-0000-0000-0000D33A0000}"/>
    <cellStyle name="Normal 15 2 5 2 3 4" xfId="24443" xr:uid="{00000000-0005-0000-0000-0000D43A0000}"/>
    <cellStyle name="Normal 15 2 5 2 4" xfId="5766" xr:uid="{00000000-0005-0000-0000-0000D53A0000}"/>
    <cellStyle name="Normal 15 2 5 2 4 2" xfId="53607" xr:uid="{00000000-0005-0000-0000-0000D63A0000}"/>
    <cellStyle name="Normal 15 2 5 2 4 3" xfId="37507" xr:uid="{00000000-0005-0000-0000-0000D73A0000}"/>
    <cellStyle name="Normal 15 2 5 2 4 4" xfId="18371" xr:uid="{00000000-0005-0000-0000-0000D83A0000}"/>
    <cellStyle name="Normal 15 2 5 2 5" xfId="44040" xr:uid="{00000000-0005-0000-0000-0000D93A0000}"/>
    <cellStyle name="Normal 15 2 5 2 6" xfId="27940" xr:uid="{00000000-0005-0000-0000-0000DA3A0000}"/>
    <cellStyle name="Normal 15 2 5 2 7" xfId="14876" xr:uid="{00000000-0005-0000-0000-0000DB3A0000}"/>
    <cellStyle name="Normal 15 2 5 3" xfId="1480" xr:uid="{00000000-0005-0000-0000-0000DC3A0000}"/>
    <cellStyle name="Normal 15 2 5 3 2" xfId="8014" xr:uid="{00000000-0005-0000-0000-0000DD3A0000}"/>
    <cellStyle name="Normal 15 2 5 3 2 2" xfId="39755" xr:uid="{00000000-0005-0000-0000-0000DE3A0000}"/>
    <cellStyle name="Normal 15 2 5 3 2 2 2" xfId="55855" xr:uid="{00000000-0005-0000-0000-0000DF3A0000}"/>
    <cellStyle name="Normal 15 2 5 3 2 3" xfId="46288" xr:uid="{00000000-0005-0000-0000-0000E03A0000}"/>
    <cellStyle name="Normal 15 2 5 3 2 4" xfId="30188" xr:uid="{00000000-0005-0000-0000-0000E13A0000}"/>
    <cellStyle name="Normal 15 2 5 3 2 5" xfId="20619" xr:uid="{00000000-0005-0000-0000-0000E23A0000}"/>
    <cellStyle name="Normal 15 2 5 3 3" xfId="11050" xr:uid="{00000000-0005-0000-0000-0000E33A0000}"/>
    <cellStyle name="Normal 15 2 5 3 3 2" xfId="49324" xr:uid="{00000000-0005-0000-0000-0000E43A0000}"/>
    <cellStyle name="Normal 15 2 5 3 3 3" xfId="33224" xr:uid="{00000000-0005-0000-0000-0000E53A0000}"/>
    <cellStyle name="Normal 15 2 5 3 3 4" xfId="23655" xr:uid="{00000000-0005-0000-0000-0000E63A0000}"/>
    <cellStyle name="Normal 15 2 5 3 4" xfId="4978" xr:uid="{00000000-0005-0000-0000-0000E73A0000}"/>
    <cellStyle name="Normal 15 2 5 3 4 2" xfId="52819" xr:uid="{00000000-0005-0000-0000-0000E83A0000}"/>
    <cellStyle name="Normal 15 2 5 3 4 3" xfId="36719" xr:uid="{00000000-0005-0000-0000-0000E93A0000}"/>
    <cellStyle name="Normal 15 2 5 3 4 4" xfId="17583" xr:uid="{00000000-0005-0000-0000-0000EA3A0000}"/>
    <cellStyle name="Normal 15 2 5 3 5" xfId="43252" xr:uid="{00000000-0005-0000-0000-0000EB3A0000}"/>
    <cellStyle name="Normal 15 2 5 3 6" xfId="27152" xr:uid="{00000000-0005-0000-0000-0000EC3A0000}"/>
    <cellStyle name="Normal 15 2 5 3 7" xfId="14088" xr:uid="{00000000-0005-0000-0000-0000ED3A0000}"/>
    <cellStyle name="Normal 15 2 5 4" xfId="7004" xr:uid="{00000000-0005-0000-0000-0000EE3A0000}"/>
    <cellStyle name="Normal 15 2 5 4 2" xfId="38745" xr:uid="{00000000-0005-0000-0000-0000EF3A0000}"/>
    <cellStyle name="Normal 15 2 5 4 2 2" xfId="54845" xr:uid="{00000000-0005-0000-0000-0000F03A0000}"/>
    <cellStyle name="Normal 15 2 5 4 3" xfId="45278" xr:uid="{00000000-0005-0000-0000-0000F13A0000}"/>
    <cellStyle name="Normal 15 2 5 4 4" xfId="29178" xr:uid="{00000000-0005-0000-0000-0000F23A0000}"/>
    <cellStyle name="Normal 15 2 5 4 5" xfId="19609" xr:uid="{00000000-0005-0000-0000-0000F33A0000}"/>
    <cellStyle name="Normal 15 2 5 5" xfId="10040" xr:uid="{00000000-0005-0000-0000-0000F43A0000}"/>
    <cellStyle name="Normal 15 2 5 5 2" xfId="48314" xr:uid="{00000000-0005-0000-0000-0000F53A0000}"/>
    <cellStyle name="Normal 15 2 5 5 3" xfId="32214" xr:uid="{00000000-0005-0000-0000-0000F63A0000}"/>
    <cellStyle name="Normal 15 2 5 5 4" xfId="22645" xr:uid="{00000000-0005-0000-0000-0000F73A0000}"/>
    <cellStyle name="Normal 15 2 5 6" xfId="3968" xr:uid="{00000000-0005-0000-0000-0000F83A0000}"/>
    <cellStyle name="Normal 15 2 5 6 2" xfId="51809" xr:uid="{00000000-0005-0000-0000-0000F93A0000}"/>
    <cellStyle name="Normal 15 2 5 6 3" xfId="35709" xr:uid="{00000000-0005-0000-0000-0000FA3A0000}"/>
    <cellStyle name="Normal 15 2 5 6 4" xfId="16573" xr:uid="{00000000-0005-0000-0000-0000FB3A0000}"/>
    <cellStyle name="Normal 15 2 5 7" xfId="42242" xr:uid="{00000000-0005-0000-0000-0000FC3A0000}"/>
    <cellStyle name="Normal 15 2 5 8" xfId="26142" xr:uid="{00000000-0005-0000-0000-0000FD3A0000}"/>
    <cellStyle name="Normal 15 2 5 9" xfId="13078" xr:uid="{00000000-0005-0000-0000-0000FE3A0000}"/>
    <cellStyle name="Normal 15 2 6" xfId="524" xr:uid="{00000000-0005-0000-0000-0000FF3A0000}"/>
    <cellStyle name="Normal 15 2 6 2" xfId="2554" xr:uid="{00000000-0005-0000-0000-0000003B0000}"/>
    <cellStyle name="Normal 15 2 6 2 2" xfId="9086" xr:uid="{00000000-0005-0000-0000-0000013B0000}"/>
    <cellStyle name="Normal 15 2 6 2 2 2" xfId="40827" xr:uid="{00000000-0005-0000-0000-0000023B0000}"/>
    <cellStyle name="Normal 15 2 6 2 2 2 2" xfId="56927" xr:uid="{00000000-0005-0000-0000-0000033B0000}"/>
    <cellStyle name="Normal 15 2 6 2 2 3" xfId="47360" xr:uid="{00000000-0005-0000-0000-0000043B0000}"/>
    <cellStyle name="Normal 15 2 6 2 2 4" xfId="31260" xr:uid="{00000000-0005-0000-0000-0000053B0000}"/>
    <cellStyle name="Normal 15 2 6 2 2 5" xfId="21691" xr:uid="{00000000-0005-0000-0000-0000063B0000}"/>
    <cellStyle name="Normal 15 2 6 2 3" xfId="12122" xr:uid="{00000000-0005-0000-0000-0000073B0000}"/>
    <cellStyle name="Normal 15 2 6 2 3 2" xfId="50396" xr:uid="{00000000-0005-0000-0000-0000083B0000}"/>
    <cellStyle name="Normal 15 2 6 2 3 3" xfId="34296" xr:uid="{00000000-0005-0000-0000-0000093B0000}"/>
    <cellStyle name="Normal 15 2 6 2 3 4" xfId="24727" xr:uid="{00000000-0005-0000-0000-00000A3B0000}"/>
    <cellStyle name="Normal 15 2 6 2 4" xfId="6050" xr:uid="{00000000-0005-0000-0000-00000B3B0000}"/>
    <cellStyle name="Normal 15 2 6 2 4 2" xfId="53891" xr:uid="{00000000-0005-0000-0000-00000C3B0000}"/>
    <cellStyle name="Normal 15 2 6 2 4 3" xfId="37791" xr:uid="{00000000-0005-0000-0000-00000D3B0000}"/>
    <cellStyle name="Normal 15 2 6 2 4 4" xfId="18655" xr:uid="{00000000-0005-0000-0000-00000E3B0000}"/>
    <cellStyle name="Normal 15 2 6 2 5" xfId="44324" xr:uid="{00000000-0005-0000-0000-00000F3B0000}"/>
    <cellStyle name="Normal 15 2 6 2 6" xfId="28224" xr:uid="{00000000-0005-0000-0000-0000103B0000}"/>
    <cellStyle name="Normal 15 2 6 2 7" xfId="15160" xr:uid="{00000000-0005-0000-0000-0000113B0000}"/>
    <cellStyle name="Normal 15 2 6 3" xfId="1303" xr:uid="{00000000-0005-0000-0000-0000123B0000}"/>
    <cellStyle name="Normal 15 2 6 3 2" xfId="7837" xr:uid="{00000000-0005-0000-0000-0000133B0000}"/>
    <cellStyle name="Normal 15 2 6 3 2 2" xfId="39578" xr:uid="{00000000-0005-0000-0000-0000143B0000}"/>
    <cellStyle name="Normal 15 2 6 3 2 2 2" xfId="55678" xr:uid="{00000000-0005-0000-0000-0000153B0000}"/>
    <cellStyle name="Normal 15 2 6 3 2 3" xfId="46111" xr:uid="{00000000-0005-0000-0000-0000163B0000}"/>
    <cellStyle name="Normal 15 2 6 3 2 4" xfId="30011" xr:uid="{00000000-0005-0000-0000-0000173B0000}"/>
    <cellStyle name="Normal 15 2 6 3 2 5" xfId="20442" xr:uid="{00000000-0005-0000-0000-0000183B0000}"/>
    <cellStyle name="Normal 15 2 6 3 3" xfId="10873" xr:uid="{00000000-0005-0000-0000-0000193B0000}"/>
    <cellStyle name="Normal 15 2 6 3 3 2" xfId="49147" xr:uid="{00000000-0005-0000-0000-00001A3B0000}"/>
    <cellStyle name="Normal 15 2 6 3 3 3" xfId="33047" xr:uid="{00000000-0005-0000-0000-00001B3B0000}"/>
    <cellStyle name="Normal 15 2 6 3 3 4" xfId="23478" xr:uid="{00000000-0005-0000-0000-00001C3B0000}"/>
    <cellStyle name="Normal 15 2 6 3 4" xfId="4801" xr:uid="{00000000-0005-0000-0000-00001D3B0000}"/>
    <cellStyle name="Normal 15 2 6 3 4 2" xfId="52642" xr:uid="{00000000-0005-0000-0000-00001E3B0000}"/>
    <cellStyle name="Normal 15 2 6 3 4 3" xfId="36542" xr:uid="{00000000-0005-0000-0000-00001F3B0000}"/>
    <cellStyle name="Normal 15 2 6 3 4 4" xfId="17406" xr:uid="{00000000-0005-0000-0000-0000203B0000}"/>
    <cellStyle name="Normal 15 2 6 3 5" xfId="43075" xr:uid="{00000000-0005-0000-0000-0000213B0000}"/>
    <cellStyle name="Normal 15 2 6 3 6" xfId="26975" xr:uid="{00000000-0005-0000-0000-0000223B0000}"/>
    <cellStyle name="Normal 15 2 6 3 7" xfId="13911" xr:uid="{00000000-0005-0000-0000-0000233B0000}"/>
    <cellStyle name="Normal 15 2 6 4" xfId="6827" xr:uid="{00000000-0005-0000-0000-0000243B0000}"/>
    <cellStyle name="Normal 15 2 6 4 2" xfId="38568" xr:uid="{00000000-0005-0000-0000-0000253B0000}"/>
    <cellStyle name="Normal 15 2 6 4 2 2" xfId="54668" xr:uid="{00000000-0005-0000-0000-0000263B0000}"/>
    <cellStyle name="Normal 15 2 6 4 3" xfId="45101" xr:uid="{00000000-0005-0000-0000-0000273B0000}"/>
    <cellStyle name="Normal 15 2 6 4 4" xfId="29001" xr:uid="{00000000-0005-0000-0000-0000283B0000}"/>
    <cellStyle name="Normal 15 2 6 4 5" xfId="19432" xr:uid="{00000000-0005-0000-0000-0000293B0000}"/>
    <cellStyle name="Normal 15 2 6 5" xfId="9863" xr:uid="{00000000-0005-0000-0000-00002A3B0000}"/>
    <cellStyle name="Normal 15 2 6 5 2" xfId="48137" xr:uid="{00000000-0005-0000-0000-00002B3B0000}"/>
    <cellStyle name="Normal 15 2 6 5 3" xfId="32037" xr:uid="{00000000-0005-0000-0000-00002C3B0000}"/>
    <cellStyle name="Normal 15 2 6 5 4" xfId="22468" xr:uid="{00000000-0005-0000-0000-00002D3B0000}"/>
    <cellStyle name="Normal 15 2 6 6" xfId="3791" xr:uid="{00000000-0005-0000-0000-00002E3B0000}"/>
    <cellStyle name="Normal 15 2 6 6 2" xfId="51632" xr:uid="{00000000-0005-0000-0000-00002F3B0000}"/>
    <cellStyle name="Normal 15 2 6 6 3" xfId="35532" xr:uid="{00000000-0005-0000-0000-0000303B0000}"/>
    <cellStyle name="Normal 15 2 6 6 4" xfId="16396" xr:uid="{00000000-0005-0000-0000-0000313B0000}"/>
    <cellStyle name="Normal 15 2 6 7" xfId="42065" xr:uid="{00000000-0005-0000-0000-0000323B0000}"/>
    <cellStyle name="Normal 15 2 6 8" xfId="25965" xr:uid="{00000000-0005-0000-0000-0000333B0000}"/>
    <cellStyle name="Normal 15 2 6 9" xfId="12901" xr:uid="{00000000-0005-0000-0000-0000343B0000}"/>
    <cellStyle name="Normal 15 2 7" xfId="754" xr:uid="{00000000-0005-0000-0000-0000353B0000}"/>
    <cellStyle name="Normal 15 2 7 2" xfId="2782" xr:uid="{00000000-0005-0000-0000-0000363B0000}"/>
    <cellStyle name="Normal 15 2 7 2 2" xfId="9314" xr:uid="{00000000-0005-0000-0000-0000373B0000}"/>
    <cellStyle name="Normal 15 2 7 2 2 2" xfId="41055" xr:uid="{00000000-0005-0000-0000-0000383B0000}"/>
    <cellStyle name="Normal 15 2 7 2 2 2 2" xfId="57155" xr:uid="{00000000-0005-0000-0000-0000393B0000}"/>
    <cellStyle name="Normal 15 2 7 2 2 3" xfId="47588" xr:uid="{00000000-0005-0000-0000-00003A3B0000}"/>
    <cellStyle name="Normal 15 2 7 2 2 4" xfId="31488" xr:uid="{00000000-0005-0000-0000-00003B3B0000}"/>
    <cellStyle name="Normal 15 2 7 2 2 5" xfId="21919" xr:uid="{00000000-0005-0000-0000-00003C3B0000}"/>
    <cellStyle name="Normal 15 2 7 2 3" xfId="12350" xr:uid="{00000000-0005-0000-0000-00003D3B0000}"/>
    <cellStyle name="Normal 15 2 7 2 3 2" xfId="50624" xr:uid="{00000000-0005-0000-0000-00003E3B0000}"/>
    <cellStyle name="Normal 15 2 7 2 3 3" xfId="34524" xr:uid="{00000000-0005-0000-0000-00003F3B0000}"/>
    <cellStyle name="Normal 15 2 7 2 3 4" xfId="24955" xr:uid="{00000000-0005-0000-0000-0000403B0000}"/>
    <cellStyle name="Normal 15 2 7 2 4" xfId="6278" xr:uid="{00000000-0005-0000-0000-0000413B0000}"/>
    <cellStyle name="Normal 15 2 7 2 4 2" xfId="54119" xr:uid="{00000000-0005-0000-0000-0000423B0000}"/>
    <cellStyle name="Normal 15 2 7 2 4 3" xfId="38019" xr:uid="{00000000-0005-0000-0000-0000433B0000}"/>
    <cellStyle name="Normal 15 2 7 2 4 4" xfId="18883" xr:uid="{00000000-0005-0000-0000-0000443B0000}"/>
    <cellStyle name="Normal 15 2 7 2 5" xfId="44552" xr:uid="{00000000-0005-0000-0000-0000453B0000}"/>
    <cellStyle name="Normal 15 2 7 2 6" xfId="28452" xr:uid="{00000000-0005-0000-0000-0000463B0000}"/>
    <cellStyle name="Normal 15 2 7 2 7" xfId="15388" xr:uid="{00000000-0005-0000-0000-0000473B0000}"/>
    <cellStyle name="Normal 15 2 7 3" xfId="1764" xr:uid="{00000000-0005-0000-0000-0000483B0000}"/>
    <cellStyle name="Normal 15 2 7 3 2" xfId="8298" xr:uid="{00000000-0005-0000-0000-0000493B0000}"/>
    <cellStyle name="Normal 15 2 7 3 2 2" xfId="40039" xr:uid="{00000000-0005-0000-0000-00004A3B0000}"/>
    <cellStyle name="Normal 15 2 7 3 2 2 2" xfId="56139" xr:uid="{00000000-0005-0000-0000-00004B3B0000}"/>
    <cellStyle name="Normal 15 2 7 3 2 3" xfId="46572" xr:uid="{00000000-0005-0000-0000-00004C3B0000}"/>
    <cellStyle name="Normal 15 2 7 3 2 4" xfId="30472" xr:uid="{00000000-0005-0000-0000-00004D3B0000}"/>
    <cellStyle name="Normal 15 2 7 3 2 5" xfId="20903" xr:uid="{00000000-0005-0000-0000-00004E3B0000}"/>
    <cellStyle name="Normal 15 2 7 3 3" xfId="11334" xr:uid="{00000000-0005-0000-0000-00004F3B0000}"/>
    <cellStyle name="Normal 15 2 7 3 3 2" xfId="49608" xr:uid="{00000000-0005-0000-0000-0000503B0000}"/>
    <cellStyle name="Normal 15 2 7 3 3 3" xfId="33508" xr:uid="{00000000-0005-0000-0000-0000513B0000}"/>
    <cellStyle name="Normal 15 2 7 3 3 4" xfId="23939" xr:uid="{00000000-0005-0000-0000-0000523B0000}"/>
    <cellStyle name="Normal 15 2 7 3 4" xfId="5262" xr:uid="{00000000-0005-0000-0000-0000533B0000}"/>
    <cellStyle name="Normal 15 2 7 3 4 2" xfId="53103" xr:uid="{00000000-0005-0000-0000-0000543B0000}"/>
    <cellStyle name="Normal 15 2 7 3 4 3" xfId="37003" xr:uid="{00000000-0005-0000-0000-0000553B0000}"/>
    <cellStyle name="Normal 15 2 7 3 4 4" xfId="17867" xr:uid="{00000000-0005-0000-0000-0000563B0000}"/>
    <cellStyle name="Normal 15 2 7 3 5" xfId="43536" xr:uid="{00000000-0005-0000-0000-0000573B0000}"/>
    <cellStyle name="Normal 15 2 7 3 6" xfId="27436" xr:uid="{00000000-0005-0000-0000-0000583B0000}"/>
    <cellStyle name="Normal 15 2 7 3 7" xfId="14372" xr:uid="{00000000-0005-0000-0000-0000593B0000}"/>
    <cellStyle name="Normal 15 2 7 4" xfId="7288" xr:uid="{00000000-0005-0000-0000-00005A3B0000}"/>
    <cellStyle name="Normal 15 2 7 4 2" xfId="39029" xr:uid="{00000000-0005-0000-0000-00005B3B0000}"/>
    <cellStyle name="Normal 15 2 7 4 2 2" xfId="55129" xr:uid="{00000000-0005-0000-0000-00005C3B0000}"/>
    <cellStyle name="Normal 15 2 7 4 3" xfId="45562" xr:uid="{00000000-0005-0000-0000-00005D3B0000}"/>
    <cellStyle name="Normal 15 2 7 4 4" xfId="29462" xr:uid="{00000000-0005-0000-0000-00005E3B0000}"/>
    <cellStyle name="Normal 15 2 7 4 5" xfId="19893" xr:uid="{00000000-0005-0000-0000-00005F3B0000}"/>
    <cellStyle name="Normal 15 2 7 5" xfId="10324" xr:uid="{00000000-0005-0000-0000-0000603B0000}"/>
    <cellStyle name="Normal 15 2 7 5 2" xfId="48598" xr:uid="{00000000-0005-0000-0000-0000613B0000}"/>
    <cellStyle name="Normal 15 2 7 5 3" xfId="32498" xr:uid="{00000000-0005-0000-0000-0000623B0000}"/>
    <cellStyle name="Normal 15 2 7 5 4" xfId="22929" xr:uid="{00000000-0005-0000-0000-0000633B0000}"/>
    <cellStyle name="Normal 15 2 7 6" xfId="4252" xr:uid="{00000000-0005-0000-0000-0000643B0000}"/>
    <cellStyle name="Normal 15 2 7 6 2" xfId="52093" xr:uid="{00000000-0005-0000-0000-0000653B0000}"/>
    <cellStyle name="Normal 15 2 7 6 3" xfId="35993" xr:uid="{00000000-0005-0000-0000-0000663B0000}"/>
    <cellStyle name="Normal 15 2 7 6 4" xfId="16857" xr:uid="{00000000-0005-0000-0000-0000673B0000}"/>
    <cellStyle name="Normal 15 2 7 7" xfId="42526" xr:uid="{00000000-0005-0000-0000-0000683B0000}"/>
    <cellStyle name="Normal 15 2 7 8" xfId="26426" xr:uid="{00000000-0005-0000-0000-0000693B0000}"/>
    <cellStyle name="Normal 15 2 7 9" xfId="13362" xr:uid="{00000000-0005-0000-0000-00006A3B0000}"/>
    <cellStyle name="Normal 15 2 8" xfId="2091" xr:uid="{00000000-0005-0000-0000-00006B3B0000}"/>
    <cellStyle name="Normal 15 2 8 2" xfId="8625" xr:uid="{00000000-0005-0000-0000-00006C3B0000}"/>
    <cellStyle name="Normal 15 2 8 2 2" xfId="40366" xr:uid="{00000000-0005-0000-0000-00006D3B0000}"/>
    <cellStyle name="Normal 15 2 8 2 2 2" xfId="56466" xr:uid="{00000000-0005-0000-0000-00006E3B0000}"/>
    <cellStyle name="Normal 15 2 8 2 3" xfId="46899" xr:uid="{00000000-0005-0000-0000-00006F3B0000}"/>
    <cellStyle name="Normal 15 2 8 2 4" xfId="30799" xr:uid="{00000000-0005-0000-0000-0000703B0000}"/>
    <cellStyle name="Normal 15 2 8 2 5" xfId="21230" xr:uid="{00000000-0005-0000-0000-0000713B0000}"/>
    <cellStyle name="Normal 15 2 8 3" xfId="11661" xr:uid="{00000000-0005-0000-0000-0000723B0000}"/>
    <cellStyle name="Normal 15 2 8 3 2" xfId="49935" xr:uid="{00000000-0005-0000-0000-0000733B0000}"/>
    <cellStyle name="Normal 15 2 8 3 3" xfId="33835" xr:uid="{00000000-0005-0000-0000-0000743B0000}"/>
    <cellStyle name="Normal 15 2 8 3 4" xfId="24266" xr:uid="{00000000-0005-0000-0000-0000753B0000}"/>
    <cellStyle name="Normal 15 2 8 4" xfId="5589" xr:uid="{00000000-0005-0000-0000-0000763B0000}"/>
    <cellStyle name="Normal 15 2 8 4 2" xfId="53430" xr:uid="{00000000-0005-0000-0000-0000773B0000}"/>
    <cellStyle name="Normal 15 2 8 4 3" xfId="37330" xr:uid="{00000000-0005-0000-0000-0000783B0000}"/>
    <cellStyle name="Normal 15 2 8 4 4" xfId="18194" xr:uid="{00000000-0005-0000-0000-0000793B0000}"/>
    <cellStyle name="Normal 15 2 8 5" xfId="43863" xr:uid="{00000000-0005-0000-0000-00007A3B0000}"/>
    <cellStyle name="Normal 15 2 8 6" xfId="27763" xr:uid="{00000000-0005-0000-0000-00007B3B0000}"/>
    <cellStyle name="Normal 15 2 8 7" xfId="14699" xr:uid="{00000000-0005-0000-0000-00007C3B0000}"/>
    <cellStyle name="Normal 15 2 9" xfId="1081" xr:uid="{00000000-0005-0000-0000-00007D3B0000}"/>
    <cellStyle name="Normal 15 2 9 2" xfId="7615" xr:uid="{00000000-0005-0000-0000-00007E3B0000}"/>
    <cellStyle name="Normal 15 2 9 2 2" xfId="39356" xr:uid="{00000000-0005-0000-0000-00007F3B0000}"/>
    <cellStyle name="Normal 15 2 9 2 2 2" xfId="55456" xr:uid="{00000000-0005-0000-0000-0000803B0000}"/>
    <cellStyle name="Normal 15 2 9 2 3" xfId="45889" xr:uid="{00000000-0005-0000-0000-0000813B0000}"/>
    <cellStyle name="Normal 15 2 9 2 4" xfId="29789" xr:uid="{00000000-0005-0000-0000-0000823B0000}"/>
    <cellStyle name="Normal 15 2 9 2 5" xfId="20220" xr:uid="{00000000-0005-0000-0000-0000833B0000}"/>
    <cellStyle name="Normal 15 2 9 3" xfId="10651" xr:uid="{00000000-0005-0000-0000-0000843B0000}"/>
    <cellStyle name="Normal 15 2 9 3 2" xfId="48925" xr:uid="{00000000-0005-0000-0000-0000853B0000}"/>
    <cellStyle name="Normal 15 2 9 3 3" xfId="32825" xr:uid="{00000000-0005-0000-0000-0000863B0000}"/>
    <cellStyle name="Normal 15 2 9 3 4" xfId="23256" xr:uid="{00000000-0005-0000-0000-0000873B0000}"/>
    <cellStyle name="Normal 15 2 9 4" xfId="4579" xr:uid="{00000000-0005-0000-0000-0000883B0000}"/>
    <cellStyle name="Normal 15 2 9 4 2" xfId="52420" xr:uid="{00000000-0005-0000-0000-0000893B0000}"/>
    <cellStyle name="Normal 15 2 9 4 3" xfId="36320" xr:uid="{00000000-0005-0000-0000-00008A3B0000}"/>
    <cellStyle name="Normal 15 2 9 4 4" xfId="17184" xr:uid="{00000000-0005-0000-0000-00008B3B0000}"/>
    <cellStyle name="Normal 15 2 9 5" xfId="42853" xr:uid="{00000000-0005-0000-0000-00008C3B0000}"/>
    <cellStyle name="Normal 15 2 9 6" xfId="26753" xr:uid="{00000000-0005-0000-0000-00008D3B0000}"/>
    <cellStyle name="Normal 15 2 9 7" xfId="13689" xr:uid="{00000000-0005-0000-0000-00008E3B0000}"/>
    <cellStyle name="Normal 15 20" xfId="3091" xr:uid="{00000000-0005-0000-0000-00008F3B0000}"/>
    <cellStyle name="Normal 15 20 2" xfId="50933" xr:uid="{00000000-0005-0000-0000-0000903B0000}"/>
    <cellStyle name="Normal 15 20 3" xfId="34833" xr:uid="{00000000-0005-0000-0000-0000913B0000}"/>
    <cellStyle name="Normal 15 20 4" xfId="15697" xr:uid="{00000000-0005-0000-0000-0000923B0000}"/>
    <cellStyle name="Normal 15 21" xfId="41366" xr:uid="{00000000-0005-0000-0000-0000933B0000}"/>
    <cellStyle name="Normal 15 22" xfId="25266" xr:uid="{00000000-0005-0000-0000-0000943B0000}"/>
    <cellStyle name="Normal 15 23" xfId="12661" xr:uid="{00000000-0005-0000-0000-0000953B0000}"/>
    <cellStyle name="Normal 15 3" xfId="121" xr:uid="{00000000-0005-0000-0000-0000963B0000}"/>
    <cellStyle name="Normal 15 3 10" xfId="9704" xr:uid="{00000000-0005-0000-0000-0000973B0000}"/>
    <cellStyle name="Normal 15 3 10 2" xfId="47978" xr:uid="{00000000-0005-0000-0000-0000983B0000}"/>
    <cellStyle name="Normal 15 3 10 3" xfId="31878" xr:uid="{00000000-0005-0000-0000-0000993B0000}"/>
    <cellStyle name="Normal 15 3 10 4" xfId="22309" xr:uid="{00000000-0005-0000-0000-00009A3B0000}"/>
    <cellStyle name="Normal 15 3 11" xfId="3172" xr:uid="{00000000-0005-0000-0000-00009B3B0000}"/>
    <cellStyle name="Normal 15 3 11 2" xfId="51014" xr:uid="{00000000-0005-0000-0000-00009C3B0000}"/>
    <cellStyle name="Normal 15 3 11 3" xfId="34914" xr:uid="{00000000-0005-0000-0000-00009D3B0000}"/>
    <cellStyle name="Normal 15 3 11 4" xfId="15778" xr:uid="{00000000-0005-0000-0000-00009E3B0000}"/>
    <cellStyle name="Normal 15 3 12" xfId="41447" xr:uid="{00000000-0005-0000-0000-00009F3B0000}"/>
    <cellStyle name="Normal 15 3 13" xfId="25347" xr:uid="{00000000-0005-0000-0000-0000A03B0000}"/>
    <cellStyle name="Normal 15 3 14" xfId="12742" xr:uid="{00000000-0005-0000-0000-0000A13B0000}"/>
    <cellStyle name="Normal 15 3 2" xfId="196" xr:uid="{00000000-0005-0000-0000-0000A23B0000}"/>
    <cellStyle name="Normal 15 3 2 10" xfId="41684" xr:uid="{00000000-0005-0000-0000-0000A33B0000}"/>
    <cellStyle name="Normal 15 3 2 11" xfId="25584" xr:uid="{00000000-0005-0000-0000-0000A43B0000}"/>
    <cellStyle name="Normal 15 3 2 12" xfId="13025" xr:uid="{00000000-0005-0000-0000-0000A53B0000}"/>
    <cellStyle name="Normal 15 3 2 2" xfId="373" xr:uid="{00000000-0005-0000-0000-0000A63B0000}"/>
    <cellStyle name="Normal 15 3 2 2 2" xfId="2392" xr:uid="{00000000-0005-0000-0000-0000A73B0000}"/>
    <cellStyle name="Normal 15 3 2 2 2 2" xfId="8926" xr:uid="{00000000-0005-0000-0000-0000A83B0000}"/>
    <cellStyle name="Normal 15 3 2 2 2 2 2" xfId="40667" xr:uid="{00000000-0005-0000-0000-0000A93B0000}"/>
    <cellStyle name="Normal 15 3 2 2 2 2 2 2" xfId="56767" xr:uid="{00000000-0005-0000-0000-0000AA3B0000}"/>
    <cellStyle name="Normal 15 3 2 2 2 2 3" xfId="47200" xr:uid="{00000000-0005-0000-0000-0000AB3B0000}"/>
    <cellStyle name="Normal 15 3 2 2 2 2 4" xfId="31100" xr:uid="{00000000-0005-0000-0000-0000AC3B0000}"/>
    <cellStyle name="Normal 15 3 2 2 2 2 5" xfId="21531" xr:uid="{00000000-0005-0000-0000-0000AD3B0000}"/>
    <cellStyle name="Normal 15 3 2 2 2 3" xfId="11962" xr:uid="{00000000-0005-0000-0000-0000AE3B0000}"/>
    <cellStyle name="Normal 15 3 2 2 2 3 2" xfId="50236" xr:uid="{00000000-0005-0000-0000-0000AF3B0000}"/>
    <cellStyle name="Normal 15 3 2 2 2 3 3" xfId="34136" xr:uid="{00000000-0005-0000-0000-0000B03B0000}"/>
    <cellStyle name="Normal 15 3 2 2 2 3 4" xfId="24567" xr:uid="{00000000-0005-0000-0000-0000B13B0000}"/>
    <cellStyle name="Normal 15 3 2 2 2 4" xfId="5890" xr:uid="{00000000-0005-0000-0000-0000B23B0000}"/>
    <cellStyle name="Normal 15 3 2 2 2 4 2" xfId="53731" xr:uid="{00000000-0005-0000-0000-0000B33B0000}"/>
    <cellStyle name="Normal 15 3 2 2 2 4 3" xfId="37631" xr:uid="{00000000-0005-0000-0000-0000B43B0000}"/>
    <cellStyle name="Normal 15 3 2 2 2 4 4" xfId="18495" xr:uid="{00000000-0005-0000-0000-0000B53B0000}"/>
    <cellStyle name="Normal 15 3 2 2 2 5" xfId="44164" xr:uid="{00000000-0005-0000-0000-0000B63B0000}"/>
    <cellStyle name="Normal 15 3 2 2 2 6" xfId="28064" xr:uid="{00000000-0005-0000-0000-0000B73B0000}"/>
    <cellStyle name="Normal 15 3 2 2 2 7" xfId="15000" xr:uid="{00000000-0005-0000-0000-0000B83B0000}"/>
    <cellStyle name="Normal 15 3 2 2 3" xfId="1604" xr:uid="{00000000-0005-0000-0000-0000B93B0000}"/>
    <cellStyle name="Normal 15 3 2 2 3 2" xfId="8138" xr:uid="{00000000-0005-0000-0000-0000BA3B0000}"/>
    <cellStyle name="Normal 15 3 2 2 3 2 2" xfId="39879" xr:uid="{00000000-0005-0000-0000-0000BB3B0000}"/>
    <cellStyle name="Normal 15 3 2 2 3 2 2 2" xfId="55979" xr:uid="{00000000-0005-0000-0000-0000BC3B0000}"/>
    <cellStyle name="Normal 15 3 2 2 3 2 3" xfId="46412" xr:uid="{00000000-0005-0000-0000-0000BD3B0000}"/>
    <cellStyle name="Normal 15 3 2 2 3 2 4" xfId="30312" xr:uid="{00000000-0005-0000-0000-0000BE3B0000}"/>
    <cellStyle name="Normal 15 3 2 2 3 2 5" xfId="20743" xr:uid="{00000000-0005-0000-0000-0000BF3B0000}"/>
    <cellStyle name="Normal 15 3 2 2 3 3" xfId="11174" xr:uid="{00000000-0005-0000-0000-0000C03B0000}"/>
    <cellStyle name="Normal 15 3 2 2 3 3 2" xfId="49448" xr:uid="{00000000-0005-0000-0000-0000C13B0000}"/>
    <cellStyle name="Normal 15 3 2 2 3 3 3" xfId="33348" xr:uid="{00000000-0005-0000-0000-0000C23B0000}"/>
    <cellStyle name="Normal 15 3 2 2 3 3 4" xfId="23779" xr:uid="{00000000-0005-0000-0000-0000C33B0000}"/>
    <cellStyle name="Normal 15 3 2 2 3 4" xfId="5102" xr:uid="{00000000-0005-0000-0000-0000C43B0000}"/>
    <cellStyle name="Normal 15 3 2 2 3 4 2" xfId="52943" xr:uid="{00000000-0005-0000-0000-0000C53B0000}"/>
    <cellStyle name="Normal 15 3 2 2 3 4 3" xfId="36843" xr:uid="{00000000-0005-0000-0000-0000C63B0000}"/>
    <cellStyle name="Normal 15 3 2 2 3 4 4" xfId="17707" xr:uid="{00000000-0005-0000-0000-0000C73B0000}"/>
    <cellStyle name="Normal 15 3 2 2 3 5" xfId="43376" xr:uid="{00000000-0005-0000-0000-0000C83B0000}"/>
    <cellStyle name="Normal 15 3 2 2 3 6" xfId="27276" xr:uid="{00000000-0005-0000-0000-0000C93B0000}"/>
    <cellStyle name="Normal 15 3 2 2 3 7" xfId="14212" xr:uid="{00000000-0005-0000-0000-0000CA3B0000}"/>
    <cellStyle name="Normal 15 3 2 2 4" xfId="7128" xr:uid="{00000000-0005-0000-0000-0000CB3B0000}"/>
    <cellStyle name="Normal 15 3 2 2 4 2" xfId="38869" xr:uid="{00000000-0005-0000-0000-0000CC3B0000}"/>
    <cellStyle name="Normal 15 3 2 2 4 2 2" xfId="54969" xr:uid="{00000000-0005-0000-0000-0000CD3B0000}"/>
    <cellStyle name="Normal 15 3 2 2 4 3" xfId="45402" xr:uid="{00000000-0005-0000-0000-0000CE3B0000}"/>
    <cellStyle name="Normal 15 3 2 2 4 4" xfId="29302" xr:uid="{00000000-0005-0000-0000-0000CF3B0000}"/>
    <cellStyle name="Normal 15 3 2 2 4 5" xfId="19733" xr:uid="{00000000-0005-0000-0000-0000D03B0000}"/>
    <cellStyle name="Normal 15 3 2 2 5" xfId="10164" xr:uid="{00000000-0005-0000-0000-0000D13B0000}"/>
    <cellStyle name="Normal 15 3 2 2 5 2" xfId="48438" xr:uid="{00000000-0005-0000-0000-0000D23B0000}"/>
    <cellStyle name="Normal 15 3 2 2 5 3" xfId="32338" xr:uid="{00000000-0005-0000-0000-0000D33B0000}"/>
    <cellStyle name="Normal 15 3 2 2 5 4" xfId="22769" xr:uid="{00000000-0005-0000-0000-0000D43B0000}"/>
    <cellStyle name="Normal 15 3 2 2 6" xfId="4092" xr:uid="{00000000-0005-0000-0000-0000D53B0000}"/>
    <cellStyle name="Normal 15 3 2 2 6 2" xfId="51933" xr:uid="{00000000-0005-0000-0000-0000D63B0000}"/>
    <cellStyle name="Normal 15 3 2 2 6 3" xfId="35833" xr:uid="{00000000-0005-0000-0000-0000D73B0000}"/>
    <cellStyle name="Normal 15 3 2 2 6 4" xfId="16697" xr:uid="{00000000-0005-0000-0000-0000D83B0000}"/>
    <cellStyle name="Normal 15 3 2 2 7" xfId="42366" xr:uid="{00000000-0005-0000-0000-0000D93B0000}"/>
    <cellStyle name="Normal 15 3 2 2 8" xfId="26266" xr:uid="{00000000-0005-0000-0000-0000DA3B0000}"/>
    <cellStyle name="Normal 15 3 2 2 9" xfId="13202" xr:uid="{00000000-0005-0000-0000-0000DB3B0000}"/>
    <cellStyle name="Normal 15 3 2 3" xfId="1012" xr:uid="{00000000-0005-0000-0000-0000DC3B0000}"/>
    <cellStyle name="Normal 15 3 2 3 2" xfId="3040" xr:uid="{00000000-0005-0000-0000-0000DD3B0000}"/>
    <cellStyle name="Normal 15 3 2 3 2 2" xfId="9572" xr:uid="{00000000-0005-0000-0000-0000DE3B0000}"/>
    <cellStyle name="Normal 15 3 2 3 2 2 2" xfId="41313" xr:uid="{00000000-0005-0000-0000-0000DF3B0000}"/>
    <cellStyle name="Normal 15 3 2 3 2 2 2 2" xfId="57413" xr:uid="{00000000-0005-0000-0000-0000E03B0000}"/>
    <cellStyle name="Normal 15 3 2 3 2 2 3" xfId="47846" xr:uid="{00000000-0005-0000-0000-0000E13B0000}"/>
    <cellStyle name="Normal 15 3 2 3 2 2 4" xfId="31746" xr:uid="{00000000-0005-0000-0000-0000E23B0000}"/>
    <cellStyle name="Normal 15 3 2 3 2 2 5" xfId="22177" xr:uid="{00000000-0005-0000-0000-0000E33B0000}"/>
    <cellStyle name="Normal 15 3 2 3 2 3" xfId="12608" xr:uid="{00000000-0005-0000-0000-0000E43B0000}"/>
    <cellStyle name="Normal 15 3 2 3 2 3 2" xfId="50882" xr:uid="{00000000-0005-0000-0000-0000E53B0000}"/>
    <cellStyle name="Normal 15 3 2 3 2 3 3" xfId="34782" xr:uid="{00000000-0005-0000-0000-0000E63B0000}"/>
    <cellStyle name="Normal 15 3 2 3 2 3 4" xfId="25213" xr:uid="{00000000-0005-0000-0000-0000E73B0000}"/>
    <cellStyle name="Normal 15 3 2 3 2 4" xfId="6536" xr:uid="{00000000-0005-0000-0000-0000E83B0000}"/>
    <cellStyle name="Normal 15 3 2 3 2 4 2" xfId="54377" xr:uid="{00000000-0005-0000-0000-0000E93B0000}"/>
    <cellStyle name="Normal 15 3 2 3 2 4 3" xfId="38277" xr:uid="{00000000-0005-0000-0000-0000EA3B0000}"/>
    <cellStyle name="Normal 15 3 2 3 2 4 4" xfId="19141" xr:uid="{00000000-0005-0000-0000-0000EB3B0000}"/>
    <cellStyle name="Normal 15 3 2 3 2 5" xfId="44810" xr:uid="{00000000-0005-0000-0000-0000EC3B0000}"/>
    <cellStyle name="Normal 15 3 2 3 2 6" xfId="28710" xr:uid="{00000000-0005-0000-0000-0000ED3B0000}"/>
    <cellStyle name="Normal 15 3 2 3 2 7" xfId="15646" xr:uid="{00000000-0005-0000-0000-0000EE3B0000}"/>
    <cellStyle name="Normal 15 3 2 3 3" xfId="2022" xr:uid="{00000000-0005-0000-0000-0000EF3B0000}"/>
    <cellStyle name="Normal 15 3 2 3 3 2" xfId="8556" xr:uid="{00000000-0005-0000-0000-0000F03B0000}"/>
    <cellStyle name="Normal 15 3 2 3 3 2 2" xfId="40297" xr:uid="{00000000-0005-0000-0000-0000F13B0000}"/>
    <cellStyle name="Normal 15 3 2 3 3 2 2 2" xfId="56397" xr:uid="{00000000-0005-0000-0000-0000F23B0000}"/>
    <cellStyle name="Normal 15 3 2 3 3 2 3" xfId="46830" xr:uid="{00000000-0005-0000-0000-0000F33B0000}"/>
    <cellStyle name="Normal 15 3 2 3 3 2 4" xfId="30730" xr:uid="{00000000-0005-0000-0000-0000F43B0000}"/>
    <cellStyle name="Normal 15 3 2 3 3 2 5" xfId="21161" xr:uid="{00000000-0005-0000-0000-0000F53B0000}"/>
    <cellStyle name="Normal 15 3 2 3 3 3" xfId="11592" xr:uid="{00000000-0005-0000-0000-0000F63B0000}"/>
    <cellStyle name="Normal 15 3 2 3 3 3 2" xfId="49866" xr:uid="{00000000-0005-0000-0000-0000F73B0000}"/>
    <cellStyle name="Normal 15 3 2 3 3 3 3" xfId="33766" xr:uid="{00000000-0005-0000-0000-0000F83B0000}"/>
    <cellStyle name="Normal 15 3 2 3 3 3 4" xfId="24197" xr:uid="{00000000-0005-0000-0000-0000F93B0000}"/>
    <cellStyle name="Normal 15 3 2 3 3 4" xfId="5520" xr:uid="{00000000-0005-0000-0000-0000FA3B0000}"/>
    <cellStyle name="Normal 15 3 2 3 3 4 2" xfId="53361" xr:uid="{00000000-0005-0000-0000-0000FB3B0000}"/>
    <cellStyle name="Normal 15 3 2 3 3 4 3" xfId="37261" xr:uid="{00000000-0005-0000-0000-0000FC3B0000}"/>
    <cellStyle name="Normal 15 3 2 3 3 4 4" xfId="18125" xr:uid="{00000000-0005-0000-0000-0000FD3B0000}"/>
    <cellStyle name="Normal 15 3 2 3 3 5" xfId="43794" xr:uid="{00000000-0005-0000-0000-0000FE3B0000}"/>
    <cellStyle name="Normal 15 3 2 3 3 6" xfId="27694" xr:uid="{00000000-0005-0000-0000-0000FF3B0000}"/>
    <cellStyle name="Normal 15 3 2 3 3 7" xfId="14630" xr:uid="{00000000-0005-0000-0000-0000003C0000}"/>
    <cellStyle name="Normal 15 3 2 3 4" xfId="7546" xr:uid="{00000000-0005-0000-0000-0000013C0000}"/>
    <cellStyle name="Normal 15 3 2 3 4 2" xfId="39287" xr:uid="{00000000-0005-0000-0000-0000023C0000}"/>
    <cellStyle name="Normal 15 3 2 3 4 2 2" xfId="55387" xr:uid="{00000000-0005-0000-0000-0000033C0000}"/>
    <cellStyle name="Normal 15 3 2 3 4 3" xfId="45820" xr:uid="{00000000-0005-0000-0000-0000043C0000}"/>
    <cellStyle name="Normal 15 3 2 3 4 4" xfId="29720" xr:uid="{00000000-0005-0000-0000-0000053C0000}"/>
    <cellStyle name="Normal 15 3 2 3 4 5" xfId="20151" xr:uid="{00000000-0005-0000-0000-0000063C0000}"/>
    <cellStyle name="Normal 15 3 2 3 5" xfId="10582" xr:uid="{00000000-0005-0000-0000-0000073C0000}"/>
    <cellStyle name="Normal 15 3 2 3 5 2" xfId="48856" xr:uid="{00000000-0005-0000-0000-0000083C0000}"/>
    <cellStyle name="Normal 15 3 2 3 5 3" xfId="32756" xr:uid="{00000000-0005-0000-0000-0000093C0000}"/>
    <cellStyle name="Normal 15 3 2 3 5 4" xfId="23187" xr:uid="{00000000-0005-0000-0000-00000A3C0000}"/>
    <cellStyle name="Normal 15 3 2 3 6" xfId="4510" xr:uid="{00000000-0005-0000-0000-00000B3C0000}"/>
    <cellStyle name="Normal 15 3 2 3 6 2" xfId="52351" xr:uid="{00000000-0005-0000-0000-00000C3C0000}"/>
    <cellStyle name="Normal 15 3 2 3 6 3" xfId="36251" xr:uid="{00000000-0005-0000-0000-00000D3C0000}"/>
    <cellStyle name="Normal 15 3 2 3 6 4" xfId="17115" xr:uid="{00000000-0005-0000-0000-00000E3C0000}"/>
    <cellStyle name="Normal 15 3 2 3 7" xfId="42784" xr:uid="{00000000-0005-0000-0000-00000F3C0000}"/>
    <cellStyle name="Normal 15 3 2 3 8" xfId="26684" xr:uid="{00000000-0005-0000-0000-0000103C0000}"/>
    <cellStyle name="Normal 15 3 2 3 9" xfId="13620" xr:uid="{00000000-0005-0000-0000-0000113C0000}"/>
    <cellStyle name="Normal 15 3 2 4" xfId="2215" xr:uid="{00000000-0005-0000-0000-0000123C0000}"/>
    <cellStyle name="Normal 15 3 2 4 2" xfId="8749" xr:uid="{00000000-0005-0000-0000-0000133C0000}"/>
    <cellStyle name="Normal 15 3 2 4 2 2" xfId="40490" xr:uid="{00000000-0005-0000-0000-0000143C0000}"/>
    <cellStyle name="Normal 15 3 2 4 2 2 2" xfId="56590" xr:uid="{00000000-0005-0000-0000-0000153C0000}"/>
    <cellStyle name="Normal 15 3 2 4 2 3" xfId="47023" xr:uid="{00000000-0005-0000-0000-0000163C0000}"/>
    <cellStyle name="Normal 15 3 2 4 2 4" xfId="30923" xr:uid="{00000000-0005-0000-0000-0000173C0000}"/>
    <cellStyle name="Normal 15 3 2 4 2 5" xfId="21354" xr:uid="{00000000-0005-0000-0000-0000183C0000}"/>
    <cellStyle name="Normal 15 3 2 4 3" xfId="11785" xr:uid="{00000000-0005-0000-0000-0000193C0000}"/>
    <cellStyle name="Normal 15 3 2 4 3 2" xfId="50059" xr:uid="{00000000-0005-0000-0000-00001A3C0000}"/>
    <cellStyle name="Normal 15 3 2 4 3 3" xfId="33959" xr:uid="{00000000-0005-0000-0000-00001B3C0000}"/>
    <cellStyle name="Normal 15 3 2 4 3 4" xfId="24390" xr:uid="{00000000-0005-0000-0000-00001C3C0000}"/>
    <cellStyle name="Normal 15 3 2 4 4" xfId="5713" xr:uid="{00000000-0005-0000-0000-00001D3C0000}"/>
    <cellStyle name="Normal 15 3 2 4 4 2" xfId="53554" xr:uid="{00000000-0005-0000-0000-00001E3C0000}"/>
    <cellStyle name="Normal 15 3 2 4 4 3" xfId="37454" xr:uid="{00000000-0005-0000-0000-00001F3C0000}"/>
    <cellStyle name="Normal 15 3 2 4 4 4" xfId="18318" xr:uid="{00000000-0005-0000-0000-0000203C0000}"/>
    <cellStyle name="Normal 15 3 2 4 5" xfId="43987" xr:uid="{00000000-0005-0000-0000-0000213C0000}"/>
    <cellStyle name="Normal 15 3 2 4 6" xfId="27887" xr:uid="{00000000-0005-0000-0000-0000223C0000}"/>
    <cellStyle name="Normal 15 3 2 4 7" xfId="14823" xr:uid="{00000000-0005-0000-0000-0000233C0000}"/>
    <cellStyle name="Normal 15 3 2 5" xfId="1427" xr:uid="{00000000-0005-0000-0000-0000243C0000}"/>
    <cellStyle name="Normal 15 3 2 5 2" xfId="7961" xr:uid="{00000000-0005-0000-0000-0000253C0000}"/>
    <cellStyle name="Normal 15 3 2 5 2 2" xfId="39702" xr:uid="{00000000-0005-0000-0000-0000263C0000}"/>
    <cellStyle name="Normal 15 3 2 5 2 2 2" xfId="55802" xr:uid="{00000000-0005-0000-0000-0000273C0000}"/>
    <cellStyle name="Normal 15 3 2 5 2 3" xfId="46235" xr:uid="{00000000-0005-0000-0000-0000283C0000}"/>
    <cellStyle name="Normal 15 3 2 5 2 4" xfId="30135" xr:uid="{00000000-0005-0000-0000-0000293C0000}"/>
    <cellStyle name="Normal 15 3 2 5 2 5" xfId="20566" xr:uid="{00000000-0005-0000-0000-00002A3C0000}"/>
    <cellStyle name="Normal 15 3 2 5 3" xfId="10997" xr:uid="{00000000-0005-0000-0000-00002B3C0000}"/>
    <cellStyle name="Normal 15 3 2 5 3 2" xfId="49271" xr:uid="{00000000-0005-0000-0000-00002C3C0000}"/>
    <cellStyle name="Normal 15 3 2 5 3 3" xfId="33171" xr:uid="{00000000-0005-0000-0000-00002D3C0000}"/>
    <cellStyle name="Normal 15 3 2 5 3 4" xfId="23602" xr:uid="{00000000-0005-0000-0000-00002E3C0000}"/>
    <cellStyle name="Normal 15 3 2 5 4" xfId="4925" xr:uid="{00000000-0005-0000-0000-00002F3C0000}"/>
    <cellStyle name="Normal 15 3 2 5 4 2" xfId="52766" xr:uid="{00000000-0005-0000-0000-0000303C0000}"/>
    <cellStyle name="Normal 15 3 2 5 4 3" xfId="36666" xr:uid="{00000000-0005-0000-0000-0000313C0000}"/>
    <cellStyle name="Normal 15 3 2 5 4 4" xfId="17530" xr:uid="{00000000-0005-0000-0000-0000323C0000}"/>
    <cellStyle name="Normal 15 3 2 5 5" xfId="43199" xr:uid="{00000000-0005-0000-0000-0000333C0000}"/>
    <cellStyle name="Normal 15 3 2 5 6" xfId="27099" xr:uid="{00000000-0005-0000-0000-0000343C0000}"/>
    <cellStyle name="Normal 15 3 2 5 7" xfId="14035" xr:uid="{00000000-0005-0000-0000-0000353C0000}"/>
    <cellStyle name="Normal 15 3 2 6" xfId="3915" xr:uid="{00000000-0005-0000-0000-0000363C0000}"/>
    <cellStyle name="Normal 15 3 2 6 2" xfId="35656" xr:uid="{00000000-0005-0000-0000-0000373C0000}"/>
    <cellStyle name="Normal 15 3 2 6 2 2" xfId="51756" xr:uid="{00000000-0005-0000-0000-0000383C0000}"/>
    <cellStyle name="Normal 15 3 2 6 3" xfId="42189" xr:uid="{00000000-0005-0000-0000-0000393C0000}"/>
    <cellStyle name="Normal 15 3 2 6 4" xfId="26089" xr:uid="{00000000-0005-0000-0000-00003A3C0000}"/>
    <cellStyle name="Normal 15 3 2 6 5" xfId="16520" xr:uid="{00000000-0005-0000-0000-00003B3C0000}"/>
    <cellStyle name="Normal 15 3 2 7" xfId="6951" xr:uid="{00000000-0005-0000-0000-00003C3C0000}"/>
    <cellStyle name="Normal 15 3 2 7 2" xfId="38692" xr:uid="{00000000-0005-0000-0000-00003D3C0000}"/>
    <cellStyle name="Normal 15 3 2 7 2 2" xfId="54792" xr:uid="{00000000-0005-0000-0000-00003E3C0000}"/>
    <cellStyle name="Normal 15 3 2 7 3" xfId="45225" xr:uid="{00000000-0005-0000-0000-00003F3C0000}"/>
    <cellStyle name="Normal 15 3 2 7 4" xfId="29125" xr:uid="{00000000-0005-0000-0000-0000403C0000}"/>
    <cellStyle name="Normal 15 3 2 7 5" xfId="19556" xr:uid="{00000000-0005-0000-0000-0000413C0000}"/>
    <cellStyle name="Normal 15 3 2 8" xfId="9987" xr:uid="{00000000-0005-0000-0000-0000423C0000}"/>
    <cellStyle name="Normal 15 3 2 8 2" xfId="48261" xr:uid="{00000000-0005-0000-0000-0000433C0000}"/>
    <cellStyle name="Normal 15 3 2 8 3" xfId="32161" xr:uid="{00000000-0005-0000-0000-0000443C0000}"/>
    <cellStyle name="Normal 15 3 2 8 4" xfId="22592" xr:uid="{00000000-0005-0000-0000-0000453C0000}"/>
    <cellStyle name="Normal 15 3 2 9" xfId="3410" xr:uid="{00000000-0005-0000-0000-0000463C0000}"/>
    <cellStyle name="Normal 15 3 2 9 2" xfId="51251" xr:uid="{00000000-0005-0000-0000-0000473C0000}"/>
    <cellStyle name="Normal 15 3 2 9 3" xfId="35151" xr:uid="{00000000-0005-0000-0000-0000483C0000}"/>
    <cellStyle name="Normal 15 3 2 9 4" xfId="16015" xr:uid="{00000000-0005-0000-0000-0000493C0000}"/>
    <cellStyle name="Normal 15 3 3" xfId="302" xr:uid="{00000000-0005-0000-0000-00004A3C0000}"/>
    <cellStyle name="Normal 15 3 3 2" xfId="2321" xr:uid="{00000000-0005-0000-0000-00004B3C0000}"/>
    <cellStyle name="Normal 15 3 3 2 2" xfId="8855" xr:uid="{00000000-0005-0000-0000-00004C3C0000}"/>
    <cellStyle name="Normal 15 3 3 2 2 2" xfId="40596" xr:uid="{00000000-0005-0000-0000-00004D3C0000}"/>
    <cellStyle name="Normal 15 3 3 2 2 2 2" xfId="56696" xr:uid="{00000000-0005-0000-0000-00004E3C0000}"/>
    <cellStyle name="Normal 15 3 3 2 2 3" xfId="47129" xr:uid="{00000000-0005-0000-0000-00004F3C0000}"/>
    <cellStyle name="Normal 15 3 3 2 2 4" xfId="31029" xr:uid="{00000000-0005-0000-0000-0000503C0000}"/>
    <cellStyle name="Normal 15 3 3 2 2 5" xfId="21460" xr:uid="{00000000-0005-0000-0000-0000513C0000}"/>
    <cellStyle name="Normal 15 3 3 2 3" xfId="11891" xr:uid="{00000000-0005-0000-0000-0000523C0000}"/>
    <cellStyle name="Normal 15 3 3 2 3 2" xfId="50165" xr:uid="{00000000-0005-0000-0000-0000533C0000}"/>
    <cellStyle name="Normal 15 3 3 2 3 3" xfId="34065" xr:uid="{00000000-0005-0000-0000-0000543C0000}"/>
    <cellStyle name="Normal 15 3 3 2 3 4" xfId="24496" xr:uid="{00000000-0005-0000-0000-0000553C0000}"/>
    <cellStyle name="Normal 15 3 3 2 4" xfId="5819" xr:uid="{00000000-0005-0000-0000-0000563C0000}"/>
    <cellStyle name="Normal 15 3 3 2 4 2" xfId="53660" xr:uid="{00000000-0005-0000-0000-0000573C0000}"/>
    <cellStyle name="Normal 15 3 3 2 4 3" xfId="37560" xr:uid="{00000000-0005-0000-0000-0000583C0000}"/>
    <cellStyle name="Normal 15 3 3 2 4 4" xfId="18424" xr:uid="{00000000-0005-0000-0000-0000593C0000}"/>
    <cellStyle name="Normal 15 3 3 2 5" xfId="44093" xr:uid="{00000000-0005-0000-0000-00005A3C0000}"/>
    <cellStyle name="Normal 15 3 3 2 6" xfId="27993" xr:uid="{00000000-0005-0000-0000-00005B3C0000}"/>
    <cellStyle name="Normal 15 3 3 2 7" xfId="14929" xr:uid="{00000000-0005-0000-0000-00005C3C0000}"/>
    <cellStyle name="Normal 15 3 3 3" xfId="1533" xr:uid="{00000000-0005-0000-0000-00005D3C0000}"/>
    <cellStyle name="Normal 15 3 3 3 2" xfId="8067" xr:uid="{00000000-0005-0000-0000-00005E3C0000}"/>
    <cellStyle name="Normal 15 3 3 3 2 2" xfId="39808" xr:uid="{00000000-0005-0000-0000-00005F3C0000}"/>
    <cellStyle name="Normal 15 3 3 3 2 2 2" xfId="55908" xr:uid="{00000000-0005-0000-0000-0000603C0000}"/>
    <cellStyle name="Normal 15 3 3 3 2 3" xfId="46341" xr:uid="{00000000-0005-0000-0000-0000613C0000}"/>
    <cellStyle name="Normal 15 3 3 3 2 4" xfId="30241" xr:uid="{00000000-0005-0000-0000-0000623C0000}"/>
    <cellStyle name="Normal 15 3 3 3 2 5" xfId="20672" xr:uid="{00000000-0005-0000-0000-0000633C0000}"/>
    <cellStyle name="Normal 15 3 3 3 3" xfId="11103" xr:uid="{00000000-0005-0000-0000-0000643C0000}"/>
    <cellStyle name="Normal 15 3 3 3 3 2" xfId="49377" xr:uid="{00000000-0005-0000-0000-0000653C0000}"/>
    <cellStyle name="Normal 15 3 3 3 3 3" xfId="33277" xr:uid="{00000000-0005-0000-0000-0000663C0000}"/>
    <cellStyle name="Normal 15 3 3 3 3 4" xfId="23708" xr:uid="{00000000-0005-0000-0000-0000673C0000}"/>
    <cellStyle name="Normal 15 3 3 3 4" xfId="5031" xr:uid="{00000000-0005-0000-0000-0000683C0000}"/>
    <cellStyle name="Normal 15 3 3 3 4 2" xfId="52872" xr:uid="{00000000-0005-0000-0000-0000693C0000}"/>
    <cellStyle name="Normal 15 3 3 3 4 3" xfId="36772" xr:uid="{00000000-0005-0000-0000-00006A3C0000}"/>
    <cellStyle name="Normal 15 3 3 3 4 4" xfId="17636" xr:uid="{00000000-0005-0000-0000-00006B3C0000}"/>
    <cellStyle name="Normal 15 3 3 3 5" xfId="43305" xr:uid="{00000000-0005-0000-0000-00006C3C0000}"/>
    <cellStyle name="Normal 15 3 3 3 6" xfId="27205" xr:uid="{00000000-0005-0000-0000-00006D3C0000}"/>
    <cellStyle name="Normal 15 3 3 3 7" xfId="14141" xr:uid="{00000000-0005-0000-0000-00006E3C0000}"/>
    <cellStyle name="Normal 15 3 3 4" xfId="7057" xr:uid="{00000000-0005-0000-0000-00006F3C0000}"/>
    <cellStyle name="Normal 15 3 3 4 2" xfId="38798" xr:uid="{00000000-0005-0000-0000-0000703C0000}"/>
    <cellStyle name="Normal 15 3 3 4 2 2" xfId="54898" xr:uid="{00000000-0005-0000-0000-0000713C0000}"/>
    <cellStyle name="Normal 15 3 3 4 3" xfId="45331" xr:uid="{00000000-0005-0000-0000-0000723C0000}"/>
    <cellStyle name="Normal 15 3 3 4 4" xfId="29231" xr:uid="{00000000-0005-0000-0000-0000733C0000}"/>
    <cellStyle name="Normal 15 3 3 4 5" xfId="19662" xr:uid="{00000000-0005-0000-0000-0000743C0000}"/>
    <cellStyle name="Normal 15 3 3 5" xfId="10093" xr:uid="{00000000-0005-0000-0000-0000753C0000}"/>
    <cellStyle name="Normal 15 3 3 5 2" xfId="48367" xr:uid="{00000000-0005-0000-0000-0000763C0000}"/>
    <cellStyle name="Normal 15 3 3 5 3" xfId="32267" xr:uid="{00000000-0005-0000-0000-0000773C0000}"/>
    <cellStyle name="Normal 15 3 3 5 4" xfId="22698" xr:uid="{00000000-0005-0000-0000-0000783C0000}"/>
    <cellStyle name="Normal 15 3 3 6" xfId="4021" xr:uid="{00000000-0005-0000-0000-0000793C0000}"/>
    <cellStyle name="Normal 15 3 3 6 2" xfId="51862" xr:uid="{00000000-0005-0000-0000-00007A3C0000}"/>
    <cellStyle name="Normal 15 3 3 6 3" xfId="35762" xr:uid="{00000000-0005-0000-0000-00007B3C0000}"/>
    <cellStyle name="Normal 15 3 3 6 4" xfId="16626" xr:uid="{00000000-0005-0000-0000-00007C3C0000}"/>
    <cellStyle name="Normal 15 3 3 7" xfId="42295" xr:uid="{00000000-0005-0000-0000-00007D3C0000}"/>
    <cellStyle name="Normal 15 3 3 8" xfId="26195" xr:uid="{00000000-0005-0000-0000-00007E3C0000}"/>
    <cellStyle name="Normal 15 3 3 9" xfId="13131" xr:uid="{00000000-0005-0000-0000-00007F3C0000}"/>
    <cellStyle name="Normal 15 3 4" xfId="560" xr:uid="{00000000-0005-0000-0000-0000803C0000}"/>
    <cellStyle name="Normal 15 3 4 2" xfId="2589" xr:uid="{00000000-0005-0000-0000-0000813C0000}"/>
    <cellStyle name="Normal 15 3 4 2 2" xfId="9121" xr:uid="{00000000-0005-0000-0000-0000823C0000}"/>
    <cellStyle name="Normal 15 3 4 2 2 2" xfId="40862" xr:uid="{00000000-0005-0000-0000-0000833C0000}"/>
    <cellStyle name="Normal 15 3 4 2 2 2 2" xfId="56962" xr:uid="{00000000-0005-0000-0000-0000843C0000}"/>
    <cellStyle name="Normal 15 3 4 2 2 3" xfId="47395" xr:uid="{00000000-0005-0000-0000-0000853C0000}"/>
    <cellStyle name="Normal 15 3 4 2 2 4" xfId="31295" xr:uid="{00000000-0005-0000-0000-0000863C0000}"/>
    <cellStyle name="Normal 15 3 4 2 2 5" xfId="21726" xr:uid="{00000000-0005-0000-0000-0000873C0000}"/>
    <cellStyle name="Normal 15 3 4 2 3" xfId="12157" xr:uid="{00000000-0005-0000-0000-0000883C0000}"/>
    <cellStyle name="Normal 15 3 4 2 3 2" xfId="50431" xr:uid="{00000000-0005-0000-0000-0000893C0000}"/>
    <cellStyle name="Normal 15 3 4 2 3 3" xfId="34331" xr:uid="{00000000-0005-0000-0000-00008A3C0000}"/>
    <cellStyle name="Normal 15 3 4 2 3 4" xfId="24762" xr:uid="{00000000-0005-0000-0000-00008B3C0000}"/>
    <cellStyle name="Normal 15 3 4 2 4" xfId="6085" xr:uid="{00000000-0005-0000-0000-00008C3C0000}"/>
    <cellStyle name="Normal 15 3 4 2 4 2" xfId="53926" xr:uid="{00000000-0005-0000-0000-00008D3C0000}"/>
    <cellStyle name="Normal 15 3 4 2 4 3" xfId="37826" xr:uid="{00000000-0005-0000-0000-00008E3C0000}"/>
    <cellStyle name="Normal 15 3 4 2 4 4" xfId="18690" xr:uid="{00000000-0005-0000-0000-00008F3C0000}"/>
    <cellStyle name="Normal 15 3 4 2 5" xfId="44359" xr:uid="{00000000-0005-0000-0000-0000903C0000}"/>
    <cellStyle name="Normal 15 3 4 2 6" xfId="28259" xr:uid="{00000000-0005-0000-0000-0000913C0000}"/>
    <cellStyle name="Normal 15 3 4 2 7" xfId="15195" xr:uid="{00000000-0005-0000-0000-0000923C0000}"/>
    <cellStyle name="Normal 15 3 4 3" xfId="1356" xr:uid="{00000000-0005-0000-0000-0000933C0000}"/>
    <cellStyle name="Normal 15 3 4 3 2" xfId="7890" xr:uid="{00000000-0005-0000-0000-0000943C0000}"/>
    <cellStyle name="Normal 15 3 4 3 2 2" xfId="39631" xr:uid="{00000000-0005-0000-0000-0000953C0000}"/>
    <cellStyle name="Normal 15 3 4 3 2 2 2" xfId="55731" xr:uid="{00000000-0005-0000-0000-0000963C0000}"/>
    <cellStyle name="Normal 15 3 4 3 2 3" xfId="46164" xr:uid="{00000000-0005-0000-0000-0000973C0000}"/>
    <cellStyle name="Normal 15 3 4 3 2 4" xfId="30064" xr:uid="{00000000-0005-0000-0000-0000983C0000}"/>
    <cellStyle name="Normal 15 3 4 3 2 5" xfId="20495" xr:uid="{00000000-0005-0000-0000-0000993C0000}"/>
    <cellStyle name="Normal 15 3 4 3 3" xfId="10926" xr:uid="{00000000-0005-0000-0000-00009A3C0000}"/>
    <cellStyle name="Normal 15 3 4 3 3 2" xfId="49200" xr:uid="{00000000-0005-0000-0000-00009B3C0000}"/>
    <cellStyle name="Normal 15 3 4 3 3 3" xfId="33100" xr:uid="{00000000-0005-0000-0000-00009C3C0000}"/>
    <cellStyle name="Normal 15 3 4 3 3 4" xfId="23531" xr:uid="{00000000-0005-0000-0000-00009D3C0000}"/>
    <cellStyle name="Normal 15 3 4 3 4" xfId="4854" xr:uid="{00000000-0005-0000-0000-00009E3C0000}"/>
    <cellStyle name="Normal 15 3 4 3 4 2" xfId="52695" xr:uid="{00000000-0005-0000-0000-00009F3C0000}"/>
    <cellStyle name="Normal 15 3 4 3 4 3" xfId="36595" xr:uid="{00000000-0005-0000-0000-0000A03C0000}"/>
    <cellStyle name="Normal 15 3 4 3 4 4" xfId="17459" xr:uid="{00000000-0005-0000-0000-0000A13C0000}"/>
    <cellStyle name="Normal 15 3 4 3 5" xfId="43128" xr:uid="{00000000-0005-0000-0000-0000A23C0000}"/>
    <cellStyle name="Normal 15 3 4 3 6" xfId="27028" xr:uid="{00000000-0005-0000-0000-0000A33C0000}"/>
    <cellStyle name="Normal 15 3 4 3 7" xfId="13964" xr:uid="{00000000-0005-0000-0000-0000A43C0000}"/>
    <cellStyle name="Normal 15 3 4 4" xfId="6880" xr:uid="{00000000-0005-0000-0000-0000A53C0000}"/>
    <cellStyle name="Normal 15 3 4 4 2" xfId="38621" xr:uid="{00000000-0005-0000-0000-0000A63C0000}"/>
    <cellStyle name="Normal 15 3 4 4 2 2" xfId="54721" xr:uid="{00000000-0005-0000-0000-0000A73C0000}"/>
    <cellStyle name="Normal 15 3 4 4 3" xfId="45154" xr:uid="{00000000-0005-0000-0000-0000A83C0000}"/>
    <cellStyle name="Normal 15 3 4 4 4" xfId="29054" xr:uid="{00000000-0005-0000-0000-0000A93C0000}"/>
    <cellStyle name="Normal 15 3 4 4 5" xfId="19485" xr:uid="{00000000-0005-0000-0000-0000AA3C0000}"/>
    <cellStyle name="Normal 15 3 4 5" xfId="9916" xr:uid="{00000000-0005-0000-0000-0000AB3C0000}"/>
    <cellStyle name="Normal 15 3 4 5 2" xfId="48190" xr:uid="{00000000-0005-0000-0000-0000AC3C0000}"/>
    <cellStyle name="Normal 15 3 4 5 3" xfId="32090" xr:uid="{00000000-0005-0000-0000-0000AD3C0000}"/>
    <cellStyle name="Normal 15 3 4 5 4" xfId="22521" xr:uid="{00000000-0005-0000-0000-0000AE3C0000}"/>
    <cellStyle name="Normal 15 3 4 6" xfId="3844" xr:uid="{00000000-0005-0000-0000-0000AF3C0000}"/>
    <cellStyle name="Normal 15 3 4 6 2" xfId="51685" xr:uid="{00000000-0005-0000-0000-0000B03C0000}"/>
    <cellStyle name="Normal 15 3 4 6 3" xfId="35585" xr:uid="{00000000-0005-0000-0000-0000B13C0000}"/>
    <cellStyle name="Normal 15 3 4 6 4" xfId="16449" xr:uid="{00000000-0005-0000-0000-0000B23C0000}"/>
    <cellStyle name="Normal 15 3 4 7" xfId="42118" xr:uid="{00000000-0005-0000-0000-0000B33C0000}"/>
    <cellStyle name="Normal 15 3 4 8" xfId="26018" xr:uid="{00000000-0005-0000-0000-0000B43C0000}"/>
    <cellStyle name="Normal 15 3 4 9" xfId="12954" xr:uid="{00000000-0005-0000-0000-0000B53C0000}"/>
    <cellStyle name="Normal 15 3 5" xfId="817" xr:uid="{00000000-0005-0000-0000-0000B63C0000}"/>
    <cellStyle name="Normal 15 3 5 2" xfId="2845" xr:uid="{00000000-0005-0000-0000-0000B73C0000}"/>
    <cellStyle name="Normal 15 3 5 2 2" xfId="9377" xr:uid="{00000000-0005-0000-0000-0000B83C0000}"/>
    <cellStyle name="Normal 15 3 5 2 2 2" xfId="41118" xr:uid="{00000000-0005-0000-0000-0000B93C0000}"/>
    <cellStyle name="Normal 15 3 5 2 2 2 2" xfId="57218" xr:uid="{00000000-0005-0000-0000-0000BA3C0000}"/>
    <cellStyle name="Normal 15 3 5 2 2 3" xfId="47651" xr:uid="{00000000-0005-0000-0000-0000BB3C0000}"/>
    <cellStyle name="Normal 15 3 5 2 2 4" xfId="31551" xr:uid="{00000000-0005-0000-0000-0000BC3C0000}"/>
    <cellStyle name="Normal 15 3 5 2 2 5" xfId="21982" xr:uid="{00000000-0005-0000-0000-0000BD3C0000}"/>
    <cellStyle name="Normal 15 3 5 2 3" xfId="12413" xr:uid="{00000000-0005-0000-0000-0000BE3C0000}"/>
    <cellStyle name="Normal 15 3 5 2 3 2" xfId="50687" xr:uid="{00000000-0005-0000-0000-0000BF3C0000}"/>
    <cellStyle name="Normal 15 3 5 2 3 3" xfId="34587" xr:uid="{00000000-0005-0000-0000-0000C03C0000}"/>
    <cellStyle name="Normal 15 3 5 2 3 4" xfId="25018" xr:uid="{00000000-0005-0000-0000-0000C13C0000}"/>
    <cellStyle name="Normal 15 3 5 2 4" xfId="6341" xr:uid="{00000000-0005-0000-0000-0000C23C0000}"/>
    <cellStyle name="Normal 15 3 5 2 4 2" xfId="54182" xr:uid="{00000000-0005-0000-0000-0000C33C0000}"/>
    <cellStyle name="Normal 15 3 5 2 4 3" xfId="38082" xr:uid="{00000000-0005-0000-0000-0000C43C0000}"/>
    <cellStyle name="Normal 15 3 5 2 4 4" xfId="18946" xr:uid="{00000000-0005-0000-0000-0000C53C0000}"/>
    <cellStyle name="Normal 15 3 5 2 5" xfId="44615" xr:uid="{00000000-0005-0000-0000-0000C63C0000}"/>
    <cellStyle name="Normal 15 3 5 2 6" xfId="28515" xr:uid="{00000000-0005-0000-0000-0000C73C0000}"/>
    <cellStyle name="Normal 15 3 5 2 7" xfId="15451" xr:uid="{00000000-0005-0000-0000-0000C83C0000}"/>
    <cellStyle name="Normal 15 3 5 3" xfId="1827" xr:uid="{00000000-0005-0000-0000-0000C93C0000}"/>
    <cellStyle name="Normal 15 3 5 3 2" xfId="8361" xr:uid="{00000000-0005-0000-0000-0000CA3C0000}"/>
    <cellStyle name="Normal 15 3 5 3 2 2" xfId="40102" xr:uid="{00000000-0005-0000-0000-0000CB3C0000}"/>
    <cellStyle name="Normal 15 3 5 3 2 2 2" xfId="56202" xr:uid="{00000000-0005-0000-0000-0000CC3C0000}"/>
    <cellStyle name="Normal 15 3 5 3 2 3" xfId="46635" xr:uid="{00000000-0005-0000-0000-0000CD3C0000}"/>
    <cellStyle name="Normal 15 3 5 3 2 4" xfId="30535" xr:uid="{00000000-0005-0000-0000-0000CE3C0000}"/>
    <cellStyle name="Normal 15 3 5 3 2 5" xfId="20966" xr:uid="{00000000-0005-0000-0000-0000CF3C0000}"/>
    <cellStyle name="Normal 15 3 5 3 3" xfId="11397" xr:uid="{00000000-0005-0000-0000-0000D03C0000}"/>
    <cellStyle name="Normal 15 3 5 3 3 2" xfId="49671" xr:uid="{00000000-0005-0000-0000-0000D13C0000}"/>
    <cellStyle name="Normal 15 3 5 3 3 3" xfId="33571" xr:uid="{00000000-0005-0000-0000-0000D23C0000}"/>
    <cellStyle name="Normal 15 3 5 3 3 4" xfId="24002" xr:uid="{00000000-0005-0000-0000-0000D33C0000}"/>
    <cellStyle name="Normal 15 3 5 3 4" xfId="5325" xr:uid="{00000000-0005-0000-0000-0000D43C0000}"/>
    <cellStyle name="Normal 15 3 5 3 4 2" xfId="53166" xr:uid="{00000000-0005-0000-0000-0000D53C0000}"/>
    <cellStyle name="Normal 15 3 5 3 4 3" xfId="37066" xr:uid="{00000000-0005-0000-0000-0000D63C0000}"/>
    <cellStyle name="Normal 15 3 5 3 4 4" xfId="17930" xr:uid="{00000000-0005-0000-0000-0000D73C0000}"/>
    <cellStyle name="Normal 15 3 5 3 5" xfId="43599" xr:uid="{00000000-0005-0000-0000-0000D83C0000}"/>
    <cellStyle name="Normal 15 3 5 3 6" xfId="27499" xr:uid="{00000000-0005-0000-0000-0000D93C0000}"/>
    <cellStyle name="Normal 15 3 5 3 7" xfId="14435" xr:uid="{00000000-0005-0000-0000-0000DA3C0000}"/>
    <cellStyle name="Normal 15 3 5 4" xfId="7351" xr:uid="{00000000-0005-0000-0000-0000DB3C0000}"/>
    <cellStyle name="Normal 15 3 5 4 2" xfId="39092" xr:uid="{00000000-0005-0000-0000-0000DC3C0000}"/>
    <cellStyle name="Normal 15 3 5 4 2 2" xfId="55192" xr:uid="{00000000-0005-0000-0000-0000DD3C0000}"/>
    <cellStyle name="Normal 15 3 5 4 3" xfId="45625" xr:uid="{00000000-0005-0000-0000-0000DE3C0000}"/>
    <cellStyle name="Normal 15 3 5 4 4" xfId="29525" xr:uid="{00000000-0005-0000-0000-0000DF3C0000}"/>
    <cellStyle name="Normal 15 3 5 4 5" xfId="19956" xr:uid="{00000000-0005-0000-0000-0000E03C0000}"/>
    <cellStyle name="Normal 15 3 5 5" xfId="10387" xr:uid="{00000000-0005-0000-0000-0000E13C0000}"/>
    <cellStyle name="Normal 15 3 5 5 2" xfId="48661" xr:uid="{00000000-0005-0000-0000-0000E23C0000}"/>
    <cellStyle name="Normal 15 3 5 5 3" xfId="32561" xr:uid="{00000000-0005-0000-0000-0000E33C0000}"/>
    <cellStyle name="Normal 15 3 5 5 4" xfId="22992" xr:uid="{00000000-0005-0000-0000-0000E43C0000}"/>
    <cellStyle name="Normal 15 3 5 6" xfId="4315" xr:uid="{00000000-0005-0000-0000-0000E53C0000}"/>
    <cellStyle name="Normal 15 3 5 6 2" xfId="52156" xr:uid="{00000000-0005-0000-0000-0000E63C0000}"/>
    <cellStyle name="Normal 15 3 5 6 3" xfId="36056" xr:uid="{00000000-0005-0000-0000-0000E73C0000}"/>
    <cellStyle name="Normal 15 3 5 6 4" xfId="16920" xr:uid="{00000000-0005-0000-0000-0000E83C0000}"/>
    <cellStyle name="Normal 15 3 5 7" xfId="42589" xr:uid="{00000000-0005-0000-0000-0000E93C0000}"/>
    <cellStyle name="Normal 15 3 5 8" xfId="26489" xr:uid="{00000000-0005-0000-0000-0000EA3C0000}"/>
    <cellStyle name="Normal 15 3 5 9" xfId="13425" xr:uid="{00000000-0005-0000-0000-0000EB3C0000}"/>
    <cellStyle name="Normal 15 3 6" xfId="2144" xr:uid="{00000000-0005-0000-0000-0000EC3C0000}"/>
    <cellStyle name="Normal 15 3 6 2" xfId="8678" xr:uid="{00000000-0005-0000-0000-0000ED3C0000}"/>
    <cellStyle name="Normal 15 3 6 2 2" xfId="40419" xr:uid="{00000000-0005-0000-0000-0000EE3C0000}"/>
    <cellStyle name="Normal 15 3 6 2 2 2" xfId="56519" xr:uid="{00000000-0005-0000-0000-0000EF3C0000}"/>
    <cellStyle name="Normal 15 3 6 2 3" xfId="46952" xr:uid="{00000000-0005-0000-0000-0000F03C0000}"/>
    <cellStyle name="Normal 15 3 6 2 4" xfId="30852" xr:uid="{00000000-0005-0000-0000-0000F13C0000}"/>
    <cellStyle name="Normal 15 3 6 2 5" xfId="21283" xr:uid="{00000000-0005-0000-0000-0000F23C0000}"/>
    <cellStyle name="Normal 15 3 6 3" xfId="11714" xr:uid="{00000000-0005-0000-0000-0000F33C0000}"/>
    <cellStyle name="Normal 15 3 6 3 2" xfId="49988" xr:uid="{00000000-0005-0000-0000-0000F43C0000}"/>
    <cellStyle name="Normal 15 3 6 3 3" xfId="33888" xr:uid="{00000000-0005-0000-0000-0000F53C0000}"/>
    <cellStyle name="Normal 15 3 6 3 4" xfId="24319" xr:uid="{00000000-0005-0000-0000-0000F63C0000}"/>
    <cellStyle name="Normal 15 3 6 4" xfId="5642" xr:uid="{00000000-0005-0000-0000-0000F73C0000}"/>
    <cellStyle name="Normal 15 3 6 4 2" xfId="53483" xr:uid="{00000000-0005-0000-0000-0000F83C0000}"/>
    <cellStyle name="Normal 15 3 6 4 3" xfId="37383" xr:uid="{00000000-0005-0000-0000-0000F93C0000}"/>
    <cellStyle name="Normal 15 3 6 4 4" xfId="18247" xr:uid="{00000000-0005-0000-0000-0000FA3C0000}"/>
    <cellStyle name="Normal 15 3 6 5" xfId="43916" xr:uid="{00000000-0005-0000-0000-0000FB3C0000}"/>
    <cellStyle name="Normal 15 3 6 6" xfId="27816" xr:uid="{00000000-0005-0000-0000-0000FC3C0000}"/>
    <cellStyle name="Normal 15 3 6 7" xfId="14752" xr:uid="{00000000-0005-0000-0000-0000FD3C0000}"/>
    <cellStyle name="Normal 15 3 7" xfId="1144" xr:uid="{00000000-0005-0000-0000-0000FE3C0000}"/>
    <cellStyle name="Normal 15 3 7 2" xfId="7678" xr:uid="{00000000-0005-0000-0000-0000FF3C0000}"/>
    <cellStyle name="Normal 15 3 7 2 2" xfId="39419" xr:uid="{00000000-0005-0000-0000-0000003D0000}"/>
    <cellStyle name="Normal 15 3 7 2 2 2" xfId="55519" xr:uid="{00000000-0005-0000-0000-0000013D0000}"/>
    <cellStyle name="Normal 15 3 7 2 3" xfId="45952" xr:uid="{00000000-0005-0000-0000-0000023D0000}"/>
    <cellStyle name="Normal 15 3 7 2 4" xfId="29852" xr:uid="{00000000-0005-0000-0000-0000033D0000}"/>
    <cellStyle name="Normal 15 3 7 2 5" xfId="20283" xr:uid="{00000000-0005-0000-0000-0000043D0000}"/>
    <cellStyle name="Normal 15 3 7 3" xfId="10714" xr:uid="{00000000-0005-0000-0000-0000053D0000}"/>
    <cellStyle name="Normal 15 3 7 3 2" xfId="48988" xr:uid="{00000000-0005-0000-0000-0000063D0000}"/>
    <cellStyle name="Normal 15 3 7 3 3" xfId="32888" xr:uid="{00000000-0005-0000-0000-0000073D0000}"/>
    <cellStyle name="Normal 15 3 7 3 4" xfId="23319" xr:uid="{00000000-0005-0000-0000-0000083D0000}"/>
    <cellStyle name="Normal 15 3 7 4" xfId="4642" xr:uid="{00000000-0005-0000-0000-0000093D0000}"/>
    <cellStyle name="Normal 15 3 7 4 2" xfId="52483" xr:uid="{00000000-0005-0000-0000-00000A3D0000}"/>
    <cellStyle name="Normal 15 3 7 4 3" xfId="36383" xr:uid="{00000000-0005-0000-0000-00000B3D0000}"/>
    <cellStyle name="Normal 15 3 7 4 4" xfId="17247" xr:uid="{00000000-0005-0000-0000-00000C3D0000}"/>
    <cellStyle name="Normal 15 3 7 5" xfId="42916" xr:uid="{00000000-0005-0000-0000-00000D3D0000}"/>
    <cellStyle name="Normal 15 3 7 6" xfId="26816" xr:uid="{00000000-0005-0000-0000-00000E3D0000}"/>
    <cellStyle name="Normal 15 3 7 7" xfId="13752" xr:uid="{00000000-0005-0000-0000-00000F3D0000}"/>
    <cellStyle name="Normal 15 3 8" xfId="3632" xr:uid="{00000000-0005-0000-0000-0000103D0000}"/>
    <cellStyle name="Normal 15 3 8 2" xfId="35373" xr:uid="{00000000-0005-0000-0000-0000113D0000}"/>
    <cellStyle name="Normal 15 3 8 2 2" xfId="51473" xr:uid="{00000000-0005-0000-0000-0000123D0000}"/>
    <cellStyle name="Normal 15 3 8 3" xfId="41906" xr:uid="{00000000-0005-0000-0000-0000133D0000}"/>
    <cellStyle name="Normal 15 3 8 4" xfId="25806" xr:uid="{00000000-0005-0000-0000-0000143D0000}"/>
    <cellStyle name="Normal 15 3 8 5" xfId="16237" xr:uid="{00000000-0005-0000-0000-0000153D0000}"/>
    <cellStyle name="Normal 15 3 9" xfId="6668" xr:uid="{00000000-0005-0000-0000-0000163D0000}"/>
    <cellStyle name="Normal 15 3 9 2" xfId="38409" xr:uid="{00000000-0005-0000-0000-0000173D0000}"/>
    <cellStyle name="Normal 15 3 9 2 2" xfId="54509" xr:uid="{00000000-0005-0000-0000-0000183D0000}"/>
    <cellStyle name="Normal 15 3 9 3" xfId="44942" xr:uid="{00000000-0005-0000-0000-0000193D0000}"/>
    <cellStyle name="Normal 15 3 9 4" xfId="28842" xr:uid="{00000000-0005-0000-0000-00001A3D0000}"/>
    <cellStyle name="Normal 15 3 9 5" xfId="19273" xr:uid="{00000000-0005-0000-0000-00001B3D0000}"/>
    <cellStyle name="Normal 15 4" xfId="85" xr:uid="{00000000-0005-0000-0000-00001C3D0000}"/>
    <cellStyle name="Normal 15 4 10" xfId="3189" xr:uid="{00000000-0005-0000-0000-00001D3D0000}"/>
    <cellStyle name="Normal 15 4 10 2" xfId="51031" xr:uid="{00000000-0005-0000-0000-00001E3D0000}"/>
    <cellStyle name="Normal 15 4 10 3" xfId="34931" xr:uid="{00000000-0005-0000-0000-00001F3D0000}"/>
    <cellStyle name="Normal 15 4 10 4" xfId="15795" xr:uid="{00000000-0005-0000-0000-0000203D0000}"/>
    <cellStyle name="Normal 15 4 11" xfId="41464" xr:uid="{00000000-0005-0000-0000-0000213D0000}"/>
    <cellStyle name="Normal 15 4 12" xfId="25364" xr:uid="{00000000-0005-0000-0000-0000223D0000}"/>
    <cellStyle name="Normal 15 4 13" xfId="12759" xr:uid="{00000000-0005-0000-0000-0000233D0000}"/>
    <cellStyle name="Normal 15 4 2" xfId="266" xr:uid="{00000000-0005-0000-0000-0000243D0000}"/>
    <cellStyle name="Normal 15 4 2 10" xfId="25601" xr:uid="{00000000-0005-0000-0000-0000253D0000}"/>
    <cellStyle name="Normal 15 4 2 11" xfId="13095" xr:uid="{00000000-0005-0000-0000-0000263D0000}"/>
    <cellStyle name="Normal 15 4 2 2" xfId="1046" xr:uid="{00000000-0005-0000-0000-0000273D0000}"/>
    <cellStyle name="Normal 15 4 2 2 2" xfId="3074" xr:uid="{00000000-0005-0000-0000-0000283D0000}"/>
    <cellStyle name="Normal 15 4 2 2 2 2" xfId="9606" xr:uid="{00000000-0005-0000-0000-0000293D0000}"/>
    <cellStyle name="Normal 15 4 2 2 2 2 2" xfId="41347" xr:uid="{00000000-0005-0000-0000-00002A3D0000}"/>
    <cellStyle name="Normal 15 4 2 2 2 2 2 2" xfId="57447" xr:uid="{00000000-0005-0000-0000-00002B3D0000}"/>
    <cellStyle name="Normal 15 4 2 2 2 2 3" xfId="47880" xr:uid="{00000000-0005-0000-0000-00002C3D0000}"/>
    <cellStyle name="Normal 15 4 2 2 2 2 4" xfId="31780" xr:uid="{00000000-0005-0000-0000-00002D3D0000}"/>
    <cellStyle name="Normal 15 4 2 2 2 2 5" xfId="22211" xr:uid="{00000000-0005-0000-0000-00002E3D0000}"/>
    <cellStyle name="Normal 15 4 2 2 2 3" xfId="12642" xr:uid="{00000000-0005-0000-0000-00002F3D0000}"/>
    <cellStyle name="Normal 15 4 2 2 2 3 2" xfId="50916" xr:uid="{00000000-0005-0000-0000-0000303D0000}"/>
    <cellStyle name="Normal 15 4 2 2 2 3 3" xfId="34816" xr:uid="{00000000-0005-0000-0000-0000313D0000}"/>
    <cellStyle name="Normal 15 4 2 2 2 3 4" xfId="25247" xr:uid="{00000000-0005-0000-0000-0000323D0000}"/>
    <cellStyle name="Normal 15 4 2 2 2 4" xfId="6570" xr:uid="{00000000-0005-0000-0000-0000333D0000}"/>
    <cellStyle name="Normal 15 4 2 2 2 4 2" xfId="54411" xr:uid="{00000000-0005-0000-0000-0000343D0000}"/>
    <cellStyle name="Normal 15 4 2 2 2 4 3" xfId="38311" xr:uid="{00000000-0005-0000-0000-0000353D0000}"/>
    <cellStyle name="Normal 15 4 2 2 2 4 4" xfId="19175" xr:uid="{00000000-0005-0000-0000-0000363D0000}"/>
    <cellStyle name="Normal 15 4 2 2 2 5" xfId="44844" xr:uid="{00000000-0005-0000-0000-0000373D0000}"/>
    <cellStyle name="Normal 15 4 2 2 2 6" xfId="28744" xr:uid="{00000000-0005-0000-0000-0000383D0000}"/>
    <cellStyle name="Normal 15 4 2 2 2 7" xfId="15680" xr:uid="{00000000-0005-0000-0000-0000393D0000}"/>
    <cellStyle name="Normal 15 4 2 2 3" xfId="2056" xr:uid="{00000000-0005-0000-0000-00003A3D0000}"/>
    <cellStyle name="Normal 15 4 2 2 3 2" xfId="8590" xr:uid="{00000000-0005-0000-0000-00003B3D0000}"/>
    <cellStyle name="Normal 15 4 2 2 3 2 2" xfId="40331" xr:uid="{00000000-0005-0000-0000-00003C3D0000}"/>
    <cellStyle name="Normal 15 4 2 2 3 2 2 2" xfId="56431" xr:uid="{00000000-0005-0000-0000-00003D3D0000}"/>
    <cellStyle name="Normal 15 4 2 2 3 2 3" xfId="46864" xr:uid="{00000000-0005-0000-0000-00003E3D0000}"/>
    <cellStyle name="Normal 15 4 2 2 3 2 4" xfId="30764" xr:uid="{00000000-0005-0000-0000-00003F3D0000}"/>
    <cellStyle name="Normal 15 4 2 2 3 2 5" xfId="21195" xr:uid="{00000000-0005-0000-0000-0000403D0000}"/>
    <cellStyle name="Normal 15 4 2 2 3 3" xfId="11626" xr:uid="{00000000-0005-0000-0000-0000413D0000}"/>
    <cellStyle name="Normal 15 4 2 2 3 3 2" xfId="49900" xr:uid="{00000000-0005-0000-0000-0000423D0000}"/>
    <cellStyle name="Normal 15 4 2 2 3 3 3" xfId="33800" xr:uid="{00000000-0005-0000-0000-0000433D0000}"/>
    <cellStyle name="Normal 15 4 2 2 3 3 4" xfId="24231" xr:uid="{00000000-0005-0000-0000-0000443D0000}"/>
    <cellStyle name="Normal 15 4 2 2 3 4" xfId="5554" xr:uid="{00000000-0005-0000-0000-0000453D0000}"/>
    <cellStyle name="Normal 15 4 2 2 3 4 2" xfId="53395" xr:uid="{00000000-0005-0000-0000-0000463D0000}"/>
    <cellStyle name="Normal 15 4 2 2 3 4 3" xfId="37295" xr:uid="{00000000-0005-0000-0000-0000473D0000}"/>
    <cellStyle name="Normal 15 4 2 2 3 4 4" xfId="18159" xr:uid="{00000000-0005-0000-0000-0000483D0000}"/>
    <cellStyle name="Normal 15 4 2 2 3 5" xfId="43828" xr:uid="{00000000-0005-0000-0000-0000493D0000}"/>
    <cellStyle name="Normal 15 4 2 2 3 6" xfId="27728" xr:uid="{00000000-0005-0000-0000-00004A3D0000}"/>
    <cellStyle name="Normal 15 4 2 2 3 7" xfId="14664" xr:uid="{00000000-0005-0000-0000-00004B3D0000}"/>
    <cellStyle name="Normal 15 4 2 2 4" xfId="7580" xr:uid="{00000000-0005-0000-0000-00004C3D0000}"/>
    <cellStyle name="Normal 15 4 2 2 4 2" xfId="39321" xr:uid="{00000000-0005-0000-0000-00004D3D0000}"/>
    <cellStyle name="Normal 15 4 2 2 4 2 2" xfId="55421" xr:uid="{00000000-0005-0000-0000-00004E3D0000}"/>
    <cellStyle name="Normal 15 4 2 2 4 3" xfId="45854" xr:uid="{00000000-0005-0000-0000-00004F3D0000}"/>
    <cellStyle name="Normal 15 4 2 2 4 4" xfId="29754" xr:uid="{00000000-0005-0000-0000-0000503D0000}"/>
    <cellStyle name="Normal 15 4 2 2 4 5" xfId="20185" xr:uid="{00000000-0005-0000-0000-0000513D0000}"/>
    <cellStyle name="Normal 15 4 2 2 5" xfId="10616" xr:uid="{00000000-0005-0000-0000-0000523D0000}"/>
    <cellStyle name="Normal 15 4 2 2 5 2" xfId="48890" xr:uid="{00000000-0005-0000-0000-0000533D0000}"/>
    <cellStyle name="Normal 15 4 2 2 5 3" xfId="32790" xr:uid="{00000000-0005-0000-0000-0000543D0000}"/>
    <cellStyle name="Normal 15 4 2 2 5 4" xfId="23221" xr:uid="{00000000-0005-0000-0000-0000553D0000}"/>
    <cellStyle name="Normal 15 4 2 2 6" xfId="4544" xr:uid="{00000000-0005-0000-0000-0000563D0000}"/>
    <cellStyle name="Normal 15 4 2 2 6 2" xfId="52385" xr:uid="{00000000-0005-0000-0000-0000573D0000}"/>
    <cellStyle name="Normal 15 4 2 2 6 3" xfId="36285" xr:uid="{00000000-0005-0000-0000-0000583D0000}"/>
    <cellStyle name="Normal 15 4 2 2 6 4" xfId="17149" xr:uid="{00000000-0005-0000-0000-0000593D0000}"/>
    <cellStyle name="Normal 15 4 2 2 7" xfId="42818" xr:uid="{00000000-0005-0000-0000-00005A3D0000}"/>
    <cellStyle name="Normal 15 4 2 2 8" xfId="26718" xr:uid="{00000000-0005-0000-0000-00005B3D0000}"/>
    <cellStyle name="Normal 15 4 2 2 9" xfId="13654" xr:uid="{00000000-0005-0000-0000-00005C3D0000}"/>
    <cellStyle name="Normal 15 4 2 3" xfId="2285" xr:uid="{00000000-0005-0000-0000-00005D3D0000}"/>
    <cellStyle name="Normal 15 4 2 3 2" xfId="8819" xr:uid="{00000000-0005-0000-0000-00005E3D0000}"/>
    <cellStyle name="Normal 15 4 2 3 2 2" xfId="40560" xr:uid="{00000000-0005-0000-0000-00005F3D0000}"/>
    <cellStyle name="Normal 15 4 2 3 2 2 2" xfId="56660" xr:uid="{00000000-0005-0000-0000-0000603D0000}"/>
    <cellStyle name="Normal 15 4 2 3 2 3" xfId="47093" xr:uid="{00000000-0005-0000-0000-0000613D0000}"/>
    <cellStyle name="Normal 15 4 2 3 2 4" xfId="30993" xr:uid="{00000000-0005-0000-0000-0000623D0000}"/>
    <cellStyle name="Normal 15 4 2 3 2 5" xfId="21424" xr:uid="{00000000-0005-0000-0000-0000633D0000}"/>
    <cellStyle name="Normal 15 4 2 3 3" xfId="11855" xr:uid="{00000000-0005-0000-0000-0000643D0000}"/>
    <cellStyle name="Normal 15 4 2 3 3 2" xfId="50129" xr:uid="{00000000-0005-0000-0000-0000653D0000}"/>
    <cellStyle name="Normal 15 4 2 3 3 3" xfId="34029" xr:uid="{00000000-0005-0000-0000-0000663D0000}"/>
    <cellStyle name="Normal 15 4 2 3 3 4" xfId="24460" xr:uid="{00000000-0005-0000-0000-0000673D0000}"/>
    <cellStyle name="Normal 15 4 2 3 4" xfId="5783" xr:uid="{00000000-0005-0000-0000-0000683D0000}"/>
    <cellStyle name="Normal 15 4 2 3 4 2" xfId="53624" xr:uid="{00000000-0005-0000-0000-0000693D0000}"/>
    <cellStyle name="Normal 15 4 2 3 4 3" xfId="37524" xr:uid="{00000000-0005-0000-0000-00006A3D0000}"/>
    <cellStyle name="Normal 15 4 2 3 4 4" xfId="18388" xr:uid="{00000000-0005-0000-0000-00006B3D0000}"/>
    <cellStyle name="Normal 15 4 2 3 5" xfId="44057" xr:uid="{00000000-0005-0000-0000-00006C3D0000}"/>
    <cellStyle name="Normal 15 4 2 3 6" xfId="27957" xr:uid="{00000000-0005-0000-0000-00006D3D0000}"/>
    <cellStyle name="Normal 15 4 2 3 7" xfId="14893" xr:uid="{00000000-0005-0000-0000-00006E3D0000}"/>
    <cellStyle name="Normal 15 4 2 4" xfId="1497" xr:uid="{00000000-0005-0000-0000-00006F3D0000}"/>
    <cellStyle name="Normal 15 4 2 4 2" xfId="8031" xr:uid="{00000000-0005-0000-0000-0000703D0000}"/>
    <cellStyle name="Normal 15 4 2 4 2 2" xfId="39772" xr:uid="{00000000-0005-0000-0000-0000713D0000}"/>
    <cellStyle name="Normal 15 4 2 4 2 2 2" xfId="55872" xr:uid="{00000000-0005-0000-0000-0000723D0000}"/>
    <cellStyle name="Normal 15 4 2 4 2 3" xfId="46305" xr:uid="{00000000-0005-0000-0000-0000733D0000}"/>
    <cellStyle name="Normal 15 4 2 4 2 4" xfId="30205" xr:uid="{00000000-0005-0000-0000-0000743D0000}"/>
    <cellStyle name="Normal 15 4 2 4 2 5" xfId="20636" xr:uid="{00000000-0005-0000-0000-0000753D0000}"/>
    <cellStyle name="Normal 15 4 2 4 3" xfId="11067" xr:uid="{00000000-0005-0000-0000-0000763D0000}"/>
    <cellStyle name="Normal 15 4 2 4 3 2" xfId="49341" xr:uid="{00000000-0005-0000-0000-0000773D0000}"/>
    <cellStyle name="Normal 15 4 2 4 3 3" xfId="33241" xr:uid="{00000000-0005-0000-0000-0000783D0000}"/>
    <cellStyle name="Normal 15 4 2 4 3 4" xfId="23672" xr:uid="{00000000-0005-0000-0000-0000793D0000}"/>
    <cellStyle name="Normal 15 4 2 4 4" xfId="4995" xr:uid="{00000000-0005-0000-0000-00007A3D0000}"/>
    <cellStyle name="Normal 15 4 2 4 4 2" xfId="52836" xr:uid="{00000000-0005-0000-0000-00007B3D0000}"/>
    <cellStyle name="Normal 15 4 2 4 4 3" xfId="36736" xr:uid="{00000000-0005-0000-0000-00007C3D0000}"/>
    <cellStyle name="Normal 15 4 2 4 4 4" xfId="17600" xr:uid="{00000000-0005-0000-0000-00007D3D0000}"/>
    <cellStyle name="Normal 15 4 2 4 5" xfId="43269" xr:uid="{00000000-0005-0000-0000-00007E3D0000}"/>
    <cellStyle name="Normal 15 4 2 4 6" xfId="27169" xr:uid="{00000000-0005-0000-0000-00007F3D0000}"/>
    <cellStyle name="Normal 15 4 2 4 7" xfId="14105" xr:uid="{00000000-0005-0000-0000-0000803D0000}"/>
    <cellStyle name="Normal 15 4 2 5" xfId="3985" xr:uid="{00000000-0005-0000-0000-0000813D0000}"/>
    <cellStyle name="Normal 15 4 2 5 2" xfId="35726" xr:uid="{00000000-0005-0000-0000-0000823D0000}"/>
    <cellStyle name="Normal 15 4 2 5 2 2" xfId="51826" xr:uid="{00000000-0005-0000-0000-0000833D0000}"/>
    <cellStyle name="Normal 15 4 2 5 3" xfId="42259" xr:uid="{00000000-0005-0000-0000-0000843D0000}"/>
    <cellStyle name="Normal 15 4 2 5 4" xfId="26159" xr:uid="{00000000-0005-0000-0000-0000853D0000}"/>
    <cellStyle name="Normal 15 4 2 5 5" xfId="16590" xr:uid="{00000000-0005-0000-0000-0000863D0000}"/>
    <cellStyle name="Normal 15 4 2 6" xfId="7021" xr:uid="{00000000-0005-0000-0000-0000873D0000}"/>
    <cellStyle name="Normal 15 4 2 6 2" xfId="38762" xr:uid="{00000000-0005-0000-0000-0000883D0000}"/>
    <cellStyle name="Normal 15 4 2 6 2 2" xfId="54862" xr:uid="{00000000-0005-0000-0000-0000893D0000}"/>
    <cellStyle name="Normal 15 4 2 6 3" xfId="45295" xr:uid="{00000000-0005-0000-0000-00008A3D0000}"/>
    <cellStyle name="Normal 15 4 2 6 4" xfId="29195" xr:uid="{00000000-0005-0000-0000-00008B3D0000}"/>
    <cellStyle name="Normal 15 4 2 6 5" xfId="19626" xr:uid="{00000000-0005-0000-0000-00008C3D0000}"/>
    <cellStyle name="Normal 15 4 2 7" xfId="10057" xr:uid="{00000000-0005-0000-0000-00008D3D0000}"/>
    <cellStyle name="Normal 15 4 2 7 2" xfId="48331" xr:uid="{00000000-0005-0000-0000-00008E3D0000}"/>
    <cellStyle name="Normal 15 4 2 7 3" xfId="32231" xr:uid="{00000000-0005-0000-0000-00008F3D0000}"/>
    <cellStyle name="Normal 15 4 2 7 4" xfId="22662" xr:uid="{00000000-0005-0000-0000-0000903D0000}"/>
    <cellStyle name="Normal 15 4 2 8" xfId="3427" xr:uid="{00000000-0005-0000-0000-0000913D0000}"/>
    <cellStyle name="Normal 15 4 2 8 2" xfId="51268" xr:uid="{00000000-0005-0000-0000-0000923D0000}"/>
    <cellStyle name="Normal 15 4 2 8 3" xfId="35168" xr:uid="{00000000-0005-0000-0000-0000933D0000}"/>
    <cellStyle name="Normal 15 4 2 8 4" xfId="16032" xr:uid="{00000000-0005-0000-0000-0000943D0000}"/>
    <cellStyle name="Normal 15 4 2 9" xfId="41701" xr:uid="{00000000-0005-0000-0000-0000953D0000}"/>
    <cellStyle name="Normal 15 4 3" xfId="541" xr:uid="{00000000-0005-0000-0000-0000963D0000}"/>
    <cellStyle name="Normal 15 4 3 2" xfId="2571" xr:uid="{00000000-0005-0000-0000-0000973D0000}"/>
    <cellStyle name="Normal 15 4 3 2 2" xfId="9103" xr:uid="{00000000-0005-0000-0000-0000983D0000}"/>
    <cellStyle name="Normal 15 4 3 2 2 2" xfId="40844" xr:uid="{00000000-0005-0000-0000-0000993D0000}"/>
    <cellStyle name="Normal 15 4 3 2 2 2 2" xfId="56944" xr:uid="{00000000-0005-0000-0000-00009A3D0000}"/>
    <cellStyle name="Normal 15 4 3 2 2 3" xfId="47377" xr:uid="{00000000-0005-0000-0000-00009B3D0000}"/>
    <cellStyle name="Normal 15 4 3 2 2 4" xfId="31277" xr:uid="{00000000-0005-0000-0000-00009C3D0000}"/>
    <cellStyle name="Normal 15 4 3 2 2 5" xfId="21708" xr:uid="{00000000-0005-0000-0000-00009D3D0000}"/>
    <cellStyle name="Normal 15 4 3 2 3" xfId="12139" xr:uid="{00000000-0005-0000-0000-00009E3D0000}"/>
    <cellStyle name="Normal 15 4 3 2 3 2" xfId="50413" xr:uid="{00000000-0005-0000-0000-00009F3D0000}"/>
    <cellStyle name="Normal 15 4 3 2 3 3" xfId="34313" xr:uid="{00000000-0005-0000-0000-0000A03D0000}"/>
    <cellStyle name="Normal 15 4 3 2 3 4" xfId="24744" xr:uid="{00000000-0005-0000-0000-0000A13D0000}"/>
    <cellStyle name="Normal 15 4 3 2 4" xfId="6067" xr:uid="{00000000-0005-0000-0000-0000A23D0000}"/>
    <cellStyle name="Normal 15 4 3 2 4 2" xfId="53908" xr:uid="{00000000-0005-0000-0000-0000A33D0000}"/>
    <cellStyle name="Normal 15 4 3 2 4 3" xfId="37808" xr:uid="{00000000-0005-0000-0000-0000A43D0000}"/>
    <cellStyle name="Normal 15 4 3 2 4 4" xfId="18672" xr:uid="{00000000-0005-0000-0000-0000A53D0000}"/>
    <cellStyle name="Normal 15 4 3 2 5" xfId="44341" xr:uid="{00000000-0005-0000-0000-0000A63D0000}"/>
    <cellStyle name="Normal 15 4 3 2 6" xfId="28241" xr:uid="{00000000-0005-0000-0000-0000A73D0000}"/>
    <cellStyle name="Normal 15 4 3 2 7" xfId="15177" xr:uid="{00000000-0005-0000-0000-0000A83D0000}"/>
    <cellStyle name="Normal 15 4 3 3" xfId="1320" xr:uid="{00000000-0005-0000-0000-0000A93D0000}"/>
    <cellStyle name="Normal 15 4 3 3 2" xfId="7854" xr:uid="{00000000-0005-0000-0000-0000AA3D0000}"/>
    <cellStyle name="Normal 15 4 3 3 2 2" xfId="39595" xr:uid="{00000000-0005-0000-0000-0000AB3D0000}"/>
    <cellStyle name="Normal 15 4 3 3 2 2 2" xfId="55695" xr:uid="{00000000-0005-0000-0000-0000AC3D0000}"/>
    <cellStyle name="Normal 15 4 3 3 2 3" xfId="46128" xr:uid="{00000000-0005-0000-0000-0000AD3D0000}"/>
    <cellStyle name="Normal 15 4 3 3 2 4" xfId="30028" xr:uid="{00000000-0005-0000-0000-0000AE3D0000}"/>
    <cellStyle name="Normal 15 4 3 3 2 5" xfId="20459" xr:uid="{00000000-0005-0000-0000-0000AF3D0000}"/>
    <cellStyle name="Normal 15 4 3 3 3" xfId="10890" xr:uid="{00000000-0005-0000-0000-0000B03D0000}"/>
    <cellStyle name="Normal 15 4 3 3 3 2" xfId="49164" xr:uid="{00000000-0005-0000-0000-0000B13D0000}"/>
    <cellStyle name="Normal 15 4 3 3 3 3" xfId="33064" xr:uid="{00000000-0005-0000-0000-0000B23D0000}"/>
    <cellStyle name="Normal 15 4 3 3 3 4" xfId="23495" xr:uid="{00000000-0005-0000-0000-0000B33D0000}"/>
    <cellStyle name="Normal 15 4 3 3 4" xfId="4818" xr:uid="{00000000-0005-0000-0000-0000B43D0000}"/>
    <cellStyle name="Normal 15 4 3 3 4 2" xfId="52659" xr:uid="{00000000-0005-0000-0000-0000B53D0000}"/>
    <cellStyle name="Normal 15 4 3 3 4 3" xfId="36559" xr:uid="{00000000-0005-0000-0000-0000B63D0000}"/>
    <cellStyle name="Normal 15 4 3 3 4 4" xfId="17423" xr:uid="{00000000-0005-0000-0000-0000B73D0000}"/>
    <cellStyle name="Normal 15 4 3 3 5" xfId="43092" xr:uid="{00000000-0005-0000-0000-0000B83D0000}"/>
    <cellStyle name="Normal 15 4 3 3 6" xfId="26992" xr:uid="{00000000-0005-0000-0000-0000B93D0000}"/>
    <cellStyle name="Normal 15 4 3 3 7" xfId="13928" xr:uid="{00000000-0005-0000-0000-0000BA3D0000}"/>
    <cellStyle name="Normal 15 4 3 4" xfId="6844" xr:uid="{00000000-0005-0000-0000-0000BB3D0000}"/>
    <cellStyle name="Normal 15 4 3 4 2" xfId="38585" xr:uid="{00000000-0005-0000-0000-0000BC3D0000}"/>
    <cellStyle name="Normal 15 4 3 4 2 2" xfId="54685" xr:uid="{00000000-0005-0000-0000-0000BD3D0000}"/>
    <cellStyle name="Normal 15 4 3 4 3" xfId="45118" xr:uid="{00000000-0005-0000-0000-0000BE3D0000}"/>
    <cellStyle name="Normal 15 4 3 4 4" xfId="29018" xr:uid="{00000000-0005-0000-0000-0000BF3D0000}"/>
    <cellStyle name="Normal 15 4 3 4 5" xfId="19449" xr:uid="{00000000-0005-0000-0000-0000C03D0000}"/>
    <cellStyle name="Normal 15 4 3 5" xfId="9880" xr:uid="{00000000-0005-0000-0000-0000C13D0000}"/>
    <cellStyle name="Normal 15 4 3 5 2" xfId="48154" xr:uid="{00000000-0005-0000-0000-0000C23D0000}"/>
    <cellStyle name="Normal 15 4 3 5 3" xfId="32054" xr:uid="{00000000-0005-0000-0000-0000C33D0000}"/>
    <cellStyle name="Normal 15 4 3 5 4" xfId="22485" xr:uid="{00000000-0005-0000-0000-0000C43D0000}"/>
    <cellStyle name="Normal 15 4 3 6" xfId="3808" xr:uid="{00000000-0005-0000-0000-0000C53D0000}"/>
    <cellStyle name="Normal 15 4 3 6 2" xfId="51649" xr:uid="{00000000-0005-0000-0000-0000C63D0000}"/>
    <cellStyle name="Normal 15 4 3 6 3" xfId="35549" xr:uid="{00000000-0005-0000-0000-0000C73D0000}"/>
    <cellStyle name="Normal 15 4 3 6 4" xfId="16413" xr:uid="{00000000-0005-0000-0000-0000C83D0000}"/>
    <cellStyle name="Normal 15 4 3 7" xfId="42082" xr:uid="{00000000-0005-0000-0000-0000C93D0000}"/>
    <cellStyle name="Normal 15 4 3 8" xfId="25982" xr:uid="{00000000-0005-0000-0000-0000CA3D0000}"/>
    <cellStyle name="Normal 15 4 3 9" xfId="12918" xr:uid="{00000000-0005-0000-0000-0000CB3D0000}"/>
    <cellStyle name="Normal 15 4 4" xfId="834" xr:uid="{00000000-0005-0000-0000-0000CC3D0000}"/>
    <cellStyle name="Normal 15 4 4 2" xfId="2862" xr:uid="{00000000-0005-0000-0000-0000CD3D0000}"/>
    <cellStyle name="Normal 15 4 4 2 2" xfId="9394" xr:uid="{00000000-0005-0000-0000-0000CE3D0000}"/>
    <cellStyle name="Normal 15 4 4 2 2 2" xfId="41135" xr:uid="{00000000-0005-0000-0000-0000CF3D0000}"/>
    <cellStyle name="Normal 15 4 4 2 2 2 2" xfId="57235" xr:uid="{00000000-0005-0000-0000-0000D03D0000}"/>
    <cellStyle name="Normal 15 4 4 2 2 3" xfId="47668" xr:uid="{00000000-0005-0000-0000-0000D13D0000}"/>
    <cellStyle name="Normal 15 4 4 2 2 4" xfId="31568" xr:uid="{00000000-0005-0000-0000-0000D23D0000}"/>
    <cellStyle name="Normal 15 4 4 2 2 5" xfId="21999" xr:uid="{00000000-0005-0000-0000-0000D33D0000}"/>
    <cellStyle name="Normal 15 4 4 2 3" xfId="12430" xr:uid="{00000000-0005-0000-0000-0000D43D0000}"/>
    <cellStyle name="Normal 15 4 4 2 3 2" xfId="50704" xr:uid="{00000000-0005-0000-0000-0000D53D0000}"/>
    <cellStyle name="Normal 15 4 4 2 3 3" xfId="34604" xr:uid="{00000000-0005-0000-0000-0000D63D0000}"/>
    <cellStyle name="Normal 15 4 4 2 3 4" xfId="25035" xr:uid="{00000000-0005-0000-0000-0000D73D0000}"/>
    <cellStyle name="Normal 15 4 4 2 4" xfId="6358" xr:uid="{00000000-0005-0000-0000-0000D83D0000}"/>
    <cellStyle name="Normal 15 4 4 2 4 2" xfId="54199" xr:uid="{00000000-0005-0000-0000-0000D93D0000}"/>
    <cellStyle name="Normal 15 4 4 2 4 3" xfId="38099" xr:uid="{00000000-0005-0000-0000-0000DA3D0000}"/>
    <cellStyle name="Normal 15 4 4 2 4 4" xfId="18963" xr:uid="{00000000-0005-0000-0000-0000DB3D0000}"/>
    <cellStyle name="Normal 15 4 4 2 5" xfId="44632" xr:uid="{00000000-0005-0000-0000-0000DC3D0000}"/>
    <cellStyle name="Normal 15 4 4 2 6" xfId="28532" xr:uid="{00000000-0005-0000-0000-0000DD3D0000}"/>
    <cellStyle name="Normal 15 4 4 2 7" xfId="15468" xr:uid="{00000000-0005-0000-0000-0000DE3D0000}"/>
    <cellStyle name="Normal 15 4 4 3" xfId="1844" xr:uid="{00000000-0005-0000-0000-0000DF3D0000}"/>
    <cellStyle name="Normal 15 4 4 3 2" xfId="8378" xr:uid="{00000000-0005-0000-0000-0000E03D0000}"/>
    <cellStyle name="Normal 15 4 4 3 2 2" xfId="40119" xr:uid="{00000000-0005-0000-0000-0000E13D0000}"/>
    <cellStyle name="Normal 15 4 4 3 2 2 2" xfId="56219" xr:uid="{00000000-0005-0000-0000-0000E23D0000}"/>
    <cellStyle name="Normal 15 4 4 3 2 3" xfId="46652" xr:uid="{00000000-0005-0000-0000-0000E33D0000}"/>
    <cellStyle name="Normal 15 4 4 3 2 4" xfId="30552" xr:uid="{00000000-0005-0000-0000-0000E43D0000}"/>
    <cellStyle name="Normal 15 4 4 3 2 5" xfId="20983" xr:uid="{00000000-0005-0000-0000-0000E53D0000}"/>
    <cellStyle name="Normal 15 4 4 3 3" xfId="11414" xr:uid="{00000000-0005-0000-0000-0000E63D0000}"/>
    <cellStyle name="Normal 15 4 4 3 3 2" xfId="49688" xr:uid="{00000000-0005-0000-0000-0000E73D0000}"/>
    <cellStyle name="Normal 15 4 4 3 3 3" xfId="33588" xr:uid="{00000000-0005-0000-0000-0000E83D0000}"/>
    <cellStyle name="Normal 15 4 4 3 3 4" xfId="24019" xr:uid="{00000000-0005-0000-0000-0000E93D0000}"/>
    <cellStyle name="Normal 15 4 4 3 4" xfId="5342" xr:uid="{00000000-0005-0000-0000-0000EA3D0000}"/>
    <cellStyle name="Normal 15 4 4 3 4 2" xfId="53183" xr:uid="{00000000-0005-0000-0000-0000EB3D0000}"/>
    <cellStyle name="Normal 15 4 4 3 4 3" xfId="37083" xr:uid="{00000000-0005-0000-0000-0000EC3D0000}"/>
    <cellStyle name="Normal 15 4 4 3 4 4" xfId="17947" xr:uid="{00000000-0005-0000-0000-0000ED3D0000}"/>
    <cellStyle name="Normal 15 4 4 3 5" xfId="43616" xr:uid="{00000000-0005-0000-0000-0000EE3D0000}"/>
    <cellStyle name="Normal 15 4 4 3 6" xfId="27516" xr:uid="{00000000-0005-0000-0000-0000EF3D0000}"/>
    <cellStyle name="Normal 15 4 4 3 7" xfId="14452" xr:uid="{00000000-0005-0000-0000-0000F03D0000}"/>
    <cellStyle name="Normal 15 4 4 4" xfId="7368" xr:uid="{00000000-0005-0000-0000-0000F13D0000}"/>
    <cellStyle name="Normal 15 4 4 4 2" xfId="39109" xr:uid="{00000000-0005-0000-0000-0000F23D0000}"/>
    <cellStyle name="Normal 15 4 4 4 2 2" xfId="55209" xr:uid="{00000000-0005-0000-0000-0000F33D0000}"/>
    <cellStyle name="Normal 15 4 4 4 3" xfId="45642" xr:uid="{00000000-0005-0000-0000-0000F43D0000}"/>
    <cellStyle name="Normal 15 4 4 4 4" xfId="29542" xr:uid="{00000000-0005-0000-0000-0000F53D0000}"/>
    <cellStyle name="Normal 15 4 4 4 5" xfId="19973" xr:uid="{00000000-0005-0000-0000-0000F63D0000}"/>
    <cellStyle name="Normal 15 4 4 5" xfId="10404" xr:uid="{00000000-0005-0000-0000-0000F73D0000}"/>
    <cellStyle name="Normal 15 4 4 5 2" xfId="48678" xr:uid="{00000000-0005-0000-0000-0000F83D0000}"/>
    <cellStyle name="Normal 15 4 4 5 3" xfId="32578" xr:uid="{00000000-0005-0000-0000-0000F93D0000}"/>
    <cellStyle name="Normal 15 4 4 5 4" xfId="23009" xr:uid="{00000000-0005-0000-0000-0000FA3D0000}"/>
    <cellStyle name="Normal 15 4 4 6" xfId="4332" xr:uid="{00000000-0005-0000-0000-0000FB3D0000}"/>
    <cellStyle name="Normal 15 4 4 6 2" xfId="52173" xr:uid="{00000000-0005-0000-0000-0000FC3D0000}"/>
    <cellStyle name="Normal 15 4 4 6 3" xfId="36073" xr:uid="{00000000-0005-0000-0000-0000FD3D0000}"/>
    <cellStyle name="Normal 15 4 4 6 4" xfId="16937" xr:uid="{00000000-0005-0000-0000-0000FE3D0000}"/>
    <cellStyle name="Normal 15 4 4 7" xfId="42606" xr:uid="{00000000-0005-0000-0000-0000FF3D0000}"/>
    <cellStyle name="Normal 15 4 4 8" xfId="26506" xr:uid="{00000000-0005-0000-0000-0000003E0000}"/>
    <cellStyle name="Normal 15 4 4 9" xfId="13442" xr:uid="{00000000-0005-0000-0000-0000013E0000}"/>
    <cellStyle name="Normal 15 4 5" xfId="2108" xr:uid="{00000000-0005-0000-0000-0000023E0000}"/>
    <cellStyle name="Normal 15 4 5 2" xfId="8642" xr:uid="{00000000-0005-0000-0000-0000033E0000}"/>
    <cellStyle name="Normal 15 4 5 2 2" xfId="40383" xr:uid="{00000000-0005-0000-0000-0000043E0000}"/>
    <cellStyle name="Normal 15 4 5 2 2 2" xfId="56483" xr:uid="{00000000-0005-0000-0000-0000053E0000}"/>
    <cellStyle name="Normal 15 4 5 2 3" xfId="46916" xr:uid="{00000000-0005-0000-0000-0000063E0000}"/>
    <cellStyle name="Normal 15 4 5 2 4" xfId="30816" xr:uid="{00000000-0005-0000-0000-0000073E0000}"/>
    <cellStyle name="Normal 15 4 5 2 5" xfId="21247" xr:uid="{00000000-0005-0000-0000-0000083E0000}"/>
    <cellStyle name="Normal 15 4 5 3" xfId="11678" xr:uid="{00000000-0005-0000-0000-0000093E0000}"/>
    <cellStyle name="Normal 15 4 5 3 2" xfId="49952" xr:uid="{00000000-0005-0000-0000-00000A3E0000}"/>
    <cellStyle name="Normal 15 4 5 3 3" xfId="33852" xr:uid="{00000000-0005-0000-0000-00000B3E0000}"/>
    <cellStyle name="Normal 15 4 5 3 4" xfId="24283" xr:uid="{00000000-0005-0000-0000-00000C3E0000}"/>
    <cellStyle name="Normal 15 4 5 4" xfId="5606" xr:uid="{00000000-0005-0000-0000-00000D3E0000}"/>
    <cellStyle name="Normal 15 4 5 4 2" xfId="53447" xr:uid="{00000000-0005-0000-0000-00000E3E0000}"/>
    <cellStyle name="Normal 15 4 5 4 3" xfId="37347" xr:uid="{00000000-0005-0000-0000-00000F3E0000}"/>
    <cellStyle name="Normal 15 4 5 4 4" xfId="18211" xr:uid="{00000000-0005-0000-0000-0000103E0000}"/>
    <cellStyle name="Normal 15 4 5 5" xfId="43880" xr:uid="{00000000-0005-0000-0000-0000113E0000}"/>
    <cellStyle name="Normal 15 4 5 6" xfId="27780" xr:uid="{00000000-0005-0000-0000-0000123E0000}"/>
    <cellStyle name="Normal 15 4 5 7" xfId="14716" xr:uid="{00000000-0005-0000-0000-0000133E0000}"/>
    <cellStyle name="Normal 15 4 6" xfId="1161" xr:uid="{00000000-0005-0000-0000-0000143E0000}"/>
    <cellStyle name="Normal 15 4 6 2" xfId="7695" xr:uid="{00000000-0005-0000-0000-0000153E0000}"/>
    <cellStyle name="Normal 15 4 6 2 2" xfId="39436" xr:uid="{00000000-0005-0000-0000-0000163E0000}"/>
    <cellStyle name="Normal 15 4 6 2 2 2" xfId="55536" xr:uid="{00000000-0005-0000-0000-0000173E0000}"/>
    <cellStyle name="Normal 15 4 6 2 3" xfId="45969" xr:uid="{00000000-0005-0000-0000-0000183E0000}"/>
    <cellStyle name="Normal 15 4 6 2 4" xfId="29869" xr:uid="{00000000-0005-0000-0000-0000193E0000}"/>
    <cellStyle name="Normal 15 4 6 2 5" xfId="20300" xr:uid="{00000000-0005-0000-0000-00001A3E0000}"/>
    <cellStyle name="Normal 15 4 6 3" xfId="10731" xr:uid="{00000000-0005-0000-0000-00001B3E0000}"/>
    <cellStyle name="Normal 15 4 6 3 2" xfId="49005" xr:uid="{00000000-0005-0000-0000-00001C3E0000}"/>
    <cellStyle name="Normal 15 4 6 3 3" xfId="32905" xr:uid="{00000000-0005-0000-0000-00001D3E0000}"/>
    <cellStyle name="Normal 15 4 6 3 4" xfId="23336" xr:uid="{00000000-0005-0000-0000-00001E3E0000}"/>
    <cellStyle name="Normal 15 4 6 4" xfId="4659" xr:uid="{00000000-0005-0000-0000-00001F3E0000}"/>
    <cellStyle name="Normal 15 4 6 4 2" xfId="52500" xr:uid="{00000000-0005-0000-0000-0000203E0000}"/>
    <cellStyle name="Normal 15 4 6 4 3" xfId="36400" xr:uid="{00000000-0005-0000-0000-0000213E0000}"/>
    <cellStyle name="Normal 15 4 6 4 4" xfId="17264" xr:uid="{00000000-0005-0000-0000-0000223E0000}"/>
    <cellStyle name="Normal 15 4 6 5" xfId="42933" xr:uid="{00000000-0005-0000-0000-0000233E0000}"/>
    <cellStyle name="Normal 15 4 6 6" xfId="26833" xr:uid="{00000000-0005-0000-0000-0000243E0000}"/>
    <cellStyle name="Normal 15 4 6 7" xfId="13769" xr:uid="{00000000-0005-0000-0000-0000253E0000}"/>
    <cellStyle name="Normal 15 4 7" xfId="3649" xr:uid="{00000000-0005-0000-0000-0000263E0000}"/>
    <cellStyle name="Normal 15 4 7 2" xfId="35390" xr:uid="{00000000-0005-0000-0000-0000273E0000}"/>
    <cellStyle name="Normal 15 4 7 2 2" xfId="51490" xr:uid="{00000000-0005-0000-0000-0000283E0000}"/>
    <cellStyle name="Normal 15 4 7 3" xfId="41923" xr:uid="{00000000-0005-0000-0000-0000293E0000}"/>
    <cellStyle name="Normal 15 4 7 4" xfId="25823" xr:uid="{00000000-0005-0000-0000-00002A3E0000}"/>
    <cellStyle name="Normal 15 4 7 5" xfId="16254" xr:uid="{00000000-0005-0000-0000-00002B3E0000}"/>
    <cellStyle name="Normal 15 4 8" xfId="6685" xr:uid="{00000000-0005-0000-0000-00002C3E0000}"/>
    <cellStyle name="Normal 15 4 8 2" xfId="38426" xr:uid="{00000000-0005-0000-0000-00002D3E0000}"/>
    <cellStyle name="Normal 15 4 8 2 2" xfId="54526" xr:uid="{00000000-0005-0000-0000-00002E3E0000}"/>
    <cellStyle name="Normal 15 4 8 3" xfId="44959" xr:uid="{00000000-0005-0000-0000-00002F3E0000}"/>
    <cellStyle name="Normal 15 4 8 4" xfId="28859" xr:uid="{00000000-0005-0000-0000-0000303E0000}"/>
    <cellStyle name="Normal 15 4 8 5" xfId="19290" xr:uid="{00000000-0005-0000-0000-0000313E0000}"/>
    <cellStyle name="Normal 15 4 9" xfId="9721" xr:uid="{00000000-0005-0000-0000-0000323E0000}"/>
    <cellStyle name="Normal 15 4 9 2" xfId="47995" xr:uid="{00000000-0005-0000-0000-0000333E0000}"/>
    <cellStyle name="Normal 15 4 9 3" xfId="31895" xr:uid="{00000000-0005-0000-0000-0000343E0000}"/>
    <cellStyle name="Normal 15 4 9 4" xfId="22326" xr:uid="{00000000-0005-0000-0000-0000353E0000}"/>
    <cellStyle name="Normal 15 5" xfId="160" xr:uid="{00000000-0005-0000-0000-0000363E0000}"/>
    <cellStyle name="Normal 15 5 10" xfId="3206" xr:uid="{00000000-0005-0000-0000-0000373E0000}"/>
    <cellStyle name="Normal 15 5 10 2" xfId="51048" xr:uid="{00000000-0005-0000-0000-0000383E0000}"/>
    <cellStyle name="Normal 15 5 10 3" xfId="34948" xr:uid="{00000000-0005-0000-0000-0000393E0000}"/>
    <cellStyle name="Normal 15 5 10 4" xfId="15812" xr:uid="{00000000-0005-0000-0000-00003A3E0000}"/>
    <cellStyle name="Normal 15 5 11" xfId="41481" xr:uid="{00000000-0005-0000-0000-00003B3E0000}"/>
    <cellStyle name="Normal 15 5 12" xfId="25381" xr:uid="{00000000-0005-0000-0000-00003C3E0000}"/>
    <cellStyle name="Normal 15 5 13" xfId="12776" xr:uid="{00000000-0005-0000-0000-00003D3E0000}"/>
    <cellStyle name="Normal 15 5 2" xfId="337" xr:uid="{00000000-0005-0000-0000-00003E3E0000}"/>
    <cellStyle name="Normal 15 5 2 10" xfId="13166" xr:uid="{00000000-0005-0000-0000-00003F3E0000}"/>
    <cellStyle name="Normal 15 5 2 2" xfId="2356" xr:uid="{00000000-0005-0000-0000-0000403E0000}"/>
    <cellStyle name="Normal 15 5 2 2 2" xfId="8890" xr:uid="{00000000-0005-0000-0000-0000413E0000}"/>
    <cellStyle name="Normal 15 5 2 2 2 2" xfId="40631" xr:uid="{00000000-0005-0000-0000-0000423E0000}"/>
    <cellStyle name="Normal 15 5 2 2 2 2 2" xfId="56731" xr:uid="{00000000-0005-0000-0000-0000433E0000}"/>
    <cellStyle name="Normal 15 5 2 2 2 3" xfId="47164" xr:uid="{00000000-0005-0000-0000-0000443E0000}"/>
    <cellStyle name="Normal 15 5 2 2 2 4" xfId="31064" xr:uid="{00000000-0005-0000-0000-0000453E0000}"/>
    <cellStyle name="Normal 15 5 2 2 2 5" xfId="21495" xr:uid="{00000000-0005-0000-0000-0000463E0000}"/>
    <cellStyle name="Normal 15 5 2 2 3" xfId="11926" xr:uid="{00000000-0005-0000-0000-0000473E0000}"/>
    <cellStyle name="Normal 15 5 2 2 3 2" xfId="50200" xr:uid="{00000000-0005-0000-0000-0000483E0000}"/>
    <cellStyle name="Normal 15 5 2 2 3 3" xfId="34100" xr:uid="{00000000-0005-0000-0000-0000493E0000}"/>
    <cellStyle name="Normal 15 5 2 2 3 4" xfId="24531" xr:uid="{00000000-0005-0000-0000-00004A3E0000}"/>
    <cellStyle name="Normal 15 5 2 2 4" xfId="5854" xr:uid="{00000000-0005-0000-0000-00004B3E0000}"/>
    <cellStyle name="Normal 15 5 2 2 4 2" xfId="53695" xr:uid="{00000000-0005-0000-0000-00004C3E0000}"/>
    <cellStyle name="Normal 15 5 2 2 4 3" xfId="37595" xr:uid="{00000000-0005-0000-0000-00004D3E0000}"/>
    <cellStyle name="Normal 15 5 2 2 4 4" xfId="18459" xr:uid="{00000000-0005-0000-0000-00004E3E0000}"/>
    <cellStyle name="Normal 15 5 2 2 5" xfId="44128" xr:uid="{00000000-0005-0000-0000-00004F3E0000}"/>
    <cellStyle name="Normal 15 5 2 2 6" xfId="28028" xr:uid="{00000000-0005-0000-0000-0000503E0000}"/>
    <cellStyle name="Normal 15 5 2 2 7" xfId="14964" xr:uid="{00000000-0005-0000-0000-0000513E0000}"/>
    <cellStyle name="Normal 15 5 2 3" xfId="1568" xr:uid="{00000000-0005-0000-0000-0000523E0000}"/>
    <cellStyle name="Normal 15 5 2 3 2" xfId="8102" xr:uid="{00000000-0005-0000-0000-0000533E0000}"/>
    <cellStyle name="Normal 15 5 2 3 2 2" xfId="39843" xr:uid="{00000000-0005-0000-0000-0000543E0000}"/>
    <cellStyle name="Normal 15 5 2 3 2 2 2" xfId="55943" xr:uid="{00000000-0005-0000-0000-0000553E0000}"/>
    <cellStyle name="Normal 15 5 2 3 2 3" xfId="46376" xr:uid="{00000000-0005-0000-0000-0000563E0000}"/>
    <cellStyle name="Normal 15 5 2 3 2 4" xfId="30276" xr:uid="{00000000-0005-0000-0000-0000573E0000}"/>
    <cellStyle name="Normal 15 5 2 3 2 5" xfId="20707" xr:uid="{00000000-0005-0000-0000-0000583E0000}"/>
    <cellStyle name="Normal 15 5 2 3 3" xfId="11138" xr:uid="{00000000-0005-0000-0000-0000593E0000}"/>
    <cellStyle name="Normal 15 5 2 3 3 2" xfId="49412" xr:uid="{00000000-0005-0000-0000-00005A3E0000}"/>
    <cellStyle name="Normal 15 5 2 3 3 3" xfId="33312" xr:uid="{00000000-0005-0000-0000-00005B3E0000}"/>
    <cellStyle name="Normal 15 5 2 3 3 4" xfId="23743" xr:uid="{00000000-0005-0000-0000-00005C3E0000}"/>
    <cellStyle name="Normal 15 5 2 3 4" xfId="5066" xr:uid="{00000000-0005-0000-0000-00005D3E0000}"/>
    <cellStyle name="Normal 15 5 2 3 4 2" xfId="52907" xr:uid="{00000000-0005-0000-0000-00005E3E0000}"/>
    <cellStyle name="Normal 15 5 2 3 4 3" xfId="36807" xr:uid="{00000000-0005-0000-0000-00005F3E0000}"/>
    <cellStyle name="Normal 15 5 2 3 4 4" xfId="17671" xr:uid="{00000000-0005-0000-0000-0000603E0000}"/>
    <cellStyle name="Normal 15 5 2 3 5" xfId="43340" xr:uid="{00000000-0005-0000-0000-0000613E0000}"/>
    <cellStyle name="Normal 15 5 2 3 6" xfId="27240" xr:uid="{00000000-0005-0000-0000-0000623E0000}"/>
    <cellStyle name="Normal 15 5 2 3 7" xfId="14176" xr:uid="{00000000-0005-0000-0000-0000633E0000}"/>
    <cellStyle name="Normal 15 5 2 4" xfId="4056" xr:uid="{00000000-0005-0000-0000-0000643E0000}"/>
    <cellStyle name="Normal 15 5 2 4 2" xfId="35797" xr:uid="{00000000-0005-0000-0000-0000653E0000}"/>
    <cellStyle name="Normal 15 5 2 4 2 2" xfId="51897" xr:uid="{00000000-0005-0000-0000-0000663E0000}"/>
    <cellStyle name="Normal 15 5 2 4 3" xfId="42330" xr:uid="{00000000-0005-0000-0000-0000673E0000}"/>
    <cellStyle name="Normal 15 5 2 4 4" xfId="26230" xr:uid="{00000000-0005-0000-0000-0000683E0000}"/>
    <cellStyle name="Normal 15 5 2 4 5" xfId="16661" xr:uid="{00000000-0005-0000-0000-0000693E0000}"/>
    <cellStyle name="Normal 15 5 2 5" xfId="7092" xr:uid="{00000000-0005-0000-0000-00006A3E0000}"/>
    <cellStyle name="Normal 15 5 2 5 2" xfId="38833" xr:uid="{00000000-0005-0000-0000-00006B3E0000}"/>
    <cellStyle name="Normal 15 5 2 5 2 2" xfId="54933" xr:uid="{00000000-0005-0000-0000-00006C3E0000}"/>
    <cellStyle name="Normal 15 5 2 5 3" xfId="45366" xr:uid="{00000000-0005-0000-0000-00006D3E0000}"/>
    <cellStyle name="Normal 15 5 2 5 4" xfId="29266" xr:uid="{00000000-0005-0000-0000-00006E3E0000}"/>
    <cellStyle name="Normal 15 5 2 5 5" xfId="19697" xr:uid="{00000000-0005-0000-0000-00006F3E0000}"/>
    <cellStyle name="Normal 15 5 2 6" xfId="10128" xr:uid="{00000000-0005-0000-0000-0000703E0000}"/>
    <cellStyle name="Normal 15 5 2 6 2" xfId="48402" xr:uid="{00000000-0005-0000-0000-0000713E0000}"/>
    <cellStyle name="Normal 15 5 2 6 3" xfId="32302" xr:uid="{00000000-0005-0000-0000-0000723E0000}"/>
    <cellStyle name="Normal 15 5 2 6 4" xfId="22733" xr:uid="{00000000-0005-0000-0000-0000733E0000}"/>
    <cellStyle name="Normal 15 5 2 7" xfId="3444" xr:uid="{00000000-0005-0000-0000-0000743E0000}"/>
    <cellStyle name="Normal 15 5 2 7 2" xfId="51285" xr:uid="{00000000-0005-0000-0000-0000753E0000}"/>
    <cellStyle name="Normal 15 5 2 7 3" xfId="35185" xr:uid="{00000000-0005-0000-0000-0000763E0000}"/>
    <cellStyle name="Normal 15 5 2 7 4" xfId="16049" xr:uid="{00000000-0005-0000-0000-0000773E0000}"/>
    <cellStyle name="Normal 15 5 2 8" xfId="41718" xr:uid="{00000000-0005-0000-0000-0000783E0000}"/>
    <cellStyle name="Normal 15 5 2 9" xfId="25618" xr:uid="{00000000-0005-0000-0000-0000793E0000}"/>
    <cellStyle name="Normal 15 5 3" xfId="595" xr:uid="{00000000-0005-0000-0000-00007A3E0000}"/>
    <cellStyle name="Normal 15 5 3 2" xfId="2623" xr:uid="{00000000-0005-0000-0000-00007B3E0000}"/>
    <cellStyle name="Normal 15 5 3 2 2" xfId="9155" xr:uid="{00000000-0005-0000-0000-00007C3E0000}"/>
    <cellStyle name="Normal 15 5 3 2 2 2" xfId="40896" xr:uid="{00000000-0005-0000-0000-00007D3E0000}"/>
    <cellStyle name="Normal 15 5 3 2 2 2 2" xfId="56996" xr:uid="{00000000-0005-0000-0000-00007E3E0000}"/>
    <cellStyle name="Normal 15 5 3 2 2 3" xfId="47429" xr:uid="{00000000-0005-0000-0000-00007F3E0000}"/>
    <cellStyle name="Normal 15 5 3 2 2 4" xfId="31329" xr:uid="{00000000-0005-0000-0000-0000803E0000}"/>
    <cellStyle name="Normal 15 5 3 2 2 5" xfId="21760" xr:uid="{00000000-0005-0000-0000-0000813E0000}"/>
    <cellStyle name="Normal 15 5 3 2 3" xfId="12191" xr:uid="{00000000-0005-0000-0000-0000823E0000}"/>
    <cellStyle name="Normal 15 5 3 2 3 2" xfId="50465" xr:uid="{00000000-0005-0000-0000-0000833E0000}"/>
    <cellStyle name="Normal 15 5 3 2 3 3" xfId="34365" xr:uid="{00000000-0005-0000-0000-0000843E0000}"/>
    <cellStyle name="Normal 15 5 3 2 3 4" xfId="24796" xr:uid="{00000000-0005-0000-0000-0000853E0000}"/>
    <cellStyle name="Normal 15 5 3 2 4" xfId="6119" xr:uid="{00000000-0005-0000-0000-0000863E0000}"/>
    <cellStyle name="Normal 15 5 3 2 4 2" xfId="53960" xr:uid="{00000000-0005-0000-0000-0000873E0000}"/>
    <cellStyle name="Normal 15 5 3 2 4 3" xfId="37860" xr:uid="{00000000-0005-0000-0000-0000883E0000}"/>
    <cellStyle name="Normal 15 5 3 2 4 4" xfId="18724" xr:uid="{00000000-0005-0000-0000-0000893E0000}"/>
    <cellStyle name="Normal 15 5 3 2 5" xfId="44393" xr:uid="{00000000-0005-0000-0000-00008A3E0000}"/>
    <cellStyle name="Normal 15 5 3 2 6" xfId="28293" xr:uid="{00000000-0005-0000-0000-00008B3E0000}"/>
    <cellStyle name="Normal 15 5 3 2 7" xfId="15229" xr:uid="{00000000-0005-0000-0000-00008C3E0000}"/>
    <cellStyle name="Normal 15 5 3 3" xfId="1391" xr:uid="{00000000-0005-0000-0000-00008D3E0000}"/>
    <cellStyle name="Normal 15 5 3 3 2" xfId="7925" xr:uid="{00000000-0005-0000-0000-00008E3E0000}"/>
    <cellStyle name="Normal 15 5 3 3 2 2" xfId="39666" xr:uid="{00000000-0005-0000-0000-00008F3E0000}"/>
    <cellStyle name="Normal 15 5 3 3 2 2 2" xfId="55766" xr:uid="{00000000-0005-0000-0000-0000903E0000}"/>
    <cellStyle name="Normal 15 5 3 3 2 3" xfId="46199" xr:uid="{00000000-0005-0000-0000-0000913E0000}"/>
    <cellStyle name="Normal 15 5 3 3 2 4" xfId="30099" xr:uid="{00000000-0005-0000-0000-0000923E0000}"/>
    <cellStyle name="Normal 15 5 3 3 2 5" xfId="20530" xr:uid="{00000000-0005-0000-0000-0000933E0000}"/>
    <cellStyle name="Normal 15 5 3 3 3" xfId="10961" xr:uid="{00000000-0005-0000-0000-0000943E0000}"/>
    <cellStyle name="Normal 15 5 3 3 3 2" xfId="49235" xr:uid="{00000000-0005-0000-0000-0000953E0000}"/>
    <cellStyle name="Normal 15 5 3 3 3 3" xfId="33135" xr:uid="{00000000-0005-0000-0000-0000963E0000}"/>
    <cellStyle name="Normal 15 5 3 3 3 4" xfId="23566" xr:uid="{00000000-0005-0000-0000-0000973E0000}"/>
    <cellStyle name="Normal 15 5 3 3 4" xfId="4889" xr:uid="{00000000-0005-0000-0000-0000983E0000}"/>
    <cellStyle name="Normal 15 5 3 3 4 2" xfId="52730" xr:uid="{00000000-0005-0000-0000-0000993E0000}"/>
    <cellStyle name="Normal 15 5 3 3 4 3" xfId="36630" xr:uid="{00000000-0005-0000-0000-00009A3E0000}"/>
    <cellStyle name="Normal 15 5 3 3 4 4" xfId="17494" xr:uid="{00000000-0005-0000-0000-00009B3E0000}"/>
    <cellStyle name="Normal 15 5 3 3 5" xfId="43163" xr:uid="{00000000-0005-0000-0000-00009C3E0000}"/>
    <cellStyle name="Normal 15 5 3 3 6" xfId="27063" xr:uid="{00000000-0005-0000-0000-00009D3E0000}"/>
    <cellStyle name="Normal 15 5 3 3 7" xfId="13999" xr:uid="{00000000-0005-0000-0000-00009E3E0000}"/>
    <cellStyle name="Normal 15 5 3 4" xfId="6915" xr:uid="{00000000-0005-0000-0000-00009F3E0000}"/>
    <cellStyle name="Normal 15 5 3 4 2" xfId="38656" xr:uid="{00000000-0005-0000-0000-0000A03E0000}"/>
    <cellStyle name="Normal 15 5 3 4 2 2" xfId="54756" xr:uid="{00000000-0005-0000-0000-0000A13E0000}"/>
    <cellStyle name="Normal 15 5 3 4 3" xfId="45189" xr:uid="{00000000-0005-0000-0000-0000A23E0000}"/>
    <cellStyle name="Normal 15 5 3 4 4" xfId="29089" xr:uid="{00000000-0005-0000-0000-0000A33E0000}"/>
    <cellStyle name="Normal 15 5 3 4 5" xfId="19520" xr:uid="{00000000-0005-0000-0000-0000A43E0000}"/>
    <cellStyle name="Normal 15 5 3 5" xfId="9951" xr:uid="{00000000-0005-0000-0000-0000A53E0000}"/>
    <cellStyle name="Normal 15 5 3 5 2" xfId="48225" xr:uid="{00000000-0005-0000-0000-0000A63E0000}"/>
    <cellStyle name="Normal 15 5 3 5 3" xfId="32125" xr:uid="{00000000-0005-0000-0000-0000A73E0000}"/>
    <cellStyle name="Normal 15 5 3 5 4" xfId="22556" xr:uid="{00000000-0005-0000-0000-0000A83E0000}"/>
    <cellStyle name="Normal 15 5 3 6" xfId="3879" xr:uid="{00000000-0005-0000-0000-0000A93E0000}"/>
    <cellStyle name="Normal 15 5 3 6 2" xfId="51720" xr:uid="{00000000-0005-0000-0000-0000AA3E0000}"/>
    <cellStyle name="Normal 15 5 3 6 3" xfId="35620" xr:uid="{00000000-0005-0000-0000-0000AB3E0000}"/>
    <cellStyle name="Normal 15 5 3 6 4" xfId="16484" xr:uid="{00000000-0005-0000-0000-0000AC3E0000}"/>
    <cellStyle name="Normal 15 5 3 7" xfId="42153" xr:uid="{00000000-0005-0000-0000-0000AD3E0000}"/>
    <cellStyle name="Normal 15 5 3 8" xfId="26053" xr:uid="{00000000-0005-0000-0000-0000AE3E0000}"/>
    <cellStyle name="Normal 15 5 3 9" xfId="12989" xr:uid="{00000000-0005-0000-0000-0000AF3E0000}"/>
    <cellStyle name="Normal 15 5 4" xfId="851" xr:uid="{00000000-0005-0000-0000-0000B03E0000}"/>
    <cellStyle name="Normal 15 5 4 2" xfId="2879" xr:uid="{00000000-0005-0000-0000-0000B13E0000}"/>
    <cellStyle name="Normal 15 5 4 2 2" xfId="9411" xr:uid="{00000000-0005-0000-0000-0000B23E0000}"/>
    <cellStyle name="Normal 15 5 4 2 2 2" xfId="41152" xr:uid="{00000000-0005-0000-0000-0000B33E0000}"/>
    <cellStyle name="Normal 15 5 4 2 2 2 2" xfId="57252" xr:uid="{00000000-0005-0000-0000-0000B43E0000}"/>
    <cellStyle name="Normal 15 5 4 2 2 3" xfId="47685" xr:uid="{00000000-0005-0000-0000-0000B53E0000}"/>
    <cellStyle name="Normal 15 5 4 2 2 4" xfId="31585" xr:uid="{00000000-0005-0000-0000-0000B63E0000}"/>
    <cellStyle name="Normal 15 5 4 2 2 5" xfId="22016" xr:uid="{00000000-0005-0000-0000-0000B73E0000}"/>
    <cellStyle name="Normal 15 5 4 2 3" xfId="12447" xr:uid="{00000000-0005-0000-0000-0000B83E0000}"/>
    <cellStyle name="Normal 15 5 4 2 3 2" xfId="50721" xr:uid="{00000000-0005-0000-0000-0000B93E0000}"/>
    <cellStyle name="Normal 15 5 4 2 3 3" xfId="34621" xr:uid="{00000000-0005-0000-0000-0000BA3E0000}"/>
    <cellStyle name="Normal 15 5 4 2 3 4" xfId="25052" xr:uid="{00000000-0005-0000-0000-0000BB3E0000}"/>
    <cellStyle name="Normal 15 5 4 2 4" xfId="6375" xr:uid="{00000000-0005-0000-0000-0000BC3E0000}"/>
    <cellStyle name="Normal 15 5 4 2 4 2" xfId="54216" xr:uid="{00000000-0005-0000-0000-0000BD3E0000}"/>
    <cellStyle name="Normal 15 5 4 2 4 3" xfId="38116" xr:uid="{00000000-0005-0000-0000-0000BE3E0000}"/>
    <cellStyle name="Normal 15 5 4 2 4 4" xfId="18980" xr:uid="{00000000-0005-0000-0000-0000BF3E0000}"/>
    <cellStyle name="Normal 15 5 4 2 5" xfId="44649" xr:uid="{00000000-0005-0000-0000-0000C03E0000}"/>
    <cellStyle name="Normal 15 5 4 2 6" xfId="28549" xr:uid="{00000000-0005-0000-0000-0000C13E0000}"/>
    <cellStyle name="Normal 15 5 4 2 7" xfId="15485" xr:uid="{00000000-0005-0000-0000-0000C23E0000}"/>
    <cellStyle name="Normal 15 5 4 3" xfId="1861" xr:uid="{00000000-0005-0000-0000-0000C33E0000}"/>
    <cellStyle name="Normal 15 5 4 3 2" xfId="8395" xr:uid="{00000000-0005-0000-0000-0000C43E0000}"/>
    <cellStyle name="Normal 15 5 4 3 2 2" xfId="40136" xr:uid="{00000000-0005-0000-0000-0000C53E0000}"/>
    <cellStyle name="Normal 15 5 4 3 2 2 2" xfId="56236" xr:uid="{00000000-0005-0000-0000-0000C63E0000}"/>
    <cellStyle name="Normal 15 5 4 3 2 3" xfId="46669" xr:uid="{00000000-0005-0000-0000-0000C73E0000}"/>
    <cellStyle name="Normal 15 5 4 3 2 4" xfId="30569" xr:uid="{00000000-0005-0000-0000-0000C83E0000}"/>
    <cellStyle name="Normal 15 5 4 3 2 5" xfId="21000" xr:uid="{00000000-0005-0000-0000-0000C93E0000}"/>
    <cellStyle name="Normal 15 5 4 3 3" xfId="11431" xr:uid="{00000000-0005-0000-0000-0000CA3E0000}"/>
    <cellStyle name="Normal 15 5 4 3 3 2" xfId="49705" xr:uid="{00000000-0005-0000-0000-0000CB3E0000}"/>
    <cellStyle name="Normal 15 5 4 3 3 3" xfId="33605" xr:uid="{00000000-0005-0000-0000-0000CC3E0000}"/>
    <cellStyle name="Normal 15 5 4 3 3 4" xfId="24036" xr:uid="{00000000-0005-0000-0000-0000CD3E0000}"/>
    <cellStyle name="Normal 15 5 4 3 4" xfId="5359" xr:uid="{00000000-0005-0000-0000-0000CE3E0000}"/>
    <cellStyle name="Normal 15 5 4 3 4 2" xfId="53200" xr:uid="{00000000-0005-0000-0000-0000CF3E0000}"/>
    <cellStyle name="Normal 15 5 4 3 4 3" xfId="37100" xr:uid="{00000000-0005-0000-0000-0000D03E0000}"/>
    <cellStyle name="Normal 15 5 4 3 4 4" xfId="17964" xr:uid="{00000000-0005-0000-0000-0000D13E0000}"/>
    <cellStyle name="Normal 15 5 4 3 5" xfId="43633" xr:uid="{00000000-0005-0000-0000-0000D23E0000}"/>
    <cellStyle name="Normal 15 5 4 3 6" xfId="27533" xr:uid="{00000000-0005-0000-0000-0000D33E0000}"/>
    <cellStyle name="Normal 15 5 4 3 7" xfId="14469" xr:uid="{00000000-0005-0000-0000-0000D43E0000}"/>
    <cellStyle name="Normal 15 5 4 4" xfId="7385" xr:uid="{00000000-0005-0000-0000-0000D53E0000}"/>
    <cellStyle name="Normal 15 5 4 4 2" xfId="39126" xr:uid="{00000000-0005-0000-0000-0000D63E0000}"/>
    <cellStyle name="Normal 15 5 4 4 2 2" xfId="55226" xr:uid="{00000000-0005-0000-0000-0000D73E0000}"/>
    <cellStyle name="Normal 15 5 4 4 3" xfId="45659" xr:uid="{00000000-0005-0000-0000-0000D83E0000}"/>
    <cellStyle name="Normal 15 5 4 4 4" xfId="29559" xr:uid="{00000000-0005-0000-0000-0000D93E0000}"/>
    <cellStyle name="Normal 15 5 4 4 5" xfId="19990" xr:uid="{00000000-0005-0000-0000-0000DA3E0000}"/>
    <cellStyle name="Normal 15 5 4 5" xfId="10421" xr:uid="{00000000-0005-0000-0000-0000DB3E0000}"/>
    <cellStyle name="Normal 15 5 4 5 2" xfId="48695" xr:uid="{00000000-0005-0000-0000-0000DC3E0000}"/>
    <cellStyle name="Normal 15 5 4 5 3" xfId="32595" xr:uid="{00000000-0005-0000-0000-0000DD3E0000}"/>
    <cellStyle name="Normal 15 5 4 5 4" xfId="23026" xr:uid="{00000000-0005-0000-0000-0000DE3E0000}"/>
    <cellStyle name="Normal 15 5 4 6" xfId="4349" xr:uid="{00000000-0005-0000-0000-0000DF3E0000}"/>
    <cellStyle name="Normal 15 5 4 6 2" xfId="52190" xr:uid="{00000000-0005-0000-0000-0000E03E0000}"/>
    <cellStyle name="Normal 15 5 4 6 3" xfId="36090" xr:uid="{00000000-0005-0000-0000-0000E13E0000}"/>
    <cellStyle name="Normal 15 5 4 6 4" xfId="16954" xr:uid="{00000000-0005-0000-0000-0000E23E0000}"/>
    <cellStyle name="Normal 15 5 4 7" xfId="42623" xr:uid="{00000000-0005-0000-0000-0000E33E0000}"/>
    <cellStyle name="Normal 15 5 4 8" xfId="26523" xr:uid="{00000000-0005-0000-0000-0000E43E0000}"/>
    <cellStyle name="Normal 15 5 4 9" xfId="13459" xr:uid="{00000000-0005-0000-0000-0000E53E0000}"/>
    <cellStyle name="Normal 15 5 5" xfId="2179" xr:uid="{00000000-0005-0000-0000-0000E63E0000}"/>
    <cellStyle name="Normal 15 5 5 2" xfId="8713" xr:uid="{00000000-0005-0000-0000-0000E73E0000}"/>
    <cellStyle name="Normal 15 5 5 2 2" xfId="40454" xr:uid="{00000000-0005-0000-0000-0000E83E0000}"/>
    <cellStyle name="Normal 15 5 5 2 2 2" xfId="56554" xr:uid="{00000000-0005-0000-0000-0000E93E0000}"/>
    <cellStyle name="Normal 15 5 5 2 3" xfId="46987" xr:uid="{00000000-0005-0000-0000-0000EA3E0000}"/>
    <cellStyle name="Normal 15 5 5 2 4" xfId="30887" xr:uid="{00000000-0005-0000-0000-0000EB3E0000}"/>
    <cellStyle name="Normal 15 5 5 2 5" xfId="21318" xr:uid="{00000000-0005-0000-0000-0000EC3E0000}"/>
    <cellStyle name="Normal 15 5 5 3" xfId="11749" xr:uid="{00000000-0005-0000-0000-0000ED3E0000}"/>
    <cellStyle name="Normal 15 5 5 3 2" xfId="50023" xr:uid="{00000000-0005-0000-0000-0000EE3E0000}"/>
    <cellStyle name="Normal 15 5 5 3 3" xfId="33923" xr:uid="{00000000-0005-0000-0000-0000EF3E0000}"/>
    <cellStyle name="Normal 15 5 5 3 4" xfId="24354" xr:uid="{00000000-0005-0000-0000-0000F03E0000}"/>
    <cellStyle name="Normal 15 5 5 4" xfId="5677" xr:uid="{00000000-0005-0000-0000-0000F13E0000}"/>
    <cellStyle name="Normal 15 5 5 4 2" xfId="53518" xr:uid="{00000000-0005-0000-0000-0000F23E0000}"/>
    <cellStyle name="Normal 15 5 5 4 3" xfId="37418" xr:uid="{00000000-0005-0000-0000-0000F33E0000}"/>
    <cellStyle name="Normal 15 5 5 4 4" xfId="18282" xr:uid="{00000000-0005-0000-0000-0000F43E0000}"/>
    <cellStyle name="Normal 15 5 5 5" xfId="43951" xr:uid="{00000000-0005-0000-0000-0000F53E0000}"/>
    <cellStyle name="Normal 15 5 5 6" xfId="27851" xr:uid="{00000000-0005-0000-0000-0000F63E0000}"/>
    <cellStyle name="Normal 15 5 5 7" xfId="14787" xr:uid="{00000000-0005-0000-0000-0000F73E0000}"/>
    <cellStyle name="Normal 15 5 6" xfId="1178" xr:uid="{00000000-0005-0000-0000-0000F83E0000}"/>
    <cellStyle name="Normal 15 5 6 2" xfId="7712" xr:uid="{00000000-0005-0000-0000-0000F93E0000}"/>
    <cellStyle name="Normal 15 5 6 2 2" xfId="39453" xr:uid="{00000000-0005-0000-0000-0000FA3E0000}"/>
    <cellStyle name="Normal 15 5 6 2 2 2" xfId="55553" xr:uid="{00000000-0005-0000-0000-0000FB3E0000}"/>
    <cellStyle name="Normal 15 5 6 2 3" xfId="45986" xr:uid="{00000000-0005-0000-0000-0000FC3E0000}"/>
    <cellStyle name="Normal 15 5 6 2 4" xfId="29886" xr:uid="{00000000-0005-0000-0000-0000FD3E0000}"/>
    <cellStyle name="Normal 15 5 6 2 5" xfId="20317" xr:uid="{00000000-0005-0000-0000-0000FE3E0000}"/>
    <cellStyle name="Normal 15 5 6 3" xfId="10748" xr:uid="{00000000-0005-0000-0000-0000FF3E0000}"/>
    <cellStyle name="Normal 15 5 6 3 2" xfId="49022" xr:uid="{00000000-0005-0000-0000-0000003F0000}"/>
    <cellStyle name="Normal 15 5 6 3 3" xfId="32922" xr:uid="{00000000-0005-0000-0000-0000013F0000}"/>
    <cellStyle name="Normal 15 5 6 3 4" xfId="23353" xr:uid="{00000000-0005-0000-0000-0000023F0000}"/>
    <cellStyle name="Normal 15 5 6 4" xfId="4676" xr:uid="{00000000-0005-0000-0000-0000033F0000}"/>
    <cellStyle name="Normal 15 5 6 4 2" xfId="52517" xr:uid="{00000000-0005-0000-0000-0000043F0000}"/>
    <cellStyle name="Normal 15 5 6 4 3" xfId="36417" xr:uid="{00000000-0005-0000-0000-0000053F0000}"/>
    <cellStyle name="Normal 15 5 6 4 4" xfId="17281" xr:uid="{00000000-0005-0000-0000-0000063F0000}"/>
    <cellStyle name="Normal 15 5 6 5" xfId="42950" xr:uid="{00000000-0005-0000-0000-0000073F0000}"/>
    <cellStyle name="Normal 15 5 6 6" xfId="26850" xr:uid="{00000000-0005-0000-0000-0000083F0000}"/>
    <cellStyle name="Normal 15 5 6 7" xfId="13786" xr:uid="{00000000-0005-0000-0000-0000093F0000}"/>
    <cellStyle name="Normal 15 5 7" xfId="3666" xr:uid="{00000000-0005-0000-0000-00000A3F0000}"/>
    <cellStyle name="Normal 15 5 7 2" xfId="35407" xr:uid="{00000000-0005-0000-0000-00000B3F0000}"/>
    <cellStyle name="Normal 15 5 7 2 2" xfId="51507" xr:uid="{00000000-0005-0000-0000-00000C3F0000}"/>
    <cellStyle name="Normal 15 5 7 3" xfId="41940" xr:uid="{00000000-0005-0000-0000-00000D3F0000}"/>
    <cellStyle name="Normal 15 5 7 4" xfId="25840" xr:uid="{00000000-0005-0000-0000-00000E3F0000}"/>
    <cellStyle name="Normal 15 5 7 5" xfId="16271" xr:uid="{00000000-0005-0000-0000-00000F3F0000}"/>
    <cellStyle name="Normal 15 5 8" xfId="6702" xr:uid="{00000000-0005-0000-0000-0000103F0000}"/>
    <cellStyle name="Normal 15 5 8 2" xfId="38443" xr:uid="{00000000-0005-0000-0000-0000113F0000}"/>
    <cellStyle name="Normal 15 5 8 2 2" xfId="54543" xr:uid="{00000000-0005-0000-0000-0000123F0000}"/>
    <cellStyle name="Normal 15 5 8 3" xfId="44976" xr:uid="{00000000-0005-0000-0000-0000133F0000}"/>
    <cellStyle name="Normal 15 5 8 4" xfId="28876" xr:uid="{00000000-0005-0000-0000-0000143F0000}"/>
    <cellStyle name="Normal 15 5 8 5" xfId="19307" xr:uid="{00000000-0005-0000-0000-0000153F0000}"/>
    <cellStyle name="Normal 15 5 9" xfId="9738" xr:uid="{00000000-0005-0000-0000-0000163F0000}"/>
    <cellStyle name="Normal 15 5 9 2" xfId="48012" xr:uid="{00000000-0005-0000-0000-0000173F0000}"/>
    <cellStyle name="Normal 15 5 9 3" xfId="31912" xr:uid="{00000000-0005-0000-0000-0000183F0000}"/>
    <cellStyle name="Normal 15 5 9 4" xfId="22343" xr:uid="{00000000-0005-0000-0000-0000193F0000}"/>
    <cellStyle name="Normal 15 6" xfId="231" xr:uid="{00000000-0005-0000-0000-00001A3F0000}"/>
    <cellStyle name="Normal 15 6 10" xfId="41498" xr:uid="{00000000-0005-0000-0000-00001B3F0000}"/>
    <cellStyle name="Normal 15 6 11" xfId="25398" xr:uid="{00000000-0005-0000-0000-00001C3F0000}"/>
    <cellStyle name="Normal 15 6 12" xfId="12793" xr:uid="{00000000-0005-0000-0000-00001D3F0000}"/>
    <cellStyle name="Normal 15 6 2" xfId="612" xr:uid="{00000000-0005-0000-0000-00001E3F0000}"/>
    <cellStyle name="Normal 15 6 2 10" xfId="13060" xr:uid="{00000000-0005-0000-0000-00001F3F0000}"/>
    <cellStyle name="Normal 15 6 2 2" xfId="2640" xr:uid="{00000000-0005-0000-0000-0000203F0000}"/>
    <cellStyle name="Normal 15 6 2 2 2" xfId="9172" xr:uid="{00000000-0005-0000-0000-0000213F0000}"/>
    <cellStyle name="Normal 15 6 2 2 2 2" xfId="40913" xr:uid="{00000000-0005-0000-0000-0000223F0000}"/>
    <cellStyle name="Normal 15 6 2 2 2 2 2" xfId="57013" xr:uid="{00000000-0005-0000-0000-0000233F0000}"/>
    <cellStyle name="Normal 15 6 2 2 2 3" xfId="47446" xr:uid="{00000000-0005-0000-0000-0000243F0000}"/>
    <cellStyle name="Normal 15 6 2 2 2 4" xfId="31346" xr:uid="{00000000-0005-0000-0000-0000253F0000}"/>
    <cellStyle name="Normal 15 6 2 2 2 5" xfId="21777" xr:uid="{00000000-0005-0000-0000-0000263F0000}"/>
    <cellStyle name="Normal 15 6 2 2 3" xfId="12208" xr:uid="{00000000-0005-0000-0000-0000273F0000}"/>
    <cellStyle name="Normal 15 6 2 2 3 2" xfId="50482" xr:uid="{00000000-0005-0000-0000-0000283F0000}"/>
    <cellStyle name="Normal 15 6 2 2 3 3" xfId="34382" xr:uid="{00000000-0005-0000-0000-0000293F0000}"/>
    <cellStyle name="Normal 15 6 2 2 3 4" xfId="24813" xr:uid="{00000000-0005-0000-0000-00002A3F0000}"/>
    <cellStyle name="Normal 15 6 2 2 4" xfId="6136" xr:uid="{00000000-0005-0000-0000-00002B3F0000}"/>
    <cellStyle name="Normal 15 6 2 2 4 2" xfId="53977" xr:uid="{00000000-0005-0000-0000-00002C3F0000}"/>
    <cellStyle name="Normal 15 6 2 2 4 3" xfId="37877" xr:uid="{00000000-0005-0000-0000-00002D3F0000}"/>
    <cellStyle name="Normal 15 6 2 2 4 4" xfId="18741" xr:uid="{00000000-0005-0000-0000-00002E3F0000}"/>
    <cellStyle name="Normal 15 6 2 2 5" xfId="44410" xr:uid="{00000000-0005-0000-0000-00002F3F0000}"/>
    <cellStyle name="Normal 15 6 2 2 6" xfId="28310" xr:uid="{00000000-0005-0000-0000-0000303F0000}"/>
    <cellStyle name="Normal 15 6 2 2 7" xfId="15246" xr:uid="{00000000-0005-0000-0000-0000313F0000}"/>
    <cellStyle name="Normal 15 6 2 3" xfId="1462" xr:uid="{00000000-0005-0000-0000-0000323F0000}"/>
    <cellStyle name="Normal 15 6 2 3 2" xfId="7996" xr:uid="{00000000-0005-0000-0000-0000333F0000}"/>
    <cellStyle name="Normal 15 6 2 3 2 2" xfId="39737" xr:uid="{00000000-0005-0000-0000-0000343F0000}"/>
    <cellStyle name="Normal 15 6 2 3 2 2 2" xfId="55837" xr:uid="{00000000-0005-0000-0000-0000353F0000}"/>
    <cellStyle name="Normal 15 6 2 3 2 3" xfId="46270" xr:uid="{00000000-0005-0000-0000-0000363F0000}"/>
    <cellStyle name="Normal 15 6 2 3 2 4" xfId="30170" xr:uid="{00000000-0005-0000-0000-0000373F0000}"/>
    <cellStyle name="Normal 15 6 2 3 2 5" xfId="20601" xr:uid="{00000000-0005-0000-0000-0000383F0000}"/>
    <cellStyle name="Normal 15 6 2 3 3" xfId="11032" xr:uid="{00000000-0005-0000-0000-0000393F0000}"/>
    <cellStyle name="Normal 15 6 2 3 3 2" xfId="49306" xr:uid="{00000000-0005-0000-0000-00003A3F0000}"/>
    <cellStyle name="Normal 15 6 2 3 3 3" xfId="33206" xr:uid="{00000000-0005-0000-0000-00003B3F0000}"/>
    <cellStyle name="Normal 15 6 2 3 3 4" xfId="23637" xr:uid="{00000000-0005-0000-0000-00003C3F0000}"/>
    <cellStyle name="Normal 15 6 2 3 4" xfId="4960" xr:uid="{00000000-0005-0000-0000-00003D3F0000}"/>
    <cellStyle name="Normal 15 6 2 3 4 2" xfId="52801" xr:uid="{00000000-0005-0000-0000-00003E3F0000}"/>
    <cellStyle name="Normal 15 6 2 3 4 3" xfId="36701" xr:uid="{00000000-0005-0000-0000-00003F3F0000}"/>
    <cellStyle name="Normal 15 6 2 3 4 4" xfId="17565" xr:uid="{00000000-0005-0000-0000-0000403F0000}"/>
    <cellStyle name="Normal 15 6 2 3 5" xfId="43234" xr:uid="{00000000-0005-0000-0000-0000413F0000}"/>
    <cellStyle name="Normal 15 6 2 3 6" xfId="27134" xr:uid="{00000000-0005-0000-0000-0000423F0000}"/>
    <cellStyle name="Normal 15 6 2 3 7" xfId="14070" xr:uid="{00000000-0005-0000-0000-0000433F0000}"/>
    <cellStyle name="Normal 15 6 2 4" xfId="3950" xr:uid="{00000000-0005-0000-0000-0000443F0000}"/>
    <cellStyle name="Normal 15 6 2 4 2" xfId="35691" xr:uid="{00000000-0005-0000-0000-0000453F0000}"/>
    <cellStyle name="Normal 15 6 2 4 2 2" xfId="51791" xr:uid="{00000000-0005-0000-0000-0000463F0000}"/>
    <cellStyle name="Normal 15 6 2 4 3" xfId="42224" xr:uid="{00000000-0005-0000-0000-0000473F0000}"/>
    <cellStyle name="Normal 15 6 2 4 4" xfId="26124" xr:uid="{00000000-0005-0000-0000-0000483F0000}"/>
    <cellStyle name="Normal 15 6 2 4 5" xfId="16555" xr:uid="{00000000-0005-0000-0000-0000493F0000}"/>
    <cellStyle name="Normal 15 6 2 5" xfId="6986" xr:uid="{00000000-0005-0000-0000-00004A3F0000}"/>
    <cellStyle name="Normal 15 6 2 5 2" xfId="38727" xr:uid="{00000000-0005-0000-0000-00004B3F0000}"/>
    <cellStyle name="Normal 15 6 2 5 2 2" xfId="54827" xr:uid="{00000000-0005-0000-0000-00004C3F0000}"/>
    <cellStyle name="Normal 15 6 2 5 3" xfId="45260" xr:uid="{00000000-0005-0000-0000-00004D3F0000}"/>
    <cellStyle name="Normal 15 6 2 5 4" xfId="29160" xr:uid="{00000000-0005-0000-0000-00004E3F0000}"/>
    <cellStyle name="Normal 15 6 2 5 5" xfId="19591" xr:uid="{00000000-0005-0000-0000-00004F3F0000}"/>
    <cellStyle name="Normal 15 6 2 6" xfId="10022" xr:uid="{00000000-0005-0000-0000-0000503F0000}"/>
    <cellStyle name="Normal 15 6 2 6 2" xfId="48296" xr:uid="{00000000-0005-0000-0000-0000513F0000}"/>
    <cellStyle name="Normal 15 6 2 6 3" xfId="32196" xr:uid="{00000000-0005-0000-0000-0000523F0000}"/>
    <cellStyle name="Normal 15 6 2 6 4" xfId="22627" xr:uid="{00000000-0005-0000-0000-0000533F0000}"/>
    <cellStyle name="Normal 15 6 2 7" xfId="3461" xr:uid="{00000000-0005-0000-0000-0000543F0000}"/>
    <cellStyle name="Normal 15 6 2 7 2" xfId="51302" xr:uid="{00000000-0005-0000-0000-0000553F0000}"/>
    <cellStyle name="Normal 15 6 2 7 3" xfId="35202" xr:uid="{00000000-0005-0000-0000-0000563F0000}"/>
    <cellStyle name="Normal 15 6 2 7 4" xfId="16066" xr:uid="{00000000-0005-0000-0000-0000573F0000}"/>
    <cellStyle name="Normal 15 6 2 8" xfId="41735" xr:uid="{00000000-0005-0000-0000-0000583F0000}"/>
    <cellStyle name="Normal 15 6 2 9" xfId="25635" xr:uid="{00000000-0005-0000-0000-0000593F0000}"/>
    <cellStyle name="Normal 15 6 3" xfId="868" xr:uid="{00000000-0005-0000-0000-00005A3F0000}"/>
    <cellStyle name="Normal 15 6 3 2" xfId="2896" xr:uid="{00000000-0005-0000-0000-00005B3F0000}"/>
    <cellStyle name="Normal 15 6 3 2 2" xfId="9428" xr:uid="{00000000-0005-0000-0000-00005C3F0000}"/>
    <cellStyle name="Normal 15 6 3 2 2 2" xfId="41169" xr:uid="{00000000-0005-0000-0000-00005D3F0000}"/>
    <cellStyle name="Normal 15 6 3 2 2 2 2" xfId="57269" xr:uid="{00000000-0005-0000-0000-00005E3F0000}"/>
    <cellStyle name="Normal 15 6 3 2 2 3" xfId="47702" xr:uid="{00000000-0005-0000-0000-00005F3F0000}"/>
    <cellStyle name="Normal 15 6 3 2 2 4" xfId="31602" xr:uid="{00000000-0005-0000-0000-0000603F0000}"/>
    <cellStyle name="Normal 15 6 3 2 2 5" xfId="22033" xr:uid="{00000000-0005-0000-0000-0000613F0000}"/>
    <cellStyle name="Normal 15 6 3 2 3" xfId="12464" xr:uid="{00000000-0005-0000-0000-0000623F0000}"/>
    <cellStyle name="Normal 15 6 3 2 3 2" xfId="50738" xr:uid="{00000000-0005-0000-0000-0000633F0000}"/>
    <cellStyle name="Normal 15 6 3 2 3 3" xfId="34638" xr:uid="{00000000-0005-0000-0000-0000643F0000}"/>
    <cellStyle name="Normal 15 6 3 2 3 4" xfId="25069" xr:uid="{00000000-0005-0000-0000-0000653F0000}"/>
    <cellStyle name="Normal 15 6 3 2 4" xfId="6392" xr:uid="{00000000-0005-0000-0000-0000663F0000}"/>
    <cellStyle name="Normal 15 6 3 2 4 2" xfId="54233" xr:uid="{00000000-0005-0000-0000-0000673F0000}"/>
    <cellStyle name="Normal 15 6 3 2 4 3" xfId="38133" xr:uid="{00000000-0005-0000-0000-0000683F0000}"/>
    <cellStyle name="Normal 15 6 3 2 4 4" xfId="18997" xr:uid="{00000000-0005-0000-0000-0000693F0000}"/>
    <cellStyle name="Normal 15 6 3 2 5" xfId="44666" xr:uid="{00000000-0005-0000-0000-00006A3F0000}"/>
    <cellStyle name="Normal 15 6 3 2 6" xfId="28566" xr:uid="{00000000-0005-0000-0000-00006B3F0000}"/>
    <cellStyle name="Normal 15 6 3 2 7" xfId="15502" xr:uid="{00000000-0005-0000-0000-00006C3F0000}"/>
    <cellStyle name="Normal 15 6 3 3" xfId="1878" xr:uid="{00000000-0005-0000-0000-00006D3F0000}"/>
    <cellStyle name="Normal 15 6 3 3 2" xfId="8412" xr:uid="{00000000-0005-0000-0000-00006E3F0000}"/>
    <cellStyle name="Normal 15 6 3 3 2 2" xfId="40153" xr:uid="{00000000-0005-0000-0000-00006F3F0000}"/>
    <cellStyle name="Normal 15 6 3 3 2 2 2" xfId="56253" xr:uid="{00000000-0005-0000-0000-0000703F0000}"/>
    <cellStyle name="Normal 15 6 3 3 2 3" xfId="46686" xr:uid="{00000000-0005-0000-0000-0000713F0000}"/>
    <cellStyle name="Normal 15 6 3 3 2 4" xfId="30586" xr:uid="{00000000-0005-0000-0000-0000723F0000}"/>
    <cellStyle name="Normal 15 6 3 3 2 5" xfId="21017" xr:uid="{00000000-0005-0000-0000-0000733F0000}"/>
    <cellStyle name="Normal 15 6 3 3 3" xfId="11448" xr:uid="{00000000-0005-0000-0000-0000743F0000}"/>
    <cellStyle name="Normal 15 6 3 3 3 2" xfId="49722" xr:uid="{00000000-0005-0000-0000-0000753F0000}"/>
    <cellStyle name="Normal 15 6 3 3 3 3" xfId="33622" xr:uid="{00000000-0005-0000-0000-0000763F0000}"/>
    <cellStyle name="Normal 15 6 3 3 3 4" xfId="24053" xr:uid="{00000000-0005-0000-0000-0000773F0000}"/>
    <cellStyle name="Normal 15 6 3 3 4" xfId="5376" xr:uid="{00000000-0005-0000-0000-0000783F0000}"/>
    <cellStyle name="Normal 15 6 3 3 4 2" xfId="53217" xr:uid="{00000000-0005-0000-0000-0000793F0000}"/>
    <cellStyle name="Normal 15 6 3 3 4 3" xfId="37117" xr:uid="{00000000-0005-0000-0000-00007A3F0000}"/>
    <cellStyle name="Normal 15 6 3 3 4 4" xfId="17981" xr:uid="{00000000-0005-0000-0000-00007B3F0000}"/>
    <cellStyle name="Normal 15 6 3 3 5" xfId="43650" xr:uid="{00000000-0005-0000-0000-00007C3F0000}"/>
    <cellStyle name="Normal 15 6 3 3 6" xfId="27550" xr:uid="{00000000-0005-0000-0000-00007D3F0000}"/>
    <cellStyle name="Normal 15 6 3 3 7" xfId="14486" xr:uid="{00000000-0005-0000-0000-00007E3F0000}"/>
    <cellStyle name="Normal 15 6 3 4" xfId="7402" xr:uid="{00000000-0005-0000-0000-00007F3F0000}"/>
    <cellStyle name="Normal 15 6 3 4 2" xfId="39143" xr:uid="{00000000-0005-0000-0000-0000803F0000}"/>
    <cellStyle name="Normal 15 6 3 4 2 2" xfId="55243" xr:uid="{00000000-0005-0000-0000-0000813F0000}"/>
    <cellStyle name="Normal 15 6 3 4 3" xfId="45676" xr:uid="{00000000-0005-0000-0000-0000823F0000}"/>
    <cellStyle name="Normal 15 6 3 4 4" xfId="29576" xr:uid="{00000000-0005-0000-0000-0000833F0000}"/>
    <cellStyle name="Normal 15 6 3 4 5" xfId="20007" xr:uid="{00000000-0005-0000-0000-0000843F0000}"/>
    <cellStyle name="Normal 15 6 3 5" xfId="10438" xr:uid="{00000000-0005-0000-0000-0000853F0000}"/>
    <cellStyle name="Normal 15 6 3 5 2" xfId="48712" xr:uid="{00000000-0005-0000-0000-0000863F0000}"/>
    <cellStyle name="Normal 15 6 3 5 3" xfId="32612" xr:uid="{00000000-0005-0000-0000-0000873F0000}"/>
    <cellStyle name="Normal 15 6 3 5 4" xfId="23043" xr:uid="{00000000-0005-0000-0000-0000883F0000}"/>
    <cellStyle name="Normal 15 6 3 6" xfId="4366" xr:uid="{00000000-0005-0000-0000-0000893F0000}"/>
    <cellStyle name="Normal 15 6 3 6 2" xfId="52207" xr:uid="{00000000-0005-0000-0000-00008A3F0000}"/>
    <cellStyle name="Normal 15 6 3 6 3" xfId="36107" xr:uid="{00000000-0005-0000-0000-00008B3F0000}"/>
    <cellStyle name="Normal 15 6 3 6 4" xfId="16971" xr:uid="{00000000-0005-0000-0000-00008C3F0000}"/>
    <cellStyle name="Normal 15 6 3 7" xfId="42640" xr:uid="{00000000-0005-0000-0000-00008D3F0000}"/>
    <cellStyle name="Normal 15 6 3 8" xfId="26540" xr:uid="{00000000-0005-0000-0000-00008E3F0000}"/>
    <cellStyle name="Normal 15 6 3 9" xfId="13476" xr:uid="{00000000-0005-0000-0000-00008F3F0000}"/>
    <cellStyle name="Normal 15 6 4" xfId="2250" xr:uid="{00000000-0005-0000-0000-0000903F0000}"/>
    <cellStyle name="Normal 15 6 4 2" xfId="8784" xr:uid="{00000000-0005-0000-0000-0000913F0000}"/>
    <cellStyle name="Normal 15 6 4 2 2" xfId="40525" xr:uid="{00000000-0005-0000-0000-0000923F0000}"/>
    <cellStyle name="Normal 15 6 4 2 2 2" xfId="56625" xr:uid="{00000000-0005-0000-0000-0000933F0000}"/>
    <cellStyle name="Normal 15 6 4 2 3" xfId="47058" xr:uid="{00000000-0005-0000-0000-0000943F0000}"/>
    <cellStyle name="Normal 15 6 4 2 4" xfId="30958" xr:uid="{00000000-0005-0000-0000-0000953F0000}"/>
    <cellStyle name="Normal 15 6 4 2 5" xfId="21389" xr:uid="{00000000-0005-0000-0000-0000963F0000}"/>
    <cellStyle name="Normal 15 6 4 3" xfId="11820" xr:uid="{00000000-0005-0000-0000-0000973F0000}"/>
    <cellStyle name="Normal 15 6 4 3 2" xfId="50094" xr:uid="{00000000-0005-0000-0000-0000983F0000}"/>
    <cellStyle name="Normal 15 6 4 3 3" xfId="33994" xr:uid="{00000000-0005-0000-0000-0000993F0000}"/>
    <cellStyle name="Normal 15 6 4 3 4" xfId="24425" xr:uid="{00000000-0005-0000-0000-00009A3F0000}"/>
    <cellStyle name="Normal 15 6 4 4" xfId="5748" xr:uid="{00000000-0005-0000-0000-00009B3F0000}"/>
    <cellStyle name="Normal 15 6 4 4 2" xfId="53589" xr:uid="{00000000-0005-0000-0000-00009C3F0000}"/>
    <cellStyle name="Normal 15 6 4 4 3" xfId="37489" xr:uid="{00000000-0005-0000-0000-00009D3F0000}"/>
    <cellStyle name="Normal 15 6 4 4 4" xfId="18353" xr:uid="{00000000-0005-0000-0000-00009E3F0000}"/>
    <cellStyle name="Normal 15 6 4 5" xfId="44022" xr:uid="{00000000-0005-0000-0000-00009F3F0000}"/>
    <cellStyle name="Normal 15 6 4 6" xfId="27922" xr:uid="{00000000-0005-0000-0000-0000A03F0000}"/>
    <cellStyle name="Normal 15 6 4 7" xfId="14858" xr:uid="{00000000-0005-0000-0000-0000A13F0000}"/>
    <cellStyle name="Normal 15 6 5" xfId="1195" xr:uid="{00000000-0005-0000-0000-0000A23F0000}"/>
    <cellStyle name="Normal 15 6 5 2" xfId="7729" xr:uid="{00000000-0005-0000-0000-0000A33F0000}"/>
    <cellStyle name="Normal 15 6 5 2 2" xfId="39470" xr:uid="{00000000-0005-0000-0000-0000A43F0000}"/>
    <cellStyle name="Normal 15 6 5 2 2 2" xfId="55570" xr:uid="{00000000-0005-0000-0000-0000A53F0000}"/>
    <cellStyle name="Normal 15 6 5 2 3" xfId="46003" xr:uid="{00000000-0005-0000-0000-0000A63F0000}"/>
    <cellStyle name="Normal 15 6 5 2 4" xfId="29903" xr:uid="{00000000-0005-0000-0000-0000A73F0000}"/>
    <cellStyle name="Normal 15 6 5 2 5" xfId="20334" xr:uid="{00000000-0005-0000-0000-0000A83F0000}"/>
    <cellStyle name="Normal 15 6 5 3" xfId="10765" xr:uid="{00000000-0005-0000-0000-0000A93F0000}"/>
    <cellStyle name="Normal 15 6 5 3 2" xfId="49039" xr:uid="{00000000-0005-0000-0000-0000AA3F0000}"/>
    <cellStyle name="Normal 15 6 5 3 3" xfId="32939" xr:uid="{00000000-0005-0000-0000-0000AB3F0000}"/>
    <cellStyle name="Normal 15 6 5 3 4" xfId="23370" xr:uid="{00000000-0005-0000-0000-0000AC3F0000}"/>
    <cellStyle name="Normal 15 6 5 4" xfId="4693" xr:uid="{00000000-0005-0000-0000-0000AD3F0000}"/>
    <cellStyle name="Normal 15 6 5 4 2" xfId="52534" xr:uid="{00000000-0005-0000-0000-0000AE3F0000}"/>
    <cellStyle name="Normal 15 6 5 4 3" xfId="36434" xr:uid="{00000000-0005-0000-0000-0000AF3F0000}"/>
    <cellStyle name="Normal 15 6 5 4 4" xfId="17298" xr:uid="{00000000-0005-0000-0000-0000B03F0000}"/>
    <cellStyle name="Normal 15 6 5 5" xfId="42967" xr:uid="{00000000-0005-0000-0000-0000B13F0000}"/>
    <cellStyle name="Normal 15 6 5 6" xfId="26867" xr:uid="{00000000-0005-0000-0000-0000B23F0000}"/>
    <cellStyle name="Normal 15 6 5 7" xfId="13803" xr:uid="{00000000-0005-0000-0000-0000B33F0000}"/>
    <cellStyle name="Normal 15 6 6" xfId="3683" xr:uid="{00000000-0005-0000-0000-0000B43F0000}"/>
    <cellStyle name="Normal 15 6 6 2" xfId="35424" xr:uid="{00000000-0005-0000-0000-0000B53F0000}"/>
    <cellStyle name="Normal 15 6 6 2 2" xfId="51524" xr:uid="{00000000-0005-0000-0000-0000B63F0000}"/>
    <cellStyle name="Normal 15 6 6 3" xfId="41957" xr:uid="{00000000-0005-0000-0000-0000B73F0000}"/>
    <cellStyle name="Normal 15 6 6 4" xfId="25857" xr:uid="{00000000-0005-0000-0000-0000B83F0000}"/>
    <cellStyle name="Normal 15 6 6 5" xfId="16288" xr:uid="{00000000-0005-0000-0000-0000B93F0000}"/>
    <cellStyle name="Normal 15 6 7" xfId="6719" xr:uid="{00000000-0005-0000-0000-0000BA3F0000}"/>
    <cellStyle name="Normal 15 6 7 2" xfId="38460" xr:uid="{00000000-0005-0000-0000-0000BB3F0000}"/>
    <cellStyle name="Normal 15 6 7 2 2" xfId="54560" xr:uid="{00000000-0005-0000-0000-0000BC3F0000}"/>
    <cellStyle name="Normal 15 6 7 3" xfId="44993" xr:uid="{00000000-0005-0000-0000-0000BD3F0000}"/>
    <cellStyle name="Normal 15 6 7 4" xfId="28893" xr:uid="{00000000-0005-0000-0000-0000BE3F0000}"/>
    <cellStyle name="Normal 15 6 7 5" xfId="19324" xr:uid="{00000000-0005-0000-0000-0000BF3F0000}"/>
    <cellStyle name="Normal 15 6 8" xfId="9755" xr:uid="{00000000-0005-0000-0000-0000C03F0000}"/>
    <cellStyle name="Normal 15 6 8 2" xfId="48029" xr:uid="{00000000-0005-0000-0000-0000C13F0000}"/>
    <cellStyle name="Normal 15 6 8 3" xfId="31929" xr:uid="{00000000-0005-0000-0000-0000C23F0000}"/>
    <cellStyle name="Normal 15 6 8 4" xfId="22360" xr:uid="{00000000-0005-0000-0000-0000C33F0000}"/>
    <cellStyle name="Normal 15 6 9" xfId="3223" xr:uid="{00000000-0005-0000-0000-0000C43F0000}"/>
    <cellStyle name="Normal 15 6 9 2" xfId="51065" xr:uid="{00000000-0005-0000-0000-0000C53F0000}"/>
    <cellStyle name="Normal 15 6 9 3" xfId="34965" xr:uid="{00000000-0005-0000-0000-0000C63F0000}"/>
    <cellStyle name="Normal 15 6 9 4" xfId="15829" xr:uid="{00000000-0005-0000-0000-0000C73F0000}"/>
    <cellStyle name="Normal 15 7" xfId="48" xr:uid="{00000000-0005-0000-0000-0000C83F0000}"/>
    <cellStyle name="Normal 15 7 10" xfId="41515" xr:uid="{00000000-0005-0000-0000-0000C93F0000}"/>
    <cellStyle name="Normal 15 7 11" xfId="25415" xr:uid="{00000000-0005-0000-0000-0000CA3F0000}"/>
    <cellStyle name="Normal 15 7 12" xfId="12810" xr:uid="{00000000-0005-0000-0000-0000CB3F0000}"/>
    <cellStyle name="Normal 15 7 2" xfId="885" xr:uid="{00000000-0005-0000-0000-0000CC3F0000}"/>
    <cellStyle name="Normal 15 7 2 10" xfId="13493" xr:uid="{00000000-0005-0000-0000-0000CD3F0000}"/>
    <cellStyle name="Normal 15 7 2 2" xfId="2913" xr:uid="{00000000-0005-0000-0000-0000CE3F0000}"/>
    <cellStyle name="Normal 15 7 2 2 2" xfId="9445" xr:uid="{00000000-0005-0000-0000-0000CF3F0000}"/>
    <cellStyle name="Normal 15 7 2 2 2 2" xfId="41186" xr:uid="{00000000-0005-0000-0000-0000D03F0000}"/>
    <cellStyle name="Normal 15 7 2 2 2 2 2" xfId="57286" xr:uid="{00000000-0005-0000-0000-0000D13F0000}"/>
    <cellStyle name="Normal 15 7 2 2 2 3" xfId="47719" xr:uid="{00000000-0005-0000-0000-0000D23F0000}"/>
    <cellStyle name="Normal 15 7 2 2 2 4" xfId="31619" xr:uid="{00000000-0005-0000-0000-0000D33F0000}"/>
    <cellStyle name="Normal 15 7 2 2 2 5" xfId="22050" xr:uid="{00000000-0005-0000-0000-0000D43F0000}"/>
    <cellStyle name="Normal 15 7 2 2 3" xfId="12481" xr:uid="{00000000-0005-0000-0000-0000D53F0000}"/>
    <cellStyle name="Normal 15 7 2 2 3 2" xfId="50755" xr:uid="{00000000-0005-0000-0000-0000D63F0000}"/>
    <cellStyle name="Normal 15 7 2 2 3 3" xfId="34655" xr:uid="{00000000-0005-0000-0000-0000D73F0000}"/>
    <cellStyle name="Normal 15 7 2 2 3 4" xfId="25086" xr:uid="{00000000-0005-0000-0000-0000D83F0000}"/>
    <cellStyle name="Normal 15 7 2 2 4" xfId="6409" xr:uid="{00000000-0005-0000-0000-0000D93F0000}"/>
    <cellStyle name="Normal 15 7 2 2 4 2" xfId="54250" xr:uid="{00000000-0005-0000-0000-0000DA3F0000}"/>
    <cellStyle name="Normal 15 7 2 2 4 3" xfId="38150" xr:uid="{00000000-0005-0000-0000-0000DB3F0000}"/>
    <cellStyle name="Normal 15 7 2 2 4 4" xfId="19014" xr:uid="{00000000-0005-0000-0000-0000DC3F0000}"/>
    <cellStyle name="Normal 15 7 2 2 5" xfId="44683" xr:uid="{00000000-0005-0000-0000-0000DD3F0000}"/>
    <cellStyle name="Normal 15 7 2 2 6" xfId="28583" xr:uid="{00000000-0005-0000-0000-0000DE3F0000}"/>
    <cellStyle name="Normal 15 7 2 2 7" xfId="15519" xr:uid="{00000000-0005-0000-0000-0000DF3F0000}"/>
    <cellStyle name="Normal 15 7 2 3" xfId="1895" xr:uid="{00000000-0005-0000-0000-0000E03F0000}"/>
    <cellStyle name="Normal 15 7 2 3 2" xfId="8429" xr:uid="{00000000-0005-0000-0000-0000E13F0000}"/>
    <cellStyle name="Normal 15 7 2 3 2 2" xfId="40170" xr:uid="{00000000-0005-0000-0000-0000E23F0000}"/>
    <cellStyle name="Normal 15 7 2 3 2 2 2" xfId="56270" xr:uid="{00000000-0005-0000-0000-0000E33F0000}"/>
    <cellStyle name="Normal 15 7 2 3 2 3" xfId="46703" xr:uid="{00000000-0005-0000-0000-0000E43F0000}"/>
    <cellStyle name="Normal 15 7 2 3 2 4" xfId="30603" xr:uid="{00000000-0005-0000-0000-0000E53F0000}"/>
    <cellStyle name="Normal 15 7 2 3 2 5" xfId="21034" xr:uid="{00000000-0005-0000-0000-0000E63F0000}"/>
    <cellStyle name="Normal 15 7 2 3 3" xfId="11465" xr:uid="{00000000-0005-0000-0000-0000E73F0000}"/>
    <cellStyle name="Normal 15 7 2 3 3 2" xfId="49739" xr:uid="{00000000-0005-0000-0000-0000E83F0000}"/>
    <cellStyle name="Normal 15 7 2 3 3 3" xfId="33639" xr:uid="{00000000-0005-0000-0000-0000E93F0000}"/>
    <cellStyle name="Normal 15 7 2 3 3 4" xfId="24070" xr:uid="{00000000-0005-0000-0000-0000EA3F0000}"/>
    <cellStyle name="Normal 15 7 2 3 4" xfId="5393" xr:uid="{00000000-0005-0000-0000-0000EB3F0000}"/>
    <cellStyle name="Normal 15 7 2 3 4 2" xfId="53234" xr:uid="{00000000-0005-0000-0000-0000EC3F0000}"/>
    <cellStyle name="Normal 15 7 2 3 4 3" xfId="37134" xr:uid="{00000000-0005-0000-0000-0000ED3F0000}"/>
    <cellStyle name="Normal 15 7 2 3 4 4" xfId="17998" xr:uid="{00000000-0005-0000-0000-0000EE3F0000}"/>
    <cellStyle name="Normal 15 7 2 3 5" xfId="43667" xr:uid="{00000000-0005-0000-0000-0000EF3F0000}"/>
    <cellStyle name="Normal 15 7 2 3 6" xfId="27567" xr:uid="{00000000-0005-0000-0000-0000F03F0000}"/>
    <cellStyle name="Normal 15 7 2 3 7" xfId="14503" xr:uid="{00000000-0005-0000-0000-0000F13F0000}"/>
    <cellStyle name="Normal 15 7 2 4" xfId="4383" xr:uid="{00000000-0005-0000-0000-0000F23F0000}"/>
    <cellStyle name="Normal 15 7 2 4 2" xfId="36124" xr:uid="{00000000-0005-0000-0000-0000F33F0000}"/>
    <cellStyle name="Normal 15 7 2 4 2 2" xfId="52224" xr:uid="{00000000-0005-0000-0000-0000F43F0000}"/>
    <cellStyle name="Normal 15 7 2 4 3" xfId="42657" xr:uid="{00000000-0005-0000-0000-0000F53F0000}"/>
    <cellStyle name="Normal 15 7 2 4 4" xfId="26557" xr:uid="{00000000-0005-0000-0000-0000F63F0000}"/>
    <cellStyle name="Normal 15 7 2 4 5" xfId="16988" xr:uid="{00000000-0005-0000-0000-0000F73F0000}"/>
    <cellStyle name="Normal 15 7 2 5" xfId="7419" xr:uid="{00000000-0005-0000-0000-0000F83F0000}"/>
    <cellStyle name="Normal 15 7 2 5 2" xfId="39160" xr:uid="{00000000-0005-0000-0000-0000F93F0000}"/>
    <cellStyle name="Normal 15 7 2 5 2 2" xfId="55260" xr:uid="{00000000-0005-0000-0000-0000FA3F0000}"/>
    <cellStyle name="Normal 15 7 2 5 3" xfId="45693" xr:uid="{00000000-0005-0000-0000-0000FB3F0000}"/>
    <cellStyle name="Normal 15 7 2 5 4" xfId="29593" xr:uid="{00000000-0005-0000-0000-0000FC3F0000}"/>
    <cellStyle name="Normal 15 7 2 5 5" xfId="20024" xr:uid="{00000000-0005-0000-0000-0000FD3F0000}"/>
    <cellStyle name="Normal 15 7 2 6" xfId="10455" xr:uid="{00000000-0005-0000-0000-0000FE3F0000}"/>
    <cellStyle name="Normal 15 7 2 6 2" xfId="48729" xr:uid="{00000000-0005-0000-0000-0000FF3F0000}"/>
    <cellStyle name="Normal 15 7 2 6 3" xfId="32629" xr:uid="{00000000-0005-0000-0000-000000400000}"/>
    <cellStyle name="Normal 15 7 2 6 4" xfId="23060" xr:uid="{00000000-0005-0000-0000-000001400000}"/>
    <cellStyle name="Normal 15 7 2 7" xfId="3478" xr:uid="{00000000-0005-0000-0000-000002400000}"/>
    <cellStyle name="Normal 15 7 2 7 2" xfId="51319" xr:uid="{00000000-0005-0000-0000-000003400000}"/>
    <cellStyle name="Normal 15 7 2 7 3" xfId="35219" xr:uid="{00000000-0005-0000-0000-000004400000}"/>
    <cellStyle name="Normal 15 7 2 7 4" xfId="16083" xr:uid="{00000000-0005-0000-0000-000005400000}"/>
    <cellStyle name="Normal 15 7 2 8" xfId="41752" xr:uid="{00000000-0005-0000-0000-000006400000}"/>
    <cellStyle name="Normal 15 7 2 9" xfId="25652" xr:uid="{00000000-0005-0000-0000-000007400000}"/>
    <cellStyle name="Normal 15 7 3" xfId="663" xr:uid="{00000000-0005-0000-0000-000008400000}"/>
    <cellStyle name="Normal 15 7 3 2" xfId="2691" xr:uid="{00000000-0005-0000-0000-000009400000}"/>
    <cellStyle name="Normal 15 7 3 2 2" xfId="9223" xr:uid="{00000000-0005-0000-0000-00000A400000}"/>
    <cellStyle name="Normal 15 7 3 2 2 2" xfId="40964" xr:uid="{00000000-0005-0000-0000-00000B400000}"/>
    <cellStyle name="Normal 15 7 3 2 2 2 2" xfId="57064" xr:uid="{00000000-0005-0000-0000-00000C400000}"/>
    <cellStyle name="Normal 15 7 3 2 2 3" xfId="47497" xr:uid="{00000000-0005-0000-0000-00000D400000}"/>
    <cellStyle name="Normal 15 7 3 2 2 4" xfId="31397" xr:uid="{00000000-0005-0000-0000-00000E400000}"/>
    <cellStyle name="Normal 15 7 3 2 2 5" xfId="21828" xr:uid="{00000000-0005-0000-0000-00000F400000}"/>
    <cellStyle name="Normal 15 7 3 2 3" xfId="12259" xr:uid="{00000000-0005-0000-0000-000010400000}"/>
    <cellStyle name="Normal 15 7 3 2 3 2" xfId="50533" xr:uid="{00000000-0005-0000-0000-000011400000}"/>
    <cellStyle name="Normal 15 7 3 2 3 3" xfId="34433" xr:uid="{00000000-0005-0000-0000-000012400000}"/>
    <cellStyle name="Normal 15 7 3 2 3 4" xfId="24864" xr:uid="{00000000-0005-0000-0000-000013400000}"/>
    <cellStyle name="Normal 15 7 3 2 4" xfId="6187" xr:uid="{00000000-0005-0000-0000-000014400000}"/>
    <cellStyle name="Normal 15 7 3 2 4 2" xfId="54028" xr:uid="{00000000-0005-0000-0000-000015400000}"/>
    <cellStyle name="Normal 15 7 3 2 4 3" xfId="37928" xr:uid="{00000000-0005-0000-0000-000016400000}"/>
    <cellStyle name="Normal 15 7 3 2 4 4" xfId="18792" xr:uid="{00000000-0005-0000-0000-000017400000}"/>
    <cellStyle name="Normal 15 7 3 2 5" xfId="44461" xr:uid="{00000000-0005-0000-0000-000018400000}"/>
    <cellStyle name="Normal 15 7 3 2 6" xfId="28361" xr:uid="{00000000-0005-0000-0000-000019400000}"/>
    <cellStyle name="Normal 15 7 3 2 7" xfId="15297" xr:uid="{00000000-0005-0000-0000-00001A400000}"/>
    <cellStyle name="Normal 15 7 3 3" xfId="1673" xr:uid="{00000000-0005-0000-0000-00001B400000}"/>
    <cellStyle name="Normal 15 7 3 3 2" xfId="8207" xr:uid="{00000000-0005-0000-0000-00001C400000}"/>
    <cellStyle name="Normal 15 7 3 3 2 2" xfId="39948" xr:uid="{00000000-0005-0000-0000-00001D400000}"/>
    <cellStyle name="Normal 15 7 3 3 2 2 2" xfId="56048" xr:uid="{00000000-0005-0000-0000-00001E400000}"/>
    <cellStyle name="Normal 15 7 3 3 2 3" xfId="46481" xr:uid="{00000000-0005-0000-0000-00001F400000}"/>
    <cellStyle name="Normal 15 7 3 3 2 4" xfId="30381" xr:uid="{00000000-0005-0000-0000-000020400000}"/>
    <cellStyle name="Normal 15 7 3 3 2 5" xfId="20812" xr:uid="{00000000-0005-0000-0000-000021400000}"/>
    <cellStyle name="Normal 15 7 3 3 3" xfId="11243" xr:uid="{00000000-0005-0000-0000-000022400000}"/>
    <cellStyle name="Normal 15 7 3 3 3 2" xfId="49517" xr:uid="{00000000-0005-0000-0000-000023400000}"/>
    <cellStyle name="Normal 15 7 3 3 3 3" xfId="33417" xr:uid="{00000000-0005-0000-0000-000024400000}"/>
    <cellStyle name="Normal 15 7 3 3 3 4" xfId="23848" xr:uid="{00000000-0005-0000-0000-000025400000}"/>
    <cellStyle name="Normal 15 7 3 3 4" xfId="5171" xr:uid="{00000000-0005-0000-0000-000026400000}"/>
    <cellStyle name="Normal 15 7 3 3 4 2" xfId="53012" xr:uid="{00000000-0005-0000-0000-000027400000}"/>
    <cellStyle name="Normal 15 7 3 3 4 3" xfId="36912" xr:uid="{00000000-0005-0000-0000-000028400000}"/>
    <cellStyle name="Normal 15 7 3 3 4 4" xfId="17776" xr:uid="{00000000-0005-0000-0000-000029400000}"/>
    <cellStyle name="Normal 15 7 3 3 5" xfId="43445" xr:uid="{00000000-0005-0000-0000-00002A400000}"/>
    <cellStyle name="Normal 15 7 3 3 6" xfId="27345" xr:uid="{00000000-0005-0000-0000-00002B400000}"/>
    <cellStyle name="Normal 15 7 3 3 7" xfId="14281" xr:uid="{00000000-0005-0000-0000-00002C400000}"/>
    <cellStyle name="Normal 15 7 3 4" xfId="7197" xr:uid="{00000000-0005-0000-0000-00002D400000}"/>
    <cellStyle name="Normal 15 7 3 4 2" xfId="38938" xr:uid="{00000000-0005-0000-0000-00002E400000}"/>
    <cellStyle name="Normal 15 7 3 4 2 2" xfId="55038" xr:uid="{00000000-0005-0000-0000-00002F400000}"/>
    <cellStyle name="Normal 15 7 3 4 3" xfId="45471" xr:uid="{00000000-0005-0000-0000-000030400000}"/>
    <cellStyle name="Normal 15 7 3 4 4" xfId="29371" xr:uid="{00000000-0005-0000-0000-000031400000}"/>
    <cellStyle name="Normal 15 7 3 4 5" xfId="19802" xr:uid="{00000000-0005-0000-0000-000032400000}"/>
    <cellStyle name="Normal 15 7 3 5" xfId="10233" xr:uid="{00000000-0005-0000-0000-000033400000}"/>
    <cellStyle name="Normal 15 7 3 5 2" xfId="48507" xr:uid="{00000000-0005-0000-0000-000034400000}"/>
    <cellStyle name="Normal 15 7 3 5 3" xfId="32407" xr:uid="{00000000-0005-0000-0000-000035400000}"/>
    <cellStyle name="Normal 15 7 3 5 4" xfId="22838" xr:uid="{00000000-0005-0000-0000-000036400000}"/>
    <cellStyle name="Normal 15 7 3 6" xfId="4161" xr:uid="{00000000-0005-0000-0000-000037400000}"/>
    <cellStyle name="Normal 15 7 3 6 2" xfId="52002" xr:uid="{00000000-0005-0000-0000-000038400000}"/>
    <cellStyle name="Normal 15 7 3 6 3" xfId="35902" xr:uid="{00000000-0005-0000-0000-000039400000}"/>
    <cellStyle name="Normal 15 7 3 6 4" xfId="16766" xr:uid="{00000000-0005-0000-0000-00003A400000}"/>
    <cellStyle name="Normal 15 7 3 7" xfId="42435" xr:uid="{00000000-0005-0000-0000-00003B400000}"/>
    <cellStyle name="Normal 15 7 3 8" xfId="26335" xr:uid="{00000000-0005-0000-0000-00003C400000}"/>
    <cellStyle name="Normal 15 7 3 9" xfId="13271" xr:uid="{00000000-0005-0000-0000-00003D400000}"/>
    <cellStyle name="Normal 15 7 4" xfId="2463" xr:uid="{00000000-0005-0000-0000-00003E400000}"/>
    <cellStyle name="Normal 15 7 4 2" xfId="8995" xr:uid="{00000000-0005-0000-0000-00003F400000}"/>
    <cellStyle name="Normal 15 7 4 2 2" xfId="40736" xr:uid="{00000000-0005-0000-0000-000040400000}"/>
    <cellStyle name="Normal 15 7 4 2 2 2" xfId="56836" xr:uid="{00000000-0005-0000-0000-000041400000}"/>
    <cellStyle name="Normal 15 7 4 2 3" xfId="47269" xr:uid="{00000000-0005-0000-0000-000042400000}"/>
    <cellStyle name="Normal 15 7 4 2 4" xfId="31169" xr:uid="{00000000-0005-0000-0000-000043400000}"/>
    <cellStyle name="Normal 15 7 4 2 5" xfId="21600" xr:uid="{00000000-0005-0000-0000-000044400000}"/>
    <cellStyle name="Normal 15 7 4 3" xfId="12031" xr:uid="{00000000-0005-0000-0000-000045400000}"/>
    <cellStyle name="Normal 15 7 4 3 2" xfId="50305" xr:uid="{00000000-0005-0000-0000-000046400000}"/>
    <cellStyle name="Normal 15 7 4 3 3" xfId="34205" xr:uid="{00000000-0005-0000-0000-000047400000}"/>
    <cellStyle name="Normal 15 7 4 3 4" xfId="24636" xr:uid="{00000000-0005-0000-0000-000048400000}"/>
    <cellStyle name="Normal 15 7 4 4" xfId="5959" xr:uid="{00000000-0005-0000-0000-000049400000}"/>
    <cellStyle name="Normal 15 7 4 4 2" xfId="53800" xr:uid="{00000000-0005-0000-0000-00004A400000}"/>
    <cellStyle name="Normal 15 7 4 4 3" xfId="37700" xr:uid="{00000000-0005-0000-0000-00004B400000}"/>
    <cellStyle name="Normal 15 7 4 4 4" xfId="18564" xr:uid="{00000000-0005-0000-0000-00004C400000}"/>
    <cellStyle name="Normal 15 7 4 5" xfId="44233" xr:uid="{00000000-0005-0000-0000-00004D400000}"/>
    <cellStyle name="Normal 15 7 4 6" xfId="28133" xr:uid="{00000000-0005-0000-0000-00004E400000}"/>
    <cellStyle name="Normal 15 7 4 7" xfId="15069" xr:uid="{00000000-0005-0000-0000-00004F400000}"/>
    <cellStyle name="Normal 15 7 5" xfId="1212" xr:uid="{00000000-0005-0000-0000-000050400000}"/>
    <cellStyle name="Normal 15 7 5 2" xfId="7746" xr:uid="{00000000-0005-0000-0000-000051400000}"/>
    <cellStyle name="Normal 15 7 5 2 2" xfId="39487" xr:uid="{00000000-0005-0000-0000-000052400000}"/>
    <cellStyle name="Normal 15 7 5 2 2 2" xfId="55587" xr:uid="{00000000-0005-0000-0000-000053400000}"/>
    <cellStyle name="Normal 15 7 5 2 3" xfId="46020" xr:uid="{00000000-0005-0000-0000-000054400000}"/>
    <cellStyle name="Normal 15 7 5 2 4" xfId="29920" xr:uid="{00000000-0005-0000-0000-000055400000}"/>
    <cellStyle name="Normal 15 7 5 2 5" xfId="20351" xr:uid="{00000000-0005-0000-0000-000056400000}"/>
    <cellStyle name="Normal 15 7 5 3" xfId="10782" xr:uid="{00000000-0005-0000-0000-000057400000}"/>
    <cellStyle name="Normal 15 7 5 3 2" xfId="49056" xr:uid="{00000000-0005-0000-0000-000058400000}"/>
    <cellStyle name="Normal 15 7 5 3 3" xfId="32956" xr:uid="{00000000-0005-0000-0000-000059400000}"/>
    <cellStyle name="Normal 15 7 5 3 4" xfId="23387" xr:uid="{00000000-0005-0000-0000-00005A400000}"/>
    <cellStyle name="Normal 15 7 5 4" xfId="4710" xr:uid="{00000000-0005-0000-0000-00005B400000}"/>
    <cellStyle name="Normal 15 7 5 4 2" xfId="52551" xr:uid="{00000000-0005-0000-0000-00005C400000}"/>
    <cellStyle name="Normal 15 7 5 4 3" xfId="36451" xr:uid="{00000000-0005-0000-0000-00005D400000}"/>
    <cellStyle name="Normal 15 7 5 4 4" xfId="17315" xr:uid="{00000000-0005-0000-0000-00005E400000}"/>
    <cellStyle name="Normal 15 7 5 5" xfId="42984" xr:uid="{00000000-0005-0000-0000-00005F400000}"/>
    <cellStyle name="Normal 15 7 5 6" xfId="26884" xr:uid="{00000000-0005-0000-0000-000060400000}"/>
    <cellStyle name="Normal 15 7 5 7" xfId="13820" xr:uid="{00000000-0005-0000-0000-000061400000}"/>
    <cellStyle name="Normal 15 7 6" xfId="3700" xr:uid="{00000000-0005-0000-0000-000062400000}"/>
    <cellStyle name="Normal 15 7 6 2" xfId="35441" xr:uid="{00000000-0005-0000-0000-000063400000}"/>
    <cellStyle name="Normal 15 7 6 2 2" xfId="51541" xr:uid="{00000000-0005-0000-0000-000064400000}"/>
    <cellStyle name="Normal 15 7 6 3" xfId="41974" xr:uid="{00000000-0005-0000-0000-000065400000}"/>
    <cellStyle name="Normal 15 7 6 4" xfId="25874" xr:uid="{00000000-0005-0000-0000-000066400000}"/>
    <cellStyle name="Normal 15 7 6 5" xfId="16305" xr:uid="{00000000-0005-0000-0000-000067400000}"/>
    <cellStyle name="Normal 15 7 7" xfId="6736" xr:uid="{00000000-0005-0000-0000-000068400000}"/>
    <cellStyle name="Normal 15 7 7 2" xfId="38477" xr:uid="{00000000-0005-0000-0000-000069400000}"/>
    <cellStyle name="Normal 15 7 7 2 2" xfId="54577" xr:uid="{00000000-0005-0000-0000-00006A400000}"/>
    <cellStyle name="Normal 15 7 7 3" xfId="45010" xr:uid="{00000000-0005-0000-0000-00006B400000}"/>
    <cellStyle name="Normal 15 7 7 4" xfId="28910" xr:uid="{00000000-0005-0000-0000-00006C400000}"/>
    <cellStyle name="Normal 15 7 7 5" xfId="19341" xr:uid="{00000000-0005-0000-0000-00006D400000}"/>
    <cellStyle name="Normal 15 7 8" xfId="9772" xr:uid="{00000000-0005-0000-0000-00006E400000}"/>
    <cellStyle name="Normal 15 7 8 2" xfId="48046" xr:uid="{00000000-0005-0000-0000-00006F400000}"/>
    <cellStyle name="Normal 15 7 8 3" xfId="31946" xr:uid="{00000000-0005-0000-0000-000070400000}"/>
    <cellStyle name="Normal 15 7 8 4" xfId="22377" xr:uid="{00000000-0005-0000-0000-000071400000}"/>
    <cellStyle name="Normal 15 7 9" xfId="3240" xr:uid="{00000000-0005-0000-0000-000072400000}"/>
    <cellStyle name="Normal 15 7 9 2" xfId="51082" xr:uid="{00000000-0005-0000-0000-000073400000}"/>
    <cellStyle name="Normal 15 7 9 3" xfId="34982" xr:uid="{00000000-0005-0000-0000-000074400000}"/>
    <cellStyle name="Normal 15 7 9 4" xfId="15846" xr:uid="{00000000-0005-0000-0000-000075400000}"/>
    <cellStyle name="Normal 15 8" xfId="449" xr:uid="{00000000-0005-0000-0000-000076400000}"/>
    <cellStyle name="Normal 15 8 10" xfId="41532" xr:uid="{00000000-0005-0000-0000-000077400000}"/>
    <cellStyle name="Normal 15 8 11" xfId="25432" xr:uid="{00000000-0005-0000-0000-000078400000}"/>
    <cellStyle name="Normal 15 8 12" xfId="12827" xr:uid="{00000000-0005-0000-0000-000079400000}"/>
    <cellStyle name="Normal 15 8 2" xfId="902" xr:uid="{00000000-0005-0000-0000-00007A400000}"/>
    <cellStyle name="Normal 15 8 2 10" xfId="13510" xr:uid="{00000000-0005-0000-0000-00007B400000}"/>
    <cellStyle name="Normal 15 8 2 2" xfId="2930" xr:uid="{00000000-0005-0000-0000-00007C400000}"/>
    <cellStyle name="Normal 15 8 2 2 2" xfId="9462" xr:uid="{00000000-0005-0000-0000-00007D400000}"/>
    <cellStyle name="Normal 15 8 2 2 2 2" xfId="41203" xr:uid="{00000000-0005-0000-0000-00007E400000}"/>
    <cellStyle name="Normal 15 8 2 2 2 2 2" xfId="57303" xr:uid="{00000000-0005-0000-0000-00007F400000}"/>
    <cellStyle name="Normal 15 8 2 2 2 3" xfId="47736" xr:uid="{00000000-0005-0000-0000-000080400000}"/>
    <cellStyle name="Normal 15 8 2 2 2 4" xfId="31636" xr:uid="{00000000-0005-0000-0000-000081400000}"/>
    <cellStyle name="Normal 15 8 2 2 2 5" xfId="22067" xr:uid="{00000000-0005-0000-0000-000082400000}"/>
    <cellStyle name="Normal 15 8 2 2 3" xfId="12498" xr:uid="{00000000-0005-0000-0000-000083400000}"/>
    <cellStyle name="Normal 15 8 2 2 3 2" xfId="50772" xr:uid="{00000000-0005-0000-0000-000084400000}"/>
    <cellStyle name="Normal 15 8 2 2 3 3" xfId="34672" xr:uid="{00000000-0005-0000-0000-000085400000}"/>
    <cellStyle name="Normal 15 8 2 2 3 4" xfId="25103" xr:uid="{00000000-0005-0000-0000-000086400000}"/>
    <cellStyle name="Normal 15 8 2 2 4" xfId="6426" xr:uid="{00000000-0005-0000-0000-000087400000}"/>
    <cellStyle name="Normal 15 8 2 2 4 2" xfId="54267" xr:uid="{00000000-0005-0000-0000-000088400000}"/>
    <cellStyle name="Normal 15 8 2 2 4 3" xfId="38167" xr:uid="{00000000-0005-0000-0000-000089400000}"/>
    <cellStyle name="Normal 15 8 2 2 4 4" xfId="19031" xr:uid="{00000000-0005-0000-0000-00008A400000}"/>
    <cellStyle name="Normal 15 8 2 2 5" xfId="44700" xr:uid="{00000000-0005-0000-0000-00008B400000}"/>
    <cellStyle name="Normal 15 8 2 2 6" xfId="28600" xr:uid="{00000000-0005-0000-0000-00008C400000}"/>
    <cellStyle name="Normal 15 8 2 2 7" xfId="15536" xr:uid="{00000000-0005-0000-0000-00008D400000}"/>
    <cellStyle name="Normal 15 8 2 3" xfId="1912" xr:uid="{00000000-0005-0000-0000-00008E400000}"/>
    <cellStyle name="Normal 15 8 2 3 2" xfId="8446" xr:uid="{00000000-0005-0000-0000-00008F400000}"/>
    <cellStyle name="Normal 15 8 2 3 2 2" xfId="40187" xr:uid="{00000000-0005-0000-0000-000090400000}"/>
    <cellStyle name="Normal 15 8 2 3 2 2 2" xfId="56287" xr:uid="{00000000-0005-0000-0000-000091400000}"/>
    <cellStyle name="Normal 15 8 2 3 2 3" xfId="46720" xr:uid="{00000000-0005-0000-0000-000092400000}"/>
    <cellStyle name="Normal 15 8 2 3 2 4" xfId="30620" xr:uid="{00000000-0005-0000-0000-000093400000}"/>
    <cellStyle name="Normal 15 8 2 3 2 5" xfId="21051" xr:uid="{00000000-0005-0000-0000-000094400000}"/>
    <cellStyle name="Normal 15 8 2 3 3" xfId="11482" xr:uid="{00000000-0005-0000-0000-000095400000}"/>
    <cellStyle name="Normal 15 8 2 3 3 2" xfId="49756" xr:uid="{00000000-0005-0000-0000-000096400000}"/>
    <cellStyle name="Normal 15 8 2 3 3 3" xfId="33656" xr:uid="{00000000-0005-0000-0000-000097400000}"/>
    <cellStyle name="Normal 15 8 2 3 3 4" xfId="24087" xr:uid="{00000000-0005-0000-0000-000098400000}"/>
    <cellStyle name="Normal 15 8 2 3 4" xfId="5410" xr:uid="{00000000-0005-0000-0000-000099400000}"/>
    <cellStyle name="Normal 15 8 2 3 4 2" xfId="53251" xr:uid="{00000000-0005-0000-0000-00009A400000}"/>
    <cellStyle name="Normal 15 8 2 3 4 3" xfId="37151" xr:uid="{00000000-0005-0000-0000-00009B400000}"/>
    <cellStyle name="Normal 15 8 2 3 4 4" xfId="18015" xr:uid="{00000000-0005-0000-0000-00009C400000}"/>
    <cellStyle name="Normal 15 8 2 3 5" xfId="43684" xr:uid="{00000000-0005-0000-0000-00009D400000}"/>
    <cellStyle name="Normal 15 8 2 3 6" xfId="27584" xr:uid="{00000000-0005-0000-0000-00009E400000}"/>
    <cellStyle name="Normal 15 8 2 3 7" xfId="14520" xr:uid="{00000000-0005-0000-0000-00009F400000}"/>
    <cellStyle name="Normal 15 8 2 4" xfId="4400" xr:uid="{00000000-0005-0000-0000-0000A0400000}"/>
    <cellStyle name="Normal 15 8 2 4 2" xfId="36141" xr:uid="{00000000-0005-0000-0000-0000A1400000}"/>
    <cellStyle name="Normal 15 8 2 4 2 2" xfId="52241" xr:uid="{00000000-0005-0000-0000-0000A2400000}"/>
    <cellStyle name="Normal 15 8 2 4 3" xfId="42674" xr:uid="{00000000-0005-0000-0000-0000A3400000}"/>
    <cellStyle name="Normal 15 8 2 4 4" xfId="26574" xr:uid="{00000000-0005-0000-0000-0000A4400000}"/>
    <cellStyle name="Normal 15 8 2 4 5" xfId="17005" xr:uid="{00000000-0005-0000-0000-0000A5400000}"/>
    <cellStyle name="Normal 15 8 2 5" xfId="7436" xr:uid="{00000000-0005-0000-0000-0000A6400000}"/>
    <cellStyle name="Normal 15 8 2 5 2" xfId="39177" xr:uid="{00000000-0005-0000-0000-0000A7400000}"/>
    <cellStyle name="Normal 15 8 2 5 2 2" xfId="55277" xr:uid="{00000000-0005-0000-0000-0000A8400000}"/>
    <cellStyle name="Normal 15 8 2 5 3" xfId="45710" xr:uid="{00000000-0005-0000-0000-0000A9400000}"/>
    <cellStyle name="Normal 15 8 2 5 4" xfId="29610" xr:uid="{00000000-0005-0000-0000-0000AA400000}"/>
    <cellStyle name="Normal 15 8 2 5 5" xfId="20041" xr:uid="{00000000-0005-0000-0000-0000AB400000}"/>
    <cellStyle name="Normal 15 8 2 6" xfId="10472" xr:uid="{00000000-0005-0000-0000-0000AC400000}"/>
    <cellStyle name="Normal 15 8 2 6 2" xfId="48746" xr:uid="{00000000-0005-0000-0000-0000AD400000}"/>
    <cellStyle name="Normal 15 8 2 6 3" xfId="32646" xr:uid="{00000000-0005-0000-0000-0000AE400000}"/>
    <cellStyle name="Normal 15 8 2 6 4" xfId="23077" xr:uid="{00000000-0005-0000-0000-0000AF400000}"/>
    <cellStyle name="Normal 15 8 2 7" xfId="3495" xr:uid="{00000000-0005-0000-0000-0000B0400000}"/>
    <cellStyle name="Normal 15 8 2 7 2" xfId="51336" xr:uid="{00000000-0005-0000-0000-0000B1400000}"/>
    <cellStyle name="Normal 15 8 2 7 3" xfId="35236" xr:uid="{00000000-0005-0000-0000-0000B2400000}"/>
    <cellStyle name="Normal 15 8 2 7 4" xfId="16100" xr:uid="{00000000-0005-0000-0000-0000B3400000}"/>
    <cellStyle name="Normal 15 8 2 8" xfId="41769" xr:uid="{00000000-0005-0000-0000-0000B4400000}"/>
    <cellStyle name="Normal 15 8 2 9" xfId="25669" xr:uid="{00000000-0005-0000-0000-0000B5400000}"/>
    <cellStyle name="Normal 15 8 3" xfId="680" xr:uid="{00000000-0005-0000-0000-0000B6400000}"/>
    <cellStyle name="Normal 15 8 3 2" xfId="2708" xr:uid="{00000000-0005-0000-0000-0000B7400000}"/>
    <cellStyle name="Normal 15 8 3 2 2" xfId="9240" xr:uid="{00000000-0005-0000-0000-0000B8400000}"/>
    <cellStyle name="Normal 15 8 3 2 2 2" xfId="40981" xr:uid="{00000000-0005-0000-0000-0000B9400000}"/>
    <cellStyle name="Normal 15 8 3 2 2 2 2" xfId="57081" xr:uid="{00000000-0005-0000-0000-0000BA400000}"/>
    <cellStyle name="Normal 15 8 3 2 2 3" xfId="47514" xr:uid="{00000000-0005-0000-0000-0000BB400000}"/>
    <cellStyle name="Normal 15 8 3 2 2 4" xfId="31414" xr:uid="{00000000-0005-0000-0000-0000BC400000}"/>
    <cellStyle name="Normal 15 8 3 2 2 5" xfId="21845" xr:uid="{00000000-0005-0000-0000-0000BD400000}"/>
    <cellStyle name="Normal 15 8 3 2 3" xfId="12276" xr:uid="{00000000-0005-0000-0000-0000BE400000}"/>
    <cellStyle name="Normal 15 8 3 2 3 2" xfId="50550" xr:uid="{00000000-0005-0000-0000-0000BF400000}"/>
    <cellStyle name="Normal 15 8 3 2 3 3" xfId="34450" xr:uid="{00000000-0005-0000-0000-0000C0400000}"/>
    <cellStyle name="Normal 15 8 3 2 3 4" xfId="24881" xr:uid="{00000000-0005-0000-0000-0000C1400000}"/>
    <cellStyle name="Normal 15 8 3 2 4" xfId="6204" xr:uid="{00000000-0005-0000-0000-0000C2400000}"/>
    <cellStyle name="Normal 15 8 3 2 4 2" xfId="54045" xr:uid="{00000000-0005-0000-0000-0000C3400000}"/>
    <cellStyle name="Normal 15 8 3 2 4 3" xfId="37945" xr:uid="{00000000-0005-0000-0000-0000C4400000}"/>
    <cellStyle name="Normal 15 8 3 2 4 4" xfId="18809" xr:uid="{00000000-0005-0000-0000-0000C5400000}"/>
    <cellStyle name="Normal 15 8 3 2 5" xfId="44478" xr:uid="{00000000-0005-0000-0000-0000C6400000}"/>
    <cellStyle name="Normal 15 8 3 2 6" xfId="28378" xr:uid="{00000000-0005-0000-0000-0000C7400000}"/>
    <cellStyle name="Normal 15 8 3 2 7" xfId="15314" xr:uid="{00000000-0005-0000-0000-0000C8400000}"/>
    <cellStyle name="Normal 15 8 3 3" xfId="1690" xr:uid="{00000000-0005-0000-0000-0000C9400000}"/>
    <cellStyle name="Normal 15 8 3 3 2" xfId="8224" xr:uid="{00000000-0005-0000-0000-0000CA400000}"/>
    <cellStyle name="Normal 15 8 3 3 2 2" xfId="39965" xr:uid="{00000000-0005-0000-0000-0000CB400000}"/>
    <cellStyle name="Normal 15 8 3 3 2 2 2" xfId="56065" xr:uid="{00000000-0005-0000-0000-0000CC400000}"/>
    <cellStyle name="Normal 15 8 3 3 2 3" xfId="46498" xr:uid="{00000000-0005-0000-0000-0000CD400000}"/>
    <cellStyle name="Normal 15 8 3 3 2 4" xfId="30398" xr:uid="{00000000-0005-0000-0000-0000CE400000}"/>
    <cellStyle name="Normal 15 8 3 3 2 5" xfId="20829" xr:uid="{00000000-0005-0000-0000-0000CF400000}"/>
    <cellStyle name="Normal 15 8 3 3 3" xfId="11260" xr:uid="{00000000-0005-0000-0000-0000D0400000}"/>
    <cellStyle name="Normal 15 8 3 3 3 2" xfId="49534" xr:uid="{00000000-0005-0000-0000-0000D1400000}"/>
    <cellStyle name="Normal 15 8 3 3 3 3" xfId="33434" xr:uid="{00000000-0005-0000-0000-0000D2400000}"/>
    <cellStyle name="Normal 15 8 3 3 3 4" xfId="23865" xr:uid="{00000000-0005-0000-0000-0000D3400000}"/>
    <cellStyle name="Normal 15 8 3 3 4" xfId="5188" xr:uid="{00000000-0005-0000-0000-0000D4400000}"/>
    <cellStyle name="Normal 15 8 3 3 4 2" xfId="53029" xr:uid="{00000000-0005-0000-0000-0000D5400000}"/>
    <cellStyle name="Normal 15 8 3 3 4 3" xfId="36929" xr:uid="{00000000-0005-0000-0000-0000D6400000}"/>
    <cellStyle name="Normal 15 8 3 3 4 4" xfId="17793" xr:uid="{00000000-0005-0000-0000-0000D7400000}"/>
    <cellStyle name="Normal 15 8 3 3 5" xfId="43462" xr:uid="{00000000-0005-0000-0000-0000D8400000}"/>
    <cellStyle name="Normal 15 8 3 3 6" xfId="27362" xr:uid="{00000000-0005-0000-0000-0000D9400000}"/>
    <cellStyle name="Normal 15 8 3 3 7" xfId="14298" xr:uid="{00000000-0005-0000-0000-0000DA400000}"/>
    <cellStyle name="Normal 15 8 3 4" xfId="7214" xr:uid="{00000000-0005-0000-0000-0000DB400000}"/>
    <cellStyle name="Normal 15 8 3 4 2" xfId="38955" xr:uid="{00000000-0005-0000-0000-0000DC400000}"/>
    <cellStyle name="Normal 15 8 3 4 2 2" xfId="55055" xr:uid="{00000000-0005-0000-0000-0000DD400000}"/>
    <cellStyle name="Normal 15 8 3 4 3" xfId="45488" xr:uid="{00000000-0005-0000-0000-0000DE400000}"/>
    <cellStyle name="Normal 15 8 3 4 4" xfId="29388" xr:uid="{00000000-0005-0000-0000-0000DF400000}"/>
    <cellStyle name="Normal 15 8 3 4 5" xfId="19819" xr:uid="{00000000-0005-0000-0000-0000E0400000}"/>
    <cellStyle name="Normal 15 8 3 5" xfId="10250" xr:uid="{00000000-0005-0000-0000-0000E1400000}"/>
    <cellStyle name="Normal 15 8 3 5 2" xfId="48524" xr:uid="{00000000-0005-0000-0000-0000E2400000}"/>
    <cellStyle name="Normal 15 8 3 5 3" xfId="32424" xr:uid="{00000000-0005-0000-0000-0000E3400000}"/>
    <cellStyle name="Normal 15 8 3 5 4" xfId="22855" xr:uid="{00000000-0005-0000-0000-0000E4400000}"/>
    <cellStyle name="Normal 15 8 3 6" xfId="4178" xr:uid="{00000000-0005-0000-0000-0000E5400000}"/>
    <cellStyle name="Normal 15 8 3 6 2" xfId="52019" xr:uid="{00000000-0005-0000-0000-0000E6400000}"/>
    <cellStyle name="Normal 15 8 3 6 3" xfId="35919" xr:uid="{00000000-0005-0000-0000-0000E7400000}"/>
    <cellStyle name="Normal 15 8 3 6 4" xfId="16783" xr:uid="{00000000-0005-0000-0000-0000E8400000}"/>
    <cellStyle name="Normal 15 8 3 7" xfId="42452" xr:uid="{00000000-0005-0000-0000-0000E9400000}"/>
    <cellStyle name="Normal 15 8 3 8" xfId="26352" xr:uid="{00000000-0005-0000-0000-0000EA400000}"/>
    <cellStyle name="Normal 15 8 3 9" xfId="13288" xr:uid="{00000000-0005-0000-0000-0000EB400000}"/>
    <cellStyle name="Normal 15 8 4" xfId="2480" xr:uid="{00000000-0005-0000-0000-0000EC400000}"/>
    <cellStyle name="Normal 15 8 4 2" xfId="9012" xr:uid="{00000000-0005-0000-0000-0000ED400000}"/>
    <cellStyle name="Normal 15 8 4 2 2" xfId="40753" xr:uid="{00000000-0005-0000-0000-0000EE400000}"/>
    <cellStyle name="Normal 15 8 4 2 2 2" xfId="56853" xr:uid="{00000000-0005-0000-0000-0000EF400000}"/>
    <cellStyle name="Normal 15 8 4 2 3" xfId="47286" xr:uid="{00000000-0005-0000-0000-0000F0400000}"/>
    <cellStyle name="Normal 15 8 4 2 4" xfId="31186" xr:uid="{00000000-0005-0000-0000-0000F1400000}"/>
    <cellStyle name="Normal 15 8 4 2 5" xfId="21617" xr:uid="{00000000-0005-0000-0000-0000F2400000}"/>
    <cellStyle name="Normal 15 8 4 3" xfId="12048" xr:uid="{00000000-0005-0000-0000-0000F3400000}"/>
    <cellStyle name="Normal 15 8 4 3 2" xfId="50322" xr:uid="{00000000-0005-0000-0000-0000F4400000}"/>
    <cellStyle name="Normal 15 8 4 3 3" xfId="34222" xr:uid="{00000000-0005-0000-0000-0000F5400000}"/>
    <cellStyle name="Normal 15 8 4 3 4" xfId="24653" xr:uid="{00000000-0005-0000-0000-0000F6400000}"/>
    <cellStyle name="Normal 15 8 4 4" xfId="5976" xr:uid="{00000000-0005-0000-0000-0000F7400000}"/>
    <cellStyle name="Normal 15 8 4 4 2" xfId="53817" xr:uid="{00000000-0005-0000-0000-0000F8400000}"/>
    <cellStyle name="Normal 15 8 4 4 3" xfId="37717" xr:uid="{00000000-0005-0000-0000-0000F9400000}"/>
    <cellStyle name="Normal 15 8 4 4 4" xfId="18581" xr:uid="{00000000-0005-0000-0000-0000FA400000}"/>
    <cellStyle name="Normal 15 8 4 5" xfId="44250" xr:uid="{00000000-0005-0000-0000-0000FB400000}"/>
    <cellStyle name="Normal 15 8 4 6" xfId="28150" xr:uid="{00000000-0005-0000-0000-0000FC400000}"/>
    <cellStyle name="Normal 15 8 4 7" xfId="15086" xr:uid="{00000000-0005-0000-0000-0000FD400000}"/>
    <cellStyle name="Normal 15 8 5" xfId="1229" xr:uid="{00000000-0005-0000-0000-0000FE400000}"/>
    <cellStyle name="Normal 15 8 5 2" xfId="7763" xr:uid="{00000000-0005-0000-0000-0000FF400000}"/>
    <cellStyle name="Normal 15 8 5 2 2" xfId="39504" xr:uid="{00000000-0005-0000-0000-000000410000}"/>
    <cellStyle name="Normal 15 8 5 2 2 2" xfId="55604" xr:uid="{00000000-0005-0000-0000-000001410000}"/>
    <cellStyle name="Normal 15 8 5 2 3" xfId="46037" xr:uid="{00000000-0005-0000-0000-000002410000}"/>
    <cellStyle name="Normal 15 8 5 2 4" xfId="29937" xr:uid="{00000000-0005-0000-0000-000003410000}"/>
    <cellStyle name="Normal 15 8 5 2 5" xfId="20368" xr:uid="{00000000-0005-0000-0000-000004410000}"/>
    <cellStyle name="Normal 15 8 5 3" xfId="10799" xr:uid="{00000000-0005-0000-0000-000005410000}"/>
    <cellStyle name="Normal 15 8 5 3 2" xfId="49073" xr:uid="{00000000-0005-0000-0000-000006410000}"/>
    <cellStyle name="Normal 15 8 5 3 3" xfId="32973" xr:uid="{00000000-0005-0000-0000-000007410000}"/>
    <cellStyle name="Normal 15 8 5 3 4" xfId="23404" xr:uid="{00000000-0005-0000-0000-000008410000}"/>
    <cellStyle name="Normal 15 8 5 4" xfId="4727" xr:uid="{00000000-0005-0000-0000-000009410000}"/>
    <cellStyle name="Normal 15 8 5 4 2" xfId="52568" xr:uid="{00000000-0005-0000-0000-00000A410000}"/>
    <cellStyle name="Normal 15 8 5 4 3" xfId="36468" xr:uid="{00000000-0005-0000-0000-00000B410000}"/>
    <cellStyle name="Normal 15 8 5 4 4" xfId="17332" xr:uid="{00000000-0005-0000-0000-00000C410000}"/>
    <cellStyle name="Normal 15 8 5 5" xfId="43001" xr:uid="{00000000-0005-0000-0000-00000D410000}"/>
    <cellStyle name="Normal 15 8 5 6" xfId="26901" xr:uid="{00000000-0005-0000-0000-00000E410000}"/>
    <cellStyle name="Normal 15 8 5 7" xfId="13837" xr:uid="{00000000-0005-0000-0000-00000F410000}"/>
    <cellStyle name="Normal 15 8 6" xfId="3717" xr:uid="{00000000-0005-0000-0000-000010410000}"/>
    <cellStyle name="Normal 15 8 6 2" xfId="35458" xr:uid="{00000000-0005-0000-0000-000011410000}"/>
    <cellStyle name="Normal 15 8 6 2 2" xfId="51558" xr:uid="{00000000-0005-0000-0000-000012410000}"/>
    <cellStyle name="Normal 15 8 6 3" xfId="41991" xr:uid="{00000000-0005-0000-0000-000013410000}"/>
    <cellStyle name="Normal 15 8 6 4" xfId="25891" xr:uid="{00000000-0005-0000-0000-000014410000}"/>
    <cellStyle name="Normal 15 8 6 5" xfId="16322" xr:uid="{00000000-0005-0000-0000-000015410000}"/>
    <cellStyle name="Normal 15 8 7" xfId="6753" xr:uid="{00000000-0005-0000-0000-000016410000}"/>
    <cellStyle name="Normal 15 8 7 2" xfId="38494" xr:uid="{00000000-0005-0000-0000-000017410000}"/>
    <cellStyle name="Normal 15 8 7 2 2" xfId="54594" xr:uid="{00000000-0005-0000-0000-000018410000}"/>
    <cellStyle name="Normal 15 8 7 3" xfId="45027" xr:uid="{00000000-0005-0000-0000-000019410000}"/>
    <cellStyle name="Normal 15 8 7 4" xfId="28927" xr:uid="{00000000-0005-0000-0000-00001A410000}"/>
    <cellStyle name="Normal 15 8 7 5" xfId="19358" xr:uid="{00000000-0005-0000-0000-00001B410000}"/>
    <cellStyle name="Normal 15 8 8" xfId="9789" xr:uid="{00000000-0005-0000-0000-00001C410000}"/>
    <cellStyle name="Normal 15 8 8 2" xfId="48063" xr:uid="{00000000-0005-0000-0000-00001D410000}"/>
    <cellStyle name="Normal 15 8 8 3" xfId="31963" xr:uid="{00000000-0005-0000-0000-00001E410000}"/>
    <cellStyle name="Normal 15 8 8 4" xfId="22394" xr:uid="{00000000-0005-0000-0000-00001F410000}"/>
    <cellStyle name="Normal 15 8 9" xfId="3257" xr:uid="{00000000-0005-0000-0000-000020410000}"/>
    <cellStyle name="Normal 15 8 9 2" xfId="51099" xr:uid="{00000000-0005-0000-0000-000021410000}"/>
    <cellStyle name="Normal 15 8 9 3" xfId="34999" xr:uid="{00000000-0005-0000-0000-000022410000}"/>
    <cellStyle name="Normal 15 8 9 4" xfId="15863" xr:uid="{00000000-0005-0000-0000-000023410000}"/>
    <cellStyle name="Normal 15 9" xfId="466" xr:uid="{00000000-0005-0000-0000-000024410000}"/>
    <cellStyle name="Normal 15 9 10" xfId="41549" xr:uid="{00000000-0005-0000-0000-000025410000}"/>
    <cellStyle name="Normal 15 9 11" xfId="25449" xr:uid="{00000000-0005-0000-0000-000026410000}"/>
    <cellStyle name="Normal 15 9 12" xfId="12844" xr:uid="{00000000-0005-0000-0000-000027410000}"/>
    <cellStyle name="Normal 15 9 2" xfId="919" xr:uid="{00000000-0005-0000-0000-000028410000}"/>
    <cellStyle name="Normal 15 9 2 10" xfId="13527" xr:uid="{00000000-0005-0000-0000-000029410000}"/>
    <cellStyle name="Normal 15 9 2 2" xfId="2947" xr:uid="{00000000-0005-0000-0000-00002A410000}"/>
    <cellStyle name="Normal 15 9 2 2 2" xfId="9479" xr:uid="{00000000-0005-0000-0000-00002B410000}"/>
    <cellStyle name="Normal 15 9 2 2 2 2" xfId="41220" xr:uid="{00000000-0005-0000-0000-00002C410000}"/>
    <cellStyle name="Normal 15 9 2 2 2 2 2" xfId="57320" xr:uid="{00000000-0005-0000-0000-00002D410000}"/>
    <cellStyle name="Normal 15 9 2 2 2 3" xfId="47753" xr:uid="{00000000-0005-0000-0000-00002E410000}"/>
    <cellStyle name="Normal 15 9 2 2 2 4" xfId="31653" xr:uid="{00000000-0005-0000-0000-00002F410000}"/>
    <cellStyle name="Normal 15 9 2 2 2 5" xfId="22084" xr:uid="{00000000-0005-0000-0000-000030410000}"/>
    <cellStyle name="Normal 15 9 2 2 3" xfId="12515" xr:uid="{00000000-0005-0000-0000-000031410000}"/>
    <cellStyle name="Normal 15 9 2 2 3 2" xfId="50789" xr:uid="{00000000-0005-0000-0000-000032410000}"/>
    <cellStyle name="Normal 15 9 2 2 3 3" xfId="34689" xr:uid="{00000000-0005-0000-0000-000033410000}"/>
    <cellStyle name="Normal 15 9 2 2 3 4" xfId="25120" xr:uid="{00000000-0005-0000-0000-000034410000}"/>
    <cellStyle name="Normal 15 9 2 2 4" xfId="6443" xr:uid="{00000000-0005-0000-0000-000035410000}"/>
    <cellStyle name="Normal 15 9 2 2 4 2" xfId="54284" xr:uid="{00000000-0005-0000-0000-000036410000}"/>
    <cellStyle name="Normal 15 9 2 2 4 3" xfId="38184" xr:uid="{00000000-0005-0000-0000-000037410000}"/>
    <cellStyle name="Normal 15 9 2 2 4 4" xfId="19048" xr:uid="{00000000-0005-0000-0000-000038410000}"/>
    <cellStyle name="Normal 15 9 2 2 5" xfId="44717" xr:uid="{00000000-0005-0000-0000-000039410000}"/>
    <cellStyle name="Normal 15 9 2 2 6" xfId="28617" xr:uid="{00000000-0005-0000-0000-00003A410000}"/>
    <cellStyle name="Normal 15 9 2 2 7" xfId="15553" xr:uid="{00000000-0005-0000-0000-00003B410000}"/>
    <cellStyle name="Normal 15 9 2 3" xfId="1929" xr:uid="{00000000-0005-0000-0000-00003C410000}"/>
    <cellStyle name="Normal 15 9 2 3 2" xfId="8463" xr:uid="{00000000-0005-0000-0000-00003D410000}"/>
    <cellStyle name="Normal 15 9 2 3 2 2" xfId="40204" xr:uid="{00000000-0005-0000-0000-00003E410000}"/>
    <cellStyle name="Normal 15 9 2 3 2 2 2" xfId="56304" xr:uid="{00000000-0005-0000-0000-00003F410000}"/>
    <cellStyle name="Normal 15 9 2 3 2 3" xfId="46737" xr:uid="{00000000-0005-0000-0000-000040410000}"/>
    <cellStyle name="Normal 15 9 2 3 2 4" xfId="30637" xr:uid="{00000000-0005-0000-0000-000041410000}"/>
    <cellStyle name="Normal 15 9 2 3 2 5" xfId="21068" xr:uid="{00000000-0005-0000-0000-000042410000}"/>
    <cellStyle name="Normal 15 9 2 3 3" xfId="11499" xr:uid="{00000000-0005-0000-0000-000043410000}"/>
    <cellStyle name="Normal 15 9 2 3 3 2" xfId="49773" xr:uid="{00000000-0005-0000-0000-000044410000}"/>
    <cellStyle name="Normal 15 9 2 3 3 3" xfId="33673" xr:uid="{00000000-0005-0000-0000-000045410000}"/>
    <cellStyle name="Normal 15 9 2 3 3 4" xfId="24104" xr:uid="{00000000-0005-0000-0000-000046410000}"/>
    <cellStyle name="Normal 15 9 2 3 4" xfId="5427" xr:uid="{00000000-0005-0000-0000-000047410000}"/>
    <cellStyle name="Normal 15 9 2 3 4 2" xfId="53268" xr:uid="{00000000-0005-0000-0000-000048410000}"/>
    <cellStyle name="Normal 15 9 2 3 4 3" xfId="37168" xr:uid="{00000000-0005-0000-0000-000049410000}"/>
    <cellStyle name="Normal 15 9 2 3 4 4" xfId="18032" xr:uid="{00000000-0005-0000-0000-00004A410000}"/>
    <cellStyle name="Normal 15 9 2 3 5" xfId="43701" xr:uid="{00000000-0005-0000-0000-00004B410000}"/>
    <cellStyle name="Normal 15 9 2 3 6" xfId="27601" xr:uid="{00000000-0005-0000-0000-00004C410000}"/>
    <cellStyle name="Normal 15 9 2 3 7" xfId="14537" xr:uid="{00000000-0005-0000-0000-00004D410000}"/>
    <cellStyle name="Normal 15 9 2 4" xfId="4417" xr:uid="{00000000-0005-0000-0000-00004E410000}"/>
    <cellStyle name="Normal 15 9 2 4 2" xfId="36158" xr:uid="{00000000-0005-0000-0000-00004F410000}"/>
    <cellStyle name="Normal 15 9 2 4 2 2" xfId="52258" xr:uid="{00000000-0005-0000-0000-000050410000}"/>
    <cellStyle name="Normal 15 9 2 4 3" xfId="42691" xr:uid="{00000000-0005-0000-0000-000051410000}"/>
    <cellStyle name="Normal 15 9 2 4 4" xfId="26591" xr:uid="{00000000-0005-0000-0000-000052410000}"/>
    <cellStyle name="Normal 15 9 2 4 5" xfId="17022" xr:uid="{00000000-0005-0000-0000-000053410000}"/>
    <cellStyle name="Normal 15 9 2 5" xfId="7453" xr:uid="{00000000-0005-0000-0000-000054410000}"/>
    <cellStyle name="Normal 15 9 2 5 2" xfId="39194" xr:uid="{00000000-0005-0000-0000-000055410000}"/>
    <cellStyle name="Normal 15 9 2 5 2 2" xfId="55294" xr:uid="{00000000-0005-0000-0000-000056410000}"/>
    <cellStyle name="Normal 15 9 2 5 3" xfId="45727" xr:uid="{00000000-0005-0000-0000-000057410000}"/>
    <cellStyle name="Normal 15 9 2 5 4" xfId="29627" xr:uid="{00000000-0005-0000-0000-000058410000}"/>
    <cellStyle name="Normal 15 9 2 5 5" xfId="20058" xr:uid="{00000000-0005-0000-0000-000059410000}"/>
    <cellStyle name="Normal 15 9 2 6" xfId="10489" xr:uid="{00000000-0005-0000-0000-00005A410000}"/>
    <cellStyle name="Normal 15 9 2 6 2" xfId="48763" xr:uid="{00000000-0005-0000-0000-00005B410000}"/>
    <cellStyle name="Normal 15 9 2 6 3" xfId="32663" xr:uid="{00000000-0005-0000-0000-00005C410000}"/>
    <cellStyle name="Normal 15 9 2 6 4" xfId="23094" xr:uid="{00000000-0005-0000-0000-00005D410000}"/>
    <cellStyle name="Normal 15 9 2 7" xfId="3512" xr:uid="{00000000-0005-0000-0000-00005E410000}"/>
    <cellStyle name="Normal 15 9 2 7 2" xfId="51353" xr:uid="{00000000-0005-0000-0000-00005F410000}"/>
    <cellStyle name="Normal 15 9 2 7 3" xfId="35253" xr:uid="{00000000-0005-0000-0000-000060410000}"/>
    <cellStyle name="Normal 15 9 2 7 4" xfId="16117" xr:uid="{00000000-0005-0000-0000-000061410000}"/>
    <cellStyle name="Normal 15 9 2 8" xfId="41786" xr:uid="{00000000-0005-0000-0000-000062410000}"/>
    <cellStyle name="Normal 15 9 2 9" xfId="25686" xr:uid="{00000000-0005-0000-0000-000063410000}"/>
    <cellStyle name="Normal 15 9 3" xfId="697" xr:uid="{00000000-0005-0000-0000-000064410000}"/>
    <cellStyle name="Normal 15 9 3 2" xfId="2725" xr:uid="{00000000-0005-0000-0000-000065410000}"/>
    <cellStyle name="Normal 15 9 3 2 2" xfId="9257" xr:uid="{00000000-0005-0000-0000-000066410000}"/>
    <cellStyle name="Normal 15 9 3 2 2 2" xfId="40998" xr:uid="{00000000-0005-0000-0000-000067410000}"/>
    <cellStyle name="Normal 15 9 3 2 2 2 2" xfId="57098" xr:uid="{00000000-0005-0000-0000-000068410000}"/>
    <cellStyle name="Normal 15 9 3 2 2 3" xfId="47531" xr:uid="{00000000-0005-0000-0000-000069410000}"/>
    <cellStyle name="Normal 15 9 3 2 2 4" xfId="31431" xr:uid="{00000000-0005-0000-0000-00006A410000}"/>
    <cellStyle name="Normal 15 9 3 2 2 5" xfId="21862" xr:uid="{00000000-0005-0000-0000-00006B410000}"/>
    <cellStyle name="Normal 15 9 3 2 3" xfId="12293" xr:uid="{00000000-0005-0000-0000-00006C410000}"/>
    <cellStyle name="Normal 15 9 3 2 3 2" xfId="50567" xr:uid="{00000000-0005-0000-0000-00006D410000}"/>
    <cellStyle name="Normal 15 9 3 2 3 3" xfId="34467" xr:uid="{00000000-0005-0000-0000-00006E410000}"/>
    <cellStyle name="Normal 15 9 3 2 3 4" xfId="24898" xr:uid="{00000000-0005-0000-0000-00006F410000}"/>
    <cellStyle name="Normal 15 9 3 2 4" xfId="6221" xr:uid="{00000000-0005-0000-0000-000070410000}"/>
    <cellStyle name="Normal 15 9 3 2 4 2" xfId="54062" xr:uid="{00000000-0005-0000-0000-000071410000}"/>
    <cellStyle name="Normal 15 9 3 2 4 3" xfId="37962" xr:uid="{00000000-0005-0000-0000-000072410000}"/>
    <cellStyle name="Normal 15 9 3 2 4 4" xfId="18826" xr:uid="{00000000-0005-0000-0000-000073410000}"/>
    <cellStyle name="Normal 15 9 3 2 5" xfId="44495" xr:uid="{00000000-0005-0000-0000-000074410000}"/>
    <cellStyle name="Normal 15 9 3 2 6" xfId="28395" xr:uid="{00000000-0005-0000-0000-000075410000}"/>
    <cellStyle name="Normal 15 9 3 2 7" xfId="15331" xr:uid="{00000000-0005-0000-0000-000076410000}"/>
    <cellStyle name="Normal 15 9 3 3" xfId="1707" xr:uid="{00000000-0005-0000-0000-000077410000}"/>
    <cellStyle name="Normal 15 9 3 3 2" xfId="8241" xr:uid="{00000000-0005-0000-0000-000078410000}"/>
    <cellStyle name="Normal 15 9 3 3 2 2" xfId="39982" xr:uid="{00000000-0005-0000-0000-000079410000}"/>
    <cellStyle name="Normal 15 9 3 3 2 2 2" xfId="56082" xr:uid="{00000000-0005-0000-0000-00007A410000}"/>
    <cellStyle name="Normal 15 9 3 3 2 3" xfId="46515" xr:uid="{00000000-0005-0000-0000-00007B410000}"/>
    <cellStyle name="Normal 15 9 3 3 2 4" xfId="30415" xr:uid="{00000000-0005-0000-0000-00007C410000}"/>
    <cellStyle name="Normal 15 9 3 3 2 5" xfId="20846" xr:uid="{00000000-0005-0000-0000-00007D410000}"/>
    <cellStyle name="Normal 15 9 3 3 3" xfId="11277" xr:uid="{00000000-0005-0000-0000-00007E410000}"/>
    <cellStyle name="Normal 15 9 3 3 3 2" xfId="49551" xr:uid="{00000000-0005-0000-0000-00007F410000}"/>
    <cellStyle name="Normal 15 9 3 3 3 3" xfId="33451" xr:uid="{00000000-0005-0000-0000-000080410000}"/>
    <cellStyle name="Normal 15 9 3 3 3 4" xfId="23882" xr:uid="{00000000-0005-0000-0000-000081410000}"/>
    <cellStyle name="Normal 15 9 3 3 4" xfId="5205" xr:uid="{00000000-0005-0000-0000-000082410000}"/>
    <cellStyle name="Normal 15 9 3 3 4 2" xfId="53046" xr:uid="{00000000-0005-0000-0000-000083410000}"/>
    <cellStyle name="Normal 15 9 3 3 4 3" xfId="36946" xr:uid="{00000000-0005-0000-0000-000084410000}"/>
    <cellStyle name="Normal 15 9 3 3 4 4" xfId="17810" xr:uid="{00000000-0005-0000-0000-000085410000}"/>
    <cellStyle name="Normal 15 9 3 3 5" xfId="43479" xr:uid="{00000000-0005-0000-0000-000086410000}"/>
    <cellStyle name="Normal 15 9 3 3 6" xfId="27379" xr:uid="{00000000-0005-0000-0000-000087410000}"/>
    <cellStyle name="Normal 15 9 3 3 7" xfId="14315" xr:uid="{00000000-0005-0000-0000-000088410000}"/>
    <cellStyle name="Normal 15 9 3 4" xfId="7231" xr:uid="{00000000-0005-0000-0000-000089410000}"/>
    <cellStyle name="Normal 15 9 3 4 2" xfId="38972" xr:uid="{00000000-0005-0000-0000-00008A410000}"/>
    <cellStyle name="Normal 15 9 3 4 2 2" xfId="55072" xr:uid="{00000000-0005-0000-0000-00008B410000}"/>
    <cellStyle name="Normal 15 9 3 4 3" xfId="45505" xr:uid="{00000000-0005-0000-0000-00008C410000}"/>
    <cellStyle name="Normal 15 9 3 4 4" xfId="29405" xr:uid="{00000000-0005-0000-0000-00008D410000}"/>
    <cellStyle name="Normal 15 9 3 4 5" xfId="19836" xr:uid="{00000000-0005-0000-0000-00008E410000}"/>
    <cellStyle name="Normal 15 9 3 5" xfId="10267" xr:uid="{00000000-0005-0000-0000-00008F410000}"/>
    <cellStyle name="Normal 15 9 3 5 2" xfId="48541" xr:uid="{00000000-0005-0000-0000-000090410000}"/>
    <cellStyle name="Normal 15 9 3 5 3" xfId="32441" xr:uid="{00000000-0005-0000-0000-000091410000}"/>
    <cellStyle name="Normal 15 9 3 5 4" xfId="22872" xr:uid="{00000000-0005-0000-0000-000092410000}"/>
    <cellStyle name="Normal 15 9 3 6" xfId="4195" xr:uid="{00000000-0005-0000-0000-000093410000}"/>
    <cellStyle name="Normal 15 9 3 6 2" xfId="52036" xr:uid="{00000000-0005-0000-0000-000094410000}"/>
    <cellStyle name="Normal 15 9 3 6 3" xfId="35936" xr:uid="{00000000-0005-0000-0000-000095410000}"/>
    <cellStyle name="Normal 15 9 3 6 4" xfId="16800" xr:uid="{00000000-0005-0000-0000-000096410000}"/>
    <cellStyle name="Normal 15 9 3 7" xfId="42469" xr:uid="{00000000-0005-0000-0000-000097410000}"/>
    <cellStyle name="Normal 15 9 3 8" xfId="26369" xr:uid="{00000000-0005-0000-0000-000098410000}"/>
    <cellStyle name="Normal 15 9 3 9" xfId="13305" xr:uid="{00000000-0005-0000-0000-000099410000}"/>
    <cellStyle name="Normal 15 9 4" xfId="2497" xr:uid="{00000000-0005-0000-0000-00009A410000}"/>
    <cellStyle name="Normal 15 9 4 2" xfId="9029" xr:uid="{00000000-0005-0000-0000-00009B410000}"/>
    <cellStyle name="Normal 15 9 4 2 2" xfId="40770" xr:uid="{00000000-0005-0000-0000-00009C410000}"/>
    <cellStyle name="Normal 15 9 4 2 2 2" xfId="56870" xr:uid="{00000000-0005-0000-0000-00009D410000}"/>
    <cellStyle name="Normal 15 9 4 2 3" xfId="47303" xr:uid="{00000000-0005-0000-0000-00009E410000}"/>
    <cellStyle name="Normal 15 9 4 2 4" xfId="31203" xr:uid="{00000000-0005-0000-0000-00009F410000}"/>
    <cellStyle name="Normal 15 9 4 2 5" xfId="21634" xr:uid="{00000000-0005-0000-0000-0000A0410000}"/>
    <cellStyle name="Normal 15 9 4 3" xfId="12065" xr:uid="{00000000-0005-0000-0000-0000A1410000}"/>
    <cellStyle name="Normal 15 9 4 3 2" xfId="50339" xr:uid="{00000000-0005-0000-0000-0000A2410000}"/>
    <cellStyle name="Normal 15 9 4 3 3" xfId="34239" xr:uid="{00000000-0005-0000-0000-0000A3410000}"/>
    <cellStyle name="Normal 15 9 4 3 4" xfId="24670" xr:uid="{00000000-0005-0000-0000-0000A4410000}"/>
    <cellStyle name="Normal 15 9 4 4" xfId="5993" xr:uid="{00000000-0005-0000-0000-0000A5410000}"/>
    <cellStyle name="Normal 15 9 4 4 2" xfId="53834" xr:uid="{00000000-0005-0000-0000-0000A6410000}"/>
    <cellStyle name="Normal 15 9 4 4 3" xfId="37734" xr:uid="{00000000-0005-0000-0000-0000A7410000}"/>
    <cellStyle name="Normal 15 9 4 4 4" xfId="18598" xr:uid="{00000000-0005-0000-0000-0000A8410000}"/>
    <cellStyle name="Normal 15 9 4 5" xfId="44267" xr:uid="{00000000-0005-0000-0000-0000A9410000}"/>
    <cellStyle name="Normal 15 9 4 6" xfId="28167" xr:uid="{00000000-0005-0000-0000-0000AA410000}"/>
    <cellStyle name="Normal 15 9 4 7" xfId="15103" xr:uid="{00000000-0005-0000-0000-0000AB410000}"/>
    <cellStyle name="Normal 15 9 5" xfId="1246" xr:uid="{00000000-0005-0000-0000-0000AC410000}"/>
    <cellStyle name="Normal 15 9 5 2" xfId="7780" xr:uid="{00000000-0005-0000-0000-0000AD410000}"/>
    <cellStyle name="Normal 15 9 5 2 2" xfId="39521" xr:uid="{00000000-0005-0000-0000-0000AE410000}"/>
    <cellStyle name="Normal 15 9 5 2 2 2" xfId="55621" xr:uid="{00000000-0005-0000-0000-0000AF410000}"/>
    <cellStyle name="Normal 15 9 5 2 3" xfId="46054" xr:uid="{00000000-0005-0000-0000-0000B0410000}"/>
    <cellStyle name="Normal 15 9 5 2 4" xfId="29954" xr:uid="{00000000-0005-0000-0000-0000B1410000}"/>
    <cellStyle name="Normal 15 9 5 2 5" xfId="20385" xr:uid="{00000000-0005-0000-0000-0000B2410000}"/>
    <cellStyle name="Normal 15 9 5 3" xfId="10816" xr:uid="{00000000-0005-0000-0000-0000B3410000}"/>
    <cellStyle name="Normal 15 9 5 3 2" xfId="49090" xr:uid="{00000000-0005-0000-0000-0000B4410000}"/>
    <cellStyle name="Normal 15 9 5 3 3" xfId="32990" xr:uid="{00000000-0005-0000-0000-0000B5410000}"/>
    <cellStyle name="Normal 15 9 5 3 4" xfId="23421" xr:uid="{00000000-0005-0000-0000-0000B6410000}"/>
    <cellStyle name="Normal 15 9 5 4" xfId="4744" xr:uid="{00000000-0005-0000-0000-0000B7410000}"/>
    <cellStyle name="Normal 15 9 5 4 2" xfId="52585" xr:uid="{00000000-0005-0000-0000-0000B8410000}"/>
    <cellStyle name="Normal 15 9 5 4 3" xfId="36485" xr:uid="{00000000-0005-0000-0000-0000B9410000}"/>
    <cellStyle name="Normal 15 9 5 4 4" xfId="17349" xr:uid="{00000000-0005-0000-0000-0000BA410000}"/>
    <cellStyle name="Normal 15 9 5 5" xfId="43018" xr:uid="{00000000-0005-0000-0000-0000BB410000}"/>
    <cellStyle name="Normal 15 9 5 6" xfId="26918" xr:uid="{00000000-0005-0000-0000-0000BC410000}"/>
    <cellStyle name="Normal 15 9 5 7" xfId="13854" xr:uid="{00000000-0005-0000-0000-0000BD410000}"/>
    <cellStyle name="Normal 15 9 6" xfId="3734" xr:uid="{00000000-0005-0000-0000-0000BE410000}"/>
    <cellStyle name="Normal 15 9 6 2" xfId="35475" xr:uid="{00000000-0005-0000-0000-0000BF410000}"/>
    <cellStyle name="Normal 15 9 6 2 2" xfId="51575" xr:uid="{00000000-0005-0000-0000-0000C0410000}"/>
    <cellStyle name="Normal 15 9 6 3" xfId="42008" xr:uid="{00000000-0005-0000-0000-0000C1410000}"/>
    <cellStyle name="Normal 15 9 6 4" xfId="25908" xr:uid="{00000000-0005-0000-0000-0000C2410000}"/>
    <cellStyle name="Normal 15 9 6 5" xfId="16339" xr:uid="{00000000-0005-0000-0000-0000C3410000}"/>
    <cellStyle name="Normal 15 9 7" xfId="6770" xr:uid="{00000000-0005-0000-0000-0000C4410000}"/>
    <cellStyle name="Normal 15 9 7 2" xfId="38511" xr:uid="{00000000-0005-0000-0000-0000C5410000}"/>
    <cellStyle name="Normal 15 9 7 2 2" xfId="54611" xr:uid="{00000000-0005-0000-0000-0000C6410000}"/>
    <cellStyle name="Normal 15 9 7 3" xfId="45044" xr:uid="{00000000-0005-0000-0000-0000C7410000}"/>
    <cellStyle name="Normal 15 9 7 4" xfId="28944" xr:uid="{00000000-0005-0000-0000-0000C8410000}"/>
    <cellStyle name="Normal 15 9 7 5" xfId="19375" xr:uid="{00000000-0005-0000-0000-0000C9410000}"/>
    <cellStyle name="Normal 15 9 8" xfId="9806" xr:uid="{00000000-0005-0000-0000-0000CA410000}"/>
    <cellStyle name="Normal 15 9 8 2" xfId="48080" xr:uid="{00000000-0005-0000-0000-0000CB410000}"/>
    <cellStyle name="Normal 15 9 8 3" xfId="31980" xr:uid="{00000000-0005-0000-0000-0000CC410000}"/>
    <cellStyle name="Normal 15 9 8 4" xfId="22411" xr:uid="{00000000-0005-0000-0000-0000CD410000}"/>
    <cellStyle name="Normal 15 9 9" xfId="3274" xr:uid="{00000000-0005-0000-0000-0000CE410000}"/>
    <cellStyle name="Normal 15 9 9 2" xfId="51116" xr:uid="{00000000-0005-0000-0000-0000CF410000}"/>
    <cellStyle name="Normal 15 9 9 3" xfId="35016" xr:uid="{00000000-0005-0000-0000-0000D0410000}"/>
    <cellStyle name="Normal 15 9 9 4" xfId="15880" xr:uid="{00000000-0005-0000-0000-0000D1410000}"/>
    <cellStyle name="Normal 16" xfId="22" xr:uid="{00000000-0005-0000-0000-0000D2410000}"/>
    <cellStyle name="Normal 16 10" xfId="484" xr:uid="{00000000-0005-0000-0000-0000D3410000}"/>
    <cellStyle name="Normal 16 10 10" xfId="41567" xr:uid="{00000000-0005-0000-0000-0000D4410000}"/>
    <cellStyle name="Normal 16 10 11" xfId="25467" xr:uid="{00000000-0005-0000-0000-0000D5410000}"/>
    <cellStyle name="Normal 16 10 12" xfId="12862" xr:uid="{00000000-0005-0000-0000-0000D6410000}"/>
    <cellStyle name="Normal 16 10 2" xfId="937" xr:uid="{00000000-0005-0000-0000-0000D7410000}"/>
    <cellStyle name="Normal 16 10 2 10" xfId="13545" xr:uid="{00000000-0005-0000-0000-0000D8410000}"/>
    <cellStyle name="Normal 16 10 2 2" xfId="2965" xr:uid="{00000000-0005-0000-0000-0000D9410000}"/>
    <cellStyle name="Normal 16 10 2 2 2" xfId="9497" xr:uid="{00000000-0005-0000-0000-0000DA410000}"/>
    <cellStyle name="Normal 16 10 2 2 2 2" xfId="41238" xr:uid="{00000000-0005-0000-0000-0000DB410000}"/>
    <cellStyle name="Normal 16 10 2 2 2 2 2" xfId="57338" xr:uid="{00000000-0005-0000-0000-0000DC410000}"/>
    <cellStyle name="Normal 16 10 2 2 2 3" xfId="47771" xr:uid="{00000000-0005-0000-0000-0000DD410000}"/>
    <cellStyle name="Normal 16 10 2 2 2 4" xfId="31671" xr:uid="{00000000-0005-0000-0000-0000DE410000}"/>
    <cellStyle name="Normal 16 10 2 2 2 5" xfId="22102" xr:uid="{00000000-0005-0000-0000-0000DF410000}"/>
    <cellStyle name="Normal 16 10 2 2 3" xfId="12533" xr:uid="{00000000-0005-0000-0000-0000E0410000}"/>
    <cellStyle name="Normal 16 10 2 2 3 2" xfId="50807" xr:uid="{00000000-0005-0000-0000-0000E1410000}"/>
    <cellStyle name="Normal 16 10 2 2 3 3" xfId="34707" xr:uid="{00000000-0005-0000-0000-0000E2410000}"/>
    <cellStyle name="Normal 16 10 2 2 3 4" xfId="25138" xr:uid="{00000000-0005-0000-0000-0000E3410000}"/>
    <cellStyle name="Normal 16 10 2 2 4" xfId="6461" xr:uid="{00000000-0005-0000-0000-0000E4410000}"/>
    <cellStyle name="Normal 16 10 2 2 4 2" xfId="54302" xr:uid="{00000000-0005-0000-0000-0000E5410000}"/>
    <cellStyle name="Normal 16 10 2 2 4 3" xfId="38202" xr:uid="{00000000-0005-0000-0000-0000E6410000}"/>
    <cellStyle name="Normal 16 10 2 2 4 4" xfId="19066" xr:uid="{00000000-0005-0000-0000-0000E7410000}"/>
    <cellStyle name="Normal 16 10 2 2 5" xfId="44735" xr:uid="{00000000-0005-0000-0000-0000E8410000}"/>
    <cellStyle name="Normal 16 10 2 2 6" xfId="28635" xr:uid="{00000000-0005-0000-0000-0000E9410000}"/>
    <cellStyle name="Normal 16 10 2 2 7" xfId="15571" xr:uid="{00000000-0005-0000-0000-0000EA410000}"/>
    <cellStyle name="Normal 16 10 2 3" xfId="1947" xr:uid="{00000000-0005-0000-0000-0000EB410000}"/>
    <cellStyle name="Normal 16 10 2 3 2" xfId="8481" xr:uid="{00000000-0005-0000-0000-0000EC410000}"/>
    <cellStyle name="Normal 16 10 2 3 2 2" xfId="40222" xr:uid="{00000000-0005-0000-0000-0000ED410000}"/>
    <cellStyle name="Normal 16 10 2 3 2 2 2" xfId="56322" xr:uid="{00000000-0005-0000-0000-0000EE410000}"/>
    <cellStyle name="Normal 16 10 2 3 2 3" xfId="46755" xr:uid="{00000000-0005-0000-0000-0000EF410000}"/>
    <cellStyle name="Normal 16 10 2 3 2 4" xfId="30655" xr:uid="{00000000-0005-0000-0000-0000F0410000}"/>
    <cellStyle name="Normal 16 10 2 3 2 5" xfId="21086" xr:uid="{00000000-0005-0000-0000-0000F1410000}"/>
    <cellStyle name="Normal 16 10 2 3 3" xfId="11517" xr:uid="{00000000-0005-0000-0000-0000F2410000}"/>
    <cellStyle name="Normal 16 10 2 3 3 2" xfId="49791" xr:uid="{00000000-0005-0000-0000-0000F3410000}"/>
    <cellStyle name="Normal 16 10 2 3 3 3" xfId="33691" xr:uid="{00000000-0005-0000-0000-0000F4410000}"/>
    <cellStyle name="Normal 16 10 2 3 3 4" xfId="24122" xr:uid="{00000000-0005-0000-0000-0000F5410000}"/>
    <cellStyle name="Normal 16 10 2 3 4" xfId="5445" xr:uid="{00000000-0005-0000-0000-0000F6410000}"/>
    <cellStyle name="Normal 16 10 2 3 4 2" xfId="53286" xr:uid="{00000000-0005-0000-0000-0000F7410000}"/>
    <cellStyle name="Normal 16 10 2 3 4 3" xfId="37186" xr:uid="{00000000-0005-0000-0000-0000F8410000}"/>
    <cellStyle name="Normal 16 10 2 3 4 4" xfId="18050" xr:uid="{00000000-0005-0000-0000-0000F9410000}"/>
    <cellStyle name="Normal 16 10 2 3 5" xfId="43719" xr:uid="{00000000-0005-0000-0000-0000FA410000}"/>
    <cellStyle name="Normal 16 10 2 3 6" xfId="27619" xr:uid="{00000000-0005-0000-0000-0000FB410000}"/>
    <cellStyle name="Normal 16 10 2 3 7" xfId="14555" xr:uid="{00000000-0005-0000-0000-0000FC410000}"/>
    <cellStyle name="Normal 16 10 2 4" xfId="4435" xr:uid="{00000000-0005-0000-0000-0000FD410000}"/>
    <cellStyle name="Normal 16 10 2 4 2" xfId="36176" xr:uid="{00000000-0005-0000-0000-0000FE410000}"/>
    <cellStyle name="Normal 16 10 2 4 2 2" xfId="52276" xr:uid="{00000000-0005-0000-0000-0000FF410000}"/>
    <cellStyle name="Normal 16 10 2 4 3" xfId="42709" xr:uid="{00000000-0005-0000-0000-000000420000}"/>
    <cellStyle name="Normal 16 10 2 4 4" xfId="26609" xr:uid="{00000000-0005-0000-0000-000001420000}"/>
    <cellStyle name="Normal 16 10 2 4 5" xfId="17040" xr:uid="{00000000-0005-0000-0000-000002420000}"/>
    <cellStyle name="Normal 16 10 2 5" xfId="7471" xr:uid="{00000000-0005-0000-0000-000003420000}"/>
    <cellStyle name="Normal 16 10 2 5 2" xfId="39212" xr:uid="{00000000-0005-0000-0000-000004420000}"/>
    <cellStyle name="Normal 16 10 2 5 2 2" xfId="55312" xr:uid="{00000000-0005-0000-0000-000005420000}"/>
    <cellStyle name="Normal 16 10 2 5 3" xfId="45745" xr:uid="{00000000-0005-0000-0000-000006420000}"/>
    <cellStyle name="Normal 16 10 2 5 4" xfId="29645" xr:uid="{00000000-0005-0000-0000-000007420000}"/>
    <cellStyle name="Normal 16 10 2 5 5" xfId="20076" xr:uid="{00000000-0005-0000-0000-000008420000}"/>
    <cellStyle name="Normal 16 10 2 6" xfId="10507" xr:uid="{00000000-0005-0000-0000-000009420000}"/>
    <cellStyle name="Normal 16 10 2 6 2" xfId="48781" xr:uid="{00000000-0005-0000-0000-00000A420000}"/>
    <cellStyle name="Normal 16 10 2 6 3" xfId="32681" xr:uid="{00000000-0005-0000-0000-00000B420000}"/>
    <cellStyle name="Normal 16 10 2 6 4" xfId="23112" xr:uid="{00000000-0005-0000-0000-00000C420000}"/>
    <cellStyle name="Normal 16 10 2 7" xfId="3530" xr:uid="{00000000-0005-0000-0000-00000D420000}"/>
    <cellStyle name="Normal 16 10 2 7 2" xfId="51371" xr:uid="{00000000-0005-0000-0000-00000E420000}"/>
    <cellStyle name="Normal 16 10 2 7 3" xfId="35271" xr:uid="{00000000-0005-0000-0000-00000F420000}"/>
    <cellStyle name="Normal 16 10 2 7 4" xfId="16135" xr:uid="{00000000-0005-0000-0000-000010420000}"/>
    <cellStyle name="Normal 16 10 2 8" xfId="41804" xr:uid="{00000000-0005-0000-0000-000011420000}"/>
    <cellStyle name="Normal 16 10 2 9" xfId="25704" xr:uid="{00000000-0005-0000-0000-000012420000}"/>
    <cellStyle name="Normal 16 10 3" xfId="715" xr:uid="{00000000-0005-0000-0000-000013420000}"/>
    <cellStyle name="Normal 16 10 3 2" xfId="2743" xr:uid="{00000000-0005-0000-0000-000014420000}"/>
    <cellStyle name="Normal 16 10 3 2 2" xfId="9275" xr:uid="{00000000-0005-0000-0000-000015420000}"/>
    <cellStyle name="Normal 16 10 3 2 2 2" xfId="41016" xr:uid="{00000000-0005-0000-0000-000016420000}"/>
    <cellStyle name="Normal 16 10 3 2 2 2 2" xfId="57116" xr:uid="{00000000-0005-0000-0000-000017420000}"/>
    <cellStyle name="Normal 16 10 3 2 2 3" xfId="47549" xr:uid="{00000000-0005-0000-0000-000018420000}"/>
    <cellStyle name="Normal 16 10 3 2 2 4" xfId="31449" xr:uid="{00000000-0005-0000-0000-000019420000}"/>
    <cellStyle name="Normal 16 10 3 2 2 5" xfId="21880" xr:uid="{00000000-0005-0000-0000-00001A420000}"/>
    <cellStyle name="Normal 16 10 3 2 3" xfId="12311" xr:uid="{00000000-0005-0000-0000-00001B420000}"/>
    <cellStyle name="Normal 16 10 3 2 3 2" xfId="50585" xr:uid="{00000000-0005-0000-0000-00001C420000}"/>
    <cellStyle name="Normal 16 10 3 2 3 3" xfId="34485" xr:uid="{00000000-0005-0000-0000-00001D420000}"/>
    <cellStyle name="Normal 16 10 3 2 3 4" xfId="24916" xr:uid="{00000000-0005-0000-0000-00001E420000}"/>
    <cellStyle name="Normal 16 10 3 2 4" xfId="6239" xr:uid="{00000000-0005-0000-0000-00001F420000}"/>
    <cellStyle name="Normal 16 10 3 2 4 2" xfId="54080" xr:uid="{00000000-0005-0000-0000-000020420000}"/>
    <cellStyle name="Normal 16 10 3 2 4 3" xfId="37980" xr:uid="{00000000-0005-0000-0000-000021420000}"/>
    <cellStyle name="Normal 16 10 3 2 4 4" xfId="18844" xr:uid="{00000000-0005-0000-0000-000022420000}"/>
    <cellStyle name="Normal 16 10 3 2 5" xfId="44513" xr:uid="{00000000-0005-0000-0000-000023420000}"/>
    <cellStyle name="Normal 16 10 3 2 6" xfId="28413" xr:uid="{00000000-0005-0000-0000-000024420000}"/>
    <cellStyle name="Normal 16 10 3 2 7" xfId="15349" xr:uid="{00000000-0005-0000-0000-000025420000}"/>
    <cellStyle name="Normal 16 10 3 3" xfId="1725" xr:uid="{00000000-0005-0000-0000-000026420000}"/>
    <cellStyle name="Normal 16 10 3 3 2" xfId="8259" xr:uid="{00000000-0005-0000-0000-000027420000}"/>
    <cellStyle name="Normal 16 10 3 3 2 2" xfId="40000" xr:uid="{00000000-0005-0000-0000-000028420000}"/>
    <cellStyle name="Normal 16 10 3 3 2 2 2" xfId="56100" xr:uid="{00000000-0005-0000-0000-000029420000}"/>
    <cellStyle name="Normal 16 10 3 3 2 3" xfId="46533" xr:uid="{00000000-0005-0000-0000-00002A420000}"/>
    <cellStyle name="Normal 16 10 3 3 2 4" xfId="30433" xr:uid="{00000000-0005-0000-0000-00002B420000}"/>
    <cellStyle name="Normal 16 10 3 3 2 5" xfId="20864" xr:uid="{00000000-0005-0000-0000-00002C420000}"/>
    <cellStyle name="Normal 16 10 3 3 3" xfId="11295" xr:uid="{00000000-0005-0000-0000-00002D420000}"/>
    <cellStyle name="Normal 16 10 3 3 3 2" xfId="49569" xr:uid="{00000000-0005-0000-0000-00002E420000}"/>
    <cellStyle name="Normal 16 10 3 3 3 3" xfId="33469" xr:uid="{00000000-0005-0000-0000-00002F420000}"/>
    <cellStyle name="Normal 16 10 3 3 3 4" xfId="23900" xr:uid="{00000000-0005-0000-0000-000030420000}"/>
    <cellStyle name="Normal 16 10 3 3 4" xfId="5223" xr:uid="{00000000-0005-0000-0000-000031420000}"/>
    <cellStyle name="Normal 16 10 3 3 4 2" xfId="53064" xr:uid="{00000000-0005-0000-0000-000032420000}"/>
    <cellStyle name="Normal 16 10 3 3 4 3" xfId="36964" xr:uid="{00000000-0005-0000-0000-000033420000}"/>
    <cellStyle name="Normal 16 10 3 3 4 4" xfId="17828" xr:uid="{00000000-0005-0000-0000-000034420000}"/>
    <cellStyle name="Normal 16 10 3 3 5" xfId="43497" xr:uid="{00000000-0005-0000-0000-000035420000}"/>
    <cellStyle name="Normal 16 10 3 3 6" xfId="27397" xr:uid="{00000000-0005-0000-0000-000036420000}"/>
    <cellStyle name="Normal 16 10 3 3 7" xfId="14333" xr:uid="{00000000-0005-0000-0000-000037420000}"/>
    <cellStyle name="Normal 16 10 3 4" xfId="7249" xr:uid="{00000000-0005-0000-0000-000038420000}"/>
    <cellStyle name="Normal 16 10 3 4 2" xfId="38990" xr:uid="{00000000-0005-0000-0000-000039420000}"/>
    <cellStyle name="Normal 16 10 3 4 2 2" xfId="55090" xr:uid="{00000000-0005-0000-0000-00003A420000}"/>
    <cellStyle name="Normal 16 10 3 4 3" xfId="45523" xr:uid="{00000000-0005-0000-0000-00003B420000}"/>
    <cellStyle name="Normal 16 10 3 4 4" xfId="29423" xr:uid="{00000000-0005-0000-0000-00003C420000}"/>
    <cellStyle name="Normal 16 10 3 4 5" xfId="19854" xr:uid="{00000000-0005-0000-0000-00003D420000}"/>
    <cellStyle name="Normal 16 10 3 5" xfId="10285" xr:uid="{00000000-0005-0000-0000-00003E420000}"/>
    <cellStyle name="Normal 16 10 3 5 2" xfId="48559" xr:uid="{00000000-0005-0000-0000-00003F420000}"/>
    <cellStyle name="Normal 16 10 3 5 3" xfId="32459" xr:uid="{00000000-0005-0000-0000-000040420000}"/>
    <cellStyle name="Normal 16 10 3 5 4" xfId="22890" xr:uid="{00000000-0005-0000-0000-000041420000}"/>
    <cellStyle name="Normal 16 10 3 6" xfId="4213" xr:uid="{00000000-0005-0000-0000-000042420000}"/>
    <cellStyle name="Normal 16 10 3 6 2" xfId="52054" xr:uid="{00000000-0005-0000-0000-000043420000}"/>
    <cellStyle name="Normal 16 10 3 6 3" xfId="35954" xr:uid="{00000000-0005-0000-0000-000044420000}"/>
    <cellStyle name="Normal 16 10 3 6 4" xfId="16818" xr:uid="{00000000-0005-0000-0000-000045420000}"/>
    <cellStyle name="Normal 16 10 3 7" xfId="42487" xr:uid="{00000000-0005-0000-0000-000046420000}"/>
    <cellStyle name="Normal 16 10 3 8" xfId="26387" xr:uid="{00000000-0005-0000-0000-000047420000}"/>
    <cellStyle name="Normal 16 10 3 9" xfId="13323" xr:uid="{00000000-0005-0000-0000-000048420000}"/>
    <cellStyle name="Normal 16 10 4" xfId="2515" xr:uid="{00000000-0005-0000-0000-000049420000}"/>
    <cellStyle name="Normal 16 10 4 2" xfId="9047" xr:uid="{00000000-0005-0000-0000-00004A420000}"/>
    <cellStyle name="Normal 16 10 4 2 2" xfId="40788" xr:uid="{00000000-0005-0000-0000-00004B420000}"/>
    <cellStyle name="Normal 16 10 4 2 2 2" xfId="56888" xr:uid="{00000000-0005-0000-0000-00004C420000}"/>
    <cellStyle name="Normal 16 10 4 2 3" xfId="47321" xr:uid="{00000000-0005-0000-0000-00004D420000}"/>
    <cellStyle name="Normal 16 10 4 2 4" xfId="31221" xr:uid="{00000000-0005-0000-0000-00004E420000}"/>
    <cellStyle name="Normal 16 10 4 2 5" xfId="21652" xr:uid="{00000000-0005-0000-0000-00004F420000}"/>
    <cellStyle name="Normal 16 10 4 3" xfId="12083" xr:uid="{00000000-0005-0000-0000-000050420000}"/>
    <cellStyle name="Normal 16 10 4 3 2" xfId="50357" xr:uid="{00000000-0005-0000-0000-000051420000}"/>
    <cellStyle name="Normal 16 10 4 3 3" xfId="34257" xr:uid="{00000000-0005-0000-0000-000052420000}"/>
    <cellStyle name="Normal 16 10 4 3 4" xfId="24688" xr:uid="{00000000-0005-0000-0000-000053420000}"/>
    <cellStyle name="Normal 16 10 4 4" xfId="6011" xr:uid="{00000000-0005-0000-0000-000054420000}"/>
    <cellStyle name="Normal 16 10 4 4 2" xfId="53852" xr:uid="{00000000-0005-0000-0000-000055420000}"/>
    <cellStyle name="Normal 16 10 4 4 3" xfId="37752" xr:uid="{00000000-0005-0000-0000-000056420000}"/>
    <cellStyle name="Normal 16 10 4 4 4" xfId="18616" xr:uid="{00000000-0005-0000-0000-000057420000}"/>
    <cellStyle name="Normal 16 10 4 5" xfId="44285" xr:uid="{00000000-0005-0000-0000-000058420000}"/>
    <cellStyle name="Normal 16 10 4 6" xfId="28185" xr:uid="{00000000-0005-0000-0000-000059420000}"/>
    <cellStyle name="Normal 16 10 4 7" xfId="15121" xr:uid="{00000000-0005-0000-0000-00005A420000}"/>
    <cellStyle name="Normal 16 10 5" xfId="1264" xr:uid="{00000000-0005-0000-0000-00005B420000}"/>
    <cellStyle name="Normal 16 10 5 2" xfId="7798" xr:uid="{00000000-0005-0000-0000-00005C420000}"/>
    <cellStyle name="Normal 16 10 5 2 2" xfId="39539" xr:uid="{00000000-0005-0000-0000-00005D420000}"/>
    <cellStyle name="Normal 16 10 5 2 2 2" xfId="55639" xr:uid="{00000000-0005-0000-0000-00005E420000}"/>
    <cellStyle name="Normal 16 10 5 2 3" xfId="46072" xr:uid="{00000000-0005-0000-0000-00005F420000}"/>
    <cellStyle name="Normal 16 10 5 2 4" xfId="29972" xr:uid="{00000000-0005-0000-0000-000060420000}"/>
    <cellStyle name="Normal 16 10 5 2 5" xfId="20403" xr:uid="{00000000-0005-0000-0000-000061420000}"/>
    <cellStyle name="Normal 16 10 5 3" xfId="10834" xr:uid="{00000000-0005-0000-0000-000062420000}"/>
    <cellStyle name="Normal 16 10 5 3 2" xfId="49108" xr:uid="{00000000-0005-0000-0000-000063420000}"/>
    <cellStyle name="Normal 16 10 5 3 3" xfId="33008" xr:uid="{00000000-0005-0000-0000-000064420000}"/>
    <cellStyle name="Normal 16 10 5 3 4" xfId="23439" xr:uid="{00000000-0005-0000-0000-000065420000}"/>
    <cellStyle name="Normal 16 10 5 4" xfId="4762" xr:uid="{00000000-0005-0000-0000-000066420000}"/>
    <cellStyle name="Normal 16 10 5 4 2" xfId="52603" xr:uid="{00000000-0005-0000-0000-000067420000}"/>
    <cellStyle name="Normal 16 10 5 4 3" xfId="36503" xr:uid="{00000000-0005-0000-0000-000068420000}"/>
    <cellStyle name="Normal 16 10 5 4 4" xfId="17367" xr:uid="{00000000-0005-0000-0000-000069420000}"/>
    <cellStyle name="Normal 16 10 5 5" xfId="43036" xr:uid="{00000000-0005-0000-0000-00006A420000}"/>
    <cellStyle name="Normal 16 10 5 6" xfId="26936" xr:uid="{00000000-0005-0000-0000-00006B420000}"/>
    <cellStyle name="Normal 16 10 5 7" xfId="13872" xr:uid="{00000000-0005-0000-0000-00006C420000}"/>
    <cellStyle name="Normal 16 10 6" xfId="3752" xr:uid="{00000000-0005-0000-0000-00006D420000}"/>
    <cellStyle name="Normal 16 10 6 2" xfId="35493" xr:uid="{00000000-0005-0000-0000-00006E420000}"/>
    <cellStyle name="Normal 16 10 6 2 2" xfId="51593" xr:uid="{00000000-0005-0000-0000-00006F420000}"/>
    <cellStyle name="Normal 16 10 6 3" xfId="42026" xr:uid="{00000000-0005-0000-0000-000070420000}"/>
    <cellStyle name="Normal 16 10 6 4" xfId="25926" xr:uid="{00000000-0005-0000-0000-000071420000}"/>
    <cellStyle name="Normal 16 10 6 5" xfId="16357" xr:uid="{00000000-0005-0000-0000-000072420000}"/>
    <cellStyle name="Normal 16 10 7" xfId="6788" xr:uid="{00000000-0005-0000-0000-000073420000}"/>
    <cellStyle name="Normal 16 10 7 2" xfId="38529" xr:uid="{00000000-0005-0000-0000-000074420000}"/>
    <cellStyle name="Normal 16 10 7 2 2" xfId="54629" xr:uid="{00000000-0005-0000-0000-000075420000}"/>
    <cellStyle name="Normal 16 10 7 3" xfId="45062" xr:uid="{00000000-0005-0000-0000-000076420000}"/>
    <cellStyle name="Normal 16 10 7 4" xfId="28962" xr:uid="{00000000-0005-0000-0000-000077420000}"/>
    <cellStyle name="Normal 16 10 7 5" xfId="19393" xr:uid="{00000000-0005-0000-0000-000078420000}"/>
    <cellStyle name="Normal 16 10 8" xfId="9824" xr:uid="{00000000-0005-0000-0000-000079420000}"/>
    <cellStyle name="Normal 16 10 8 2" xfId="48098" xr:uid="{00000000-0005-0000-0000-00007A420000}"/>
    <cellStyle name="Normal 16 10 8 3" xfId="31998" xr:uid="{00000000-0005-0000-0000-00007B420000}"/>
    <cellStyle name="Normal 16 10 8 4" xfId="22429" xr:uid="{00000000-0005-0000-0000-00007C420000}"/>
    <cellStyle name="Normal 16 10 9" xfId="3292" xr:uid="{00000000-0005-0000-0000-00007D420000}"/>
    <cellStyle name="Normal 16 10 9 2" xfId="51134" xr:uid="{00000000-0005-0000-0000-00007E420000}"/>
    <cellStyle name="Normal 16 10 9 3" xfId="35034" xr:uid="{00000000-0005-0000-0000-00007F420000}"/>
    <cellStyle name="Normal 16 10 9 4" xfId="15898" xr:uid="{00000000-0005-0000-0000-000080420000}"/>
    <cellStyle name="Normal 16 11" xfId="427" xr:uid="{00000000-0005-0000-0000-000081420000}"/>
    <cellStyle name="Normal 16 11 10" xfId="41414" xr:uid="{00000000-0005-0000-0000-000082420000}"/>
    <cellStyle name="Normal 16 11 11" xfId="25314" xr:uid="{00000000-0005-0000-0000-000083420000}"/>
    <cellStyle name="Normal 16 11 12" xfId="12709" xr:uid="{00000000-0005-0000-0000-000084420000}"/>
    <cellStyle name="Normal 16 11 2" xfId="784" xr:uid="{00000000-0005-0000-0000-000085420000}"/>
    <cellStyle name="Normal 16 11 2 10" xfId="13392" xr:uid="{00000000-0005-0000-0000-000086420000}"/>
    <cellStyle name="Normal 16 11 2 2" xfId="2812" xr:uid="{00000000-0005-0000-0000-000087420000}"/>
    <cellStyle name="Normal 16 11 2 2 2" xfId="9344" xr:uid="{00000000-0005-0000-0000-000088420000}"/>
    <cellStyle name="Normal 16 11 2 2 2 2" xfId="41085" xr:uid="{00000000-0005-0000-0000-000089420000}"/>
    <cellStyle name="Normal 16 11 2 2 2 2 2" xfId="57185" xr:uid="{00000000-0005-0000-0000-00008A420000}"/>
    <cellStyle name="Normal 16 11 2 2 2 3" xfId="47618" xr:uid="{00000000-0005-0000-0000-00008B420000}"/>
    <cellStyle name="Normal 16 11 2 2 2 4" xfId="31518" xr:uid="{00000000-0005-0000-0000-00008C420000}"/>
    <cellStyle name="Normal 16 11 2 2 2 5" xfId="21949" xr:uid="{00000000-0005-0000-0000-00008D420000}"/>
    <cellStyle name="Normal 16 11 2 2 3" xfId="12380" xr:uid="{00000000-0005-0000-0000-00008E420000}"/>
    <cellStyle name="Normal 16 11 2 2 3 2" xfId="50654" xr:uid="{00000000-0005-0000-0000-00008F420000}"/>
    <cellStyle name="Normal 16 11 2 2 3 3" xfId="34554" xr:uid="{00000000-0005-0000-0000-000090420000}"/>
    <cellStyle name="Normal 16 11 2 2 3 4" xfId="24985" xr:uid="{00000000-0005-0000-0000-000091420000}"/>
    <cellStyle name="Normal 16 11 2 2 4" xfId="6308" xr:uid="{00000000-0005-0000-0000-000092420000}"/>
    <cellStyle name="Normal 16 11 2 2 4 2" xfId="54149" xr:uid="{00000000-0005-0000-0000-000093420000}"/>
    <cellStyle name="Normal 16 11 2 2 4 3" xfId="38049" xr:uid="{00000000-0005-0000-0000-000094420000}"/>
    <cellStyle name="Normal 16 11 2 2 4 4" xfId="18913" xr:uid="{00000000-0005-0000-0000-000095420000}"/>
    <cellStyle name="Normal 16 11 2 2 5" xfId="44582" xr:uid="{00000000-0005-0000-0000-000096420000}"/>
    <cellStyle name="Normal 16 11 2 2 6" xfId="28482" xr:uid="{00000000-0005-0000-0000-000097420000}"/>
    <cellStyle name="Normal 16 11 2 2 7" xfId="15418" xr:uid="{00000000-0005-0000-0000-000098420000}"/>
    <cellStyle name="Normal 16 11 2 3" xfId="1794" xr:uid="{00000000-0005-0000-0000-000099420000}"/>
    <cellStyle name="Normal 16 11 2 3 2" xfId="8328" xr:uid="{00000000-0005-0000-0000-00009A420000}"/>
    <cellStyle name="Normal 16 11 2 3 2 2" xfId="40069" xr:uid="{00000000-0005-0000-0000-00009B420000}"/>
    <cellStyle name="Normal 16 11 2 3 2 2 2" xfId="56169" xr:uid="{00000000-0005-0000-0000-00009C420000}"/>
    <cellStyle name="Normal 16 11 2 3 2 3" xfId="46602" xr:uid="{00000000-0005-0000-0000-00009D420000}"/>
    <cellStyle name="Normal 16 11 2 3 2 4" xfId="30502" xr:uid="{00000000-0005-0000-0000-00009E420000}"/>
    <cellStyle name="Normal 16 11 2 3 2 5" xfId="20933" xr:uid="{00000000-0005-0000-0000-00009F420000}"/>
    <cellStyle name="Normal 16 11 2 3 3" xfId="11364" xr:uid="{00000000-0005-0000-0000-0000A0420000}"/>
    <cellStyle name="Normal 16 11 2 3 3 2" xfId="49638" xr:uid="{00000000-0005-0000-0000-0000A1420000}"/>
    <cellStyle name="Normal 16 11 2 3 3 3" xfId="33538" xr:uid="{00000000-0005-0000-0000-0000A2420000}"/>
    <cellStyle name="Normal 16 11 2 3 3 4" xfId="23969" xr:uid="{00000000-0005-0000-0000-0000A3420000}"/>
    <cellStyle name="Normal 16 11 2 3 4" xfId="5292" xr:uid="{00000000-0005-0000-0000-0000A4420000}"/>
    <cellStyle name="Normal 16 11 2 3 4 2" xfId="53133" xr:uid="{00000000-0005-0000-0000-0000A5420000}"/>
    <cellStyle name="Normal 16 11 2 3 4 3" xfId="37033" xr:uid="{00000000-0005-0000-0000-0000A6420000}"/>
    <cellStyle name="Normal 16 11 2 3 4 4" xfId="17897" xr:uid="{00000000-0005-0000-0000-0000A7420000}"/>
    <cellStyle name="Normal 16 11 2 3 5" xfId="43566" xr:uid="{00000000-0005-0000-0000-0000A8420000}"/>
    <cellStyle name="Normal 16 11 2 3 6" xfId="27466" xr:uid="{00000000-0005-0000-0000-0000A9420000}"/>
    <cellStyle name="Normal 16 11 2 3 7" xfId="14402" xr:uid="{00000000-0005-0000-0000-0000AA420000}"/>
    <cellStyle name="Normal 16 11 2 4" xfId="4282" xr:uid="{00000000-0005-0000-0000-0000AB420000}"/>
    <cellStyle name="Normal 16 11 2 4 2" xfId="36023" xr:uid="{00000000-0005-0000-0000-0000AC420000}"/>
    <cellStyle name="Normal 16 11 2 4 2 2" xfId="52123" xr:uid="{00000000-0005-0000-0000-0000AD420000}"/>
    <cellStyle name="Normal 16 11 2 4 3" xfId="42556" xr:uid="{00000000-0005-0000-0000-0000AE420000}"/>
    <cellStyle name="Normal 16 11 2 4 4" xfId="26456" xr:uid="{00000000-0005-0000-0000-0000AF420000}"/>
    <cellStyle name="Normal 16 11 2 4 5" xfId="16887" xr:uid="{00000000-0005-0000-0000-0000B0420000}"/>
    <cellStyle name="Normal 16 11 2 5" xfId="7318" xr:uid="{00000000-0005-0000-0000-0000B1420000}"/>
    <cellStyle name="Normal 16 11 2 5 2" xfId="39059" xr:uid="{00000000-0005-0000-0000-0000B2420000}"/>
    <cellStyle name="Normal 16 11 2 5 2 2" xfId="55159" xr:uid="{00000000-0005-0000-0000-0000B3420000}"/>
    <cellStyle name="Normal 16 11 2 5 3" xfId="45592" xr:uid="{00000000-0005-0000-0000-0000B4420000}"/>
    <cellStyle name="Normal 16 11 2 5 4" xfId="29492" xr:uid="{00000000-0005-0000-0000-0000B5420000}"/>
    <cellStyle name="Normal 16 11 2 5 5" xfId="19923" xr:uid="{00000000-0005-0000-0000-0000B6420000}"/>
    <cellStyle name="Normal 16 11 2 6" xfId="10354" xr:uid="{00000000-0005-0000-0000-0000B7420000}"/>
    <cellStyle name="Normal 16 11 2 6 2" xfId="48628" xr:uid="{00000000-0005-0000-0000-0000B8420000}"/>
    <cellStyle name="Normal 16 11 2 6 3" xfId="32528" xr:uid="{00000000-0005-0000-0000-0000B9420000}"/>
    <cellStyle name="Normal 16 11 2 6 4" xfId="22959" xr:uid="{00000000-0005-0000-0000-0000BA420000}"/>
    <cellStyle name="Normal 16 11 2 7" xfId="3377" xr:uid="{00000000-0005-0000-0000-0000BB420000}"/>
    <cellStyle name="Normal 16 11 2 7 2" xfId="51218" xr:uid="{00000000-0005-0000-0000-0000BC420000}"/>
    <cellStyle name="Normal 16 11 2 7 3" xfId="35118" xr:uid="{00000000-0005-0000-0000-0000BD420000}"/>
    <cellStyle name="Normal 16 11 2 7 4" xfId="15982" xr:uid="{00000000-0005-0000-0000-0000BE420000}"/>
    <cellStyle name="Normal 16 11 2 8" xfId="41651" xr:uid="{00000000-0005-0000-0000-0000BF420000}"/>
    <cellStyle name="Normal 16 11 2 9" xfId="25551" xr:uid="{00000000-0005-0000-0000-0000C0420000}"/>
    <cellStyle name="Normal 16 11 3" xfId="642" xr:uid="{00000000-0005-0000-0000-0000C1420000}"/>
    <cellStyle name="Normal 16 11 3 2" xfId="2670" xr:uid="{00000000-0005-0000-0000-0000C2420000}"/>
    <cellStyle name="Normal 16 11 3 2 2" xfId="9202" xr:uid="{00000000-0005-0000-0000-0000C3420000}"/>
    <cellStyle name="Normal 16 11 3 2 2 2" xfId="40943" xr:uid="{00000000-0005-0000-0000-0000C4420000}"/>
    <cellStyle name="Normal 16 11 3 2 2 2 2" xfId="57043" xr:uid="{00000000-0005-0000-0000-0000C5420000}"/>
    <cellStyle name="Normal 16 11 3 2 2 3" xfId="47476" xr:uid="{00000000-0005-0000-0000-0000C6420000}"/>
    <cellStyle name="Normal 16 11 3 2 2 4" xfId="31376" xr:uid="{00000000-0005-0000-0000-0000C7420000}"/>
    <cellStyle name="Normal 16 11 3 2 2 5" xfId="21807" xr:uid="{00000000-0005-0000-0000-0000C8420000}"/>
    <cellStyle name="Normal 16 11 3 2 3" xfId="12238" xr:uid="{00000000-0005-0000-0000-0000C9420000}"/>
    <cellStyle name="Normal 16 11 3 2 3 2" xfId="50512" xr:uid="{00000000-0005-0000-0000-0000CA420000}"/>
    <cellStyle name="Normal 16 11 3 2 3 3" xfId="34412" xr:uid="{00000000-0005-0000-0000-0000CB420000}"/>
    <cellStyle name="Normal 16 11 3 2 3 4" xfId="24843" xr:uid="{00000000-0005-0000-0000-0000CC420000}"/>
    <cellStyle name="Normal 16 11 3 2 4" xfId="6166" xr:uid="{00000000-0005-0000-0000-0000CD420000}"/>
    <cellStyle name="Normal 16 11 3 2 4 2" xfId="54007" xr:uid="{00000000-0005-0000-0000-0000CE420000}"/>
    <cellStyle name="Normal 16 11 3 2 4 3" xfId="37907" xr:uid="{00000000-0005-0000-0000-0000CF420000}"/>
    <cellStyle name="Normal 16 11 3 2 4 4" xfId="18771" xr:uid="{00000000-0005-0000-0000-0000D0420000}"/>
    <cellStyle name="Normal 16 11 3 2 5" xfId="44440" xr:uid="{00000000-0005-0000-0000-0000D1420000}"/>
    <cellStyle name="Normal 16 11 3 2 6" xfId="28340" xr:uid="{00000000-0005-0000-0000-0000D2420000}"/>
    <cellStyle name="Normal 16 11 3 2 7" xfId="15276" xr:uid="{00000000-0005-0000-0000-0000D3420000}"/>
    <cellStyle name="Normal 16 11 3 3" xfId="1652" xr:uid="{00000000-0005-0000-0000-0000D4420000}"/>
    <cellStyle name="Normal 16 11 3 3 2" xfId="8186" xr:uid="{00000000-0005-0000-0000-0000D5420000}"/>
    <cellStyle name="Normal 16 11 3 3 2 2" xfId="39927" xr:uid="{00000000-0005-0000-0000-0000D6420000}"/>
    <cellStyle name="Normal 16 11 3 3 2 2 2" xfId="56027" xr:uid="{00000000-0005-0000-0000-0000D7420000}"/>
    <cellStyle name="Normal 16 11 3 3 2 3" xfId="46460" xr:uid="{00000000-0005-0000-0000-0000D8420000}"/>
    <cellStyle name="Normal 16 11 3 3 2 4" xfId="30360" xr:uid="{00000000-0005-0000-0000-0000D9420000}"/>
    <cellStyle name="Normal 16 11 3 3 2 5" xfId="20791" xr:uid="{00000000-0005-0000-0000-0000DA420000}"/>
    <cellStyle name="Normal 16 11 3 3 3" xfId="11222" xr:uid="{00000000-0005-0000-0000-0000DB420000}"/>
    <cellStyle name="Normal 16 11 3 3 3 2" xfId="49496" xr:uid="{00000000-0005-0000-0000-0000DC420000}"/>
    <cellStyle name="Normal 16 11 3 3 3 3" xfId="33396" xr:uid="{00000000-0005-0000-0000-0000DD420000}"/>
    <cellStyle name="Normal 16 11 3 3 3 4" xfId="23827" xr:uid="{00000000-0005-0000-0000-0000DE420000}"/>
    <cellStyle name="Normal 16 11 3 3 4" xfId="5150" xr:uid="{00000000-0005-0000-0000-0000DF420000}"/>
    <cellStyle name="Normal 16 11 3 3 4 2" xfId="52991" xr:uid="{00000000-0005-0000-0000-0000E0420000}"/>
    <cellStyle name="Normal 16 11 3 3 4 3" xfId="36891" xr:uid="{00000000-0005-0000-0000-0000E1420000}"/>
    <cellStyle name="Normal 16 11 3 3 4 4" xfId="17755" xr:uid="{00000000-0005-0000-0000-0000E2420000}"/>
    <cellStyle name="Normal 16 11 3 3 5" xfId="43424" xr:uid="{00000000-0005-0000-0000-0000E3420000}"/>
    <cellStyle name="Normal 16 11 3 3 6" xfId="27324" xr:uid="{00000000-0005-0000-0000-0000E4420000}"/>
    <cellStyle name="Normal 16 11 3 3 7" xfId="14260" xr:uid="{00000000-0005-0000-0000-0000E5420000}"/>
    <cellStyle name="Normal 16 11 3 4" xfId="7176" xr:uid="{00000000-0005-0000-0000-0000E6420000}"/>
    <cellStyle name="Normal 16 11 3 4 2" xfId="38917" xr:uid="{00000000-0005-0000-0000-0000E7420000}"/>
    <cellStyle name="Normal 16 11 3 4 2 2" xfId="55017" xr:uid="{00000000-0005-0000-0000-0000E8420000}"/>
    <cellStyle name="Normal 16 11 3 4 3" xfId="45450" xr:uid="{00000000-0005-0000-0000-0000E9420000}"/>
    <cellStyle name="Normal 16 11 3 4 4" xfId="29350" xr:uid="{00000000-0005-0000-0000-0000EA420000}"/>
    <cellStyle name="Normal 16 11 3 4 5" xfId="19781" xr:uid="{00000000-0005-0000-0000-0000EB420000}"/>
    <cellStyle name="Normal 16 11 3 5" xfId="10212" xr:uid="{00000000-0005-0000-0000-0000EC420000}"/>
    <cellStyle name="Normal 16 11 3 5 2" xfId="48486" xr:uid="{00000000-0005-0000-0000-0000ED420000}"/>
    <cellStyle name="Normal 16 11 3 5 3" xfId="32386" xr:uid="{00000000-0005-0000-0000-0000EE420000}"/>
    <cellStyle name="Normal 16 11 3 5 4" xfId="22817" xr:uid="{00000000-0005-0000-0000-0000EF420000}"/>
    <cellStyle name="Normal 16 11 3 6" xfId="4140" xr:uid="{00000000-0005-0000-0000-0000F0420000}"/>
    <cellStyle name="Normal 16 11 3 6 2" xfId="51981" xr:uid="{00000000-0005-0000-0000-0000F1420000}"/>
    <cellStyle name="Normal 16 11 3 6 3" xfId="35881" xr:uid="{00000000-0005-0000-0000-0000F2420000}"/>
    <cellStyle name="Normal 16 11 3 6 4" xfId="16745" xr:uid="{00000000-0005-0000-0000-0000F3420000}"/>
    <cellStyle name="Normal 16 11 3 7" xfId="42414" xr:uid="{00000000-0005-0000-0000-0000F4420000}"/>
    <cellStyle name="Normal 16 11 3 8" xfId="26314" xr:uid="{00000000-0005-0000-0000-0000F5420000}"/>
    <cellStyle name="Normal 16 11 3 9" xfId="13250" xr:uid="{00000000-0005-0000-0000-0000F6420000}"/>
    <cellStyle name="Normal 16 11 4" xfId="2442" xr:uid="{00000000-0005-0000-0000-0000F7420000}"/>
    <cellStyle name="Normal 16 11 4 2" xfId="8974" xr:uid="{00000000-0005-0000-0000-0000F8420000}"/>
    <cellStyle name="Normal 16 11 4 2 2" xfId="40715" xr:uid="{00000000-0005-0000-0000-0000F9420000}"/>
    <cellStyle name="Normal 16 11 4 2 2 2" xfId="56815" xr:uid="{00000000-0005-0000-0000-0000FA420000}"/>
    <cellStyle name="Normal 16 11 4 2 3" xfId="47248" xr:uid="{00000000-0005-0000-0000-0000FB420000}"/>
    <cellStyle name="Normal 16 11 4 2 4" xfId="31148" xr:uid="{00000000-0005-0000-0000-0000FC420000}"/>
    <cellStyle name="Normal 16 11 4 2 5" xfId="21579" xr:uid="{00000000-0005-0000-0000-0000FD420000}"/>
    <cellStyle name="Normal 16 11 4 3" xfId="12010" xr:uid="{00000000-0005-0000-0000-0000FE420000}"/>
    <cellStyle name="Normal 16 11 4 3 2" xfId="50284" xr:uid="{00000000-0005-0000-0000-0000FF420000}"/>
    <cellStyle name="Normal 16 11 4 3 3" xfId="34184" xr:uid="{00000000-0005-0000-0000-000000430000}"/>
    <cellStyle name="Normal 16 11 4 3 4" xfId="24615" xr:uid="{00000000-0005-0000-0000-000001430000}"/>
    <cellStyle name="Normal 16 11 4 4" xfId="5938" xr:uid="{00000000-0005-0000-0000-000002430000}"/>
    <cellStyle name="Normal 16 11 4 4 2" xfId="53779" xr:uid="{00000000-0005-0000-0000-000003430000}"/>
    <cellStyle name="Normal 16 11 4 4 3" xfId="37679" xr:uid="{00000000-0005-0000-0000-000004430000}"/>
    <cellStyle name="Normal 16 11 4 4 4" xfId="18543" xr:uid="{00000000-0005-0000-0000-000005430000}"/>
    <cellStyle name="Normal 16 11 4 5" xfId="44212" xr:uid="{00000000-0005-0000-0000-000006430000}"/>
    <cellStyle name="Normal 16 11 4 6" xfId="28112" xr:uid="{00000000-0005-0000-0000-000007430000}"/>
    <cellStyle name="Normal 16 11 4 7" xfId="15048" xr:uid="{00000000-0005-0000-0000-000008430000}"/>
    <cellStyle name="Normal 16 11 5" xfId="1111" xr:uid="{00000000-0005-0000-0000-000009430000}"/>
    <cellStyle name="Normal 16 11 5 2" xfId="7645" xr:uid="{00000000-0005-0000-0000-00000A430000}"/>
    <cellStyle name="Normal 16 11 5 2 2" xfId="39386" xr:uid="{00000000-0005-0000-0000-00000B430000}"/>
    <cellStyle name="Normal 16 11 5 2 2 2" xfId="55486" xr:uid="{00000000-0005-0000-0000-00000C430000}"/>
    <cellStyle name="Normal 16 11 5 2 3" xfId="45919" xr:uid="{00000000-0005-0000-0000-00000D430000}"/>
    <cellStyle name="Normal 16 11 5 2 4" xfId="29819" xr:uid="{00000000-0005-0000-0000-00000E430000}"/>
    <cellStyle name="Normal 16 11 5 2 5" xfId="20250" xr:uid="{00000000-0005-0000-0000-00000F430000}"/>
    <cellStyle name="Normal 16 11 5 3" xfId="10681" xr:uid="{00000000-0005-0000-0000-000010430000}"/>
    <cellStyle name="Normal 16 11 5 3 2" xfId="48955" xr:uid="{00000000-0005-0000-0000-000011430000}"/>
    <cellStyle name="Normal 16 11 5 3 3" xfId="32855" xr:uid="{00000000-0005-0000-0000-000012430000}"/>
    <cellStyle name="Normal 16 11 5 3 4" xfId="23286" xr:uid="{00000000-0005-0000-0000-000013430000}"/>
    <cellStyle name="Normal 16 11 5 4" xfId="4609" xr:uid="{00000000-0005-0000-0000-000014430000}"/>
    <cellStyle name="Normal 16 11 5 4 2" xfId="52450" xr:uid="{00000000-0005-0000-0000-000015430000}"/>
    <cellStyle name="Normal 16 11 5 4 3" xfId="36350" xr:uid="{00000000-0005-0000-0000-000016430000}"/>
    <cellStyle name="Normal 16 11 5 4 4" xfId="17214" xr:uid="{00000000-0005-0000-0000-000017430000}"/>
    <cellStyle name="Normal 16 11 5 5" xfId="42883" xr:uid="{00000000-0005-0000-0000-000018430000}"/>
    <cellStyle name="Normal 16 11 5 6" xfId="26783" xr:uid="{00000000-0005-0000-0000-000019430000}"/>
    <cellStyle name="Normal 16 11 5 7" xfId="13719" xr:uid="{00000000-0005-0000-0000-00001A430000}"/>
    <cellStyle name="Normal 16 11 6" xfId="3599" xr:uid="{00000000-0005-0000-0000-00001B430000}"/>
    <cellStyle name="Normal 16 11 6 2" xfId="35340" xr:uid="{00000000-0005-0000-0000-00001C430000}"/>
    <cellStyle name="Normal 16 11 6 2 2" xfId="51440" xr:uid="{00000000-0005-0000-0000-00001D430000}"/>
    <cellStyle name="Normal 16 11 6 3" xfId="41873" xr:uid="{00000000-0005-0000-0000-00001E430000}"/>
    <cellStyle name="Normal 16 11 6 4" xfId="25773" xr:uid="{00000000-0005-0000-0000-00001F430000}"/>
    <cellStyle name="Normal 16 11 6 5" xfId="16204" xr:uid="{00000000-0005-0000-0000-000020430000}"/>
    <cellStyle name="Normal 16 11 7" xfId="6635" xr:uid="{00000000-0005-0000-0000-000021430000}"/>
    <cellStyle name="Normal 16 11 7 2" xfId="38376" xr:uid="{00000000-0005-0000-0000-000022430000}"/>
    <cellStyle name="Normal 16 11 7 2 2" xfId="54476" xr:uid="{00000000-0005-0000-0000-000023430000}"/>
    <cellStyle name="Normal 16 11 7 3" xfId="44909" xr:uid="{00000000-0005-0000-0000-000024430000}"/>
    <cellStyle name="Normal 16 11 7 4" xfId="28809" xr:uid="{00000000-0005-0000-0000-000025430000}"/>
    <cellStyle name="Normal 16 11 7 5" xfId="19240" xr:uid="{00000000-0005-0000-0000-000026430000}"/>
    <cellStyle name="Normal 16 11 8" xfId="9671" xr:uid="{00000000-0005-0000-0000-000027430000}"/>
    <cellStyle name="Normal 16 11 8 2" xfId="47945" xr:uid="{00000000-0005-0000-0000-000028430000}"/>
    <cellStyle name="Normal 16 11 8 3" xfId="31845" xr:uid="{00000000-0005-0000-0000-000029430000}"/>
    <cellStyle name="Normal 16 11 8 4" xfId="22276" xr:uid="{00000000-0005-0000-0000-00002A430000}"/>
    <cellStyle name="Normal 16 11 9" xfId="3139" xr:uid="{00000000-0005-0000-0000-00002B430000}"/>
    <cellStyle name="Normal 16 11 9 2" xfId="50981" xr:uid="{00000000-0005-0000-0000-00002C430000}"/>
    <cellStyle name="Normal 16 11 9 3" xfId="34881" xr:uid="{00000000-0005-0000-0000-00002D430000}"/>
    <cellStyle name="Normal 16 11 9 4" xfId="15745" xr:uid="{00000000-0005-0000-0000-00002E430000}"/>
    <cellStyle name="Normal 16 12" xfId="407" xr:uid="{00000000-0005-0000-0000-00002F430000}"/>
    <cellStyle name="Normal 16 12 10" xfId="41397" xr:uid="{00000000-0005-0000-0000-000030430000}"/>
    <cellStyle name="Normal 16 12 11" xfId="25297" xr:uid="{00000000-0005-0000-0000-000031430000}"/>
    <cellStyle name="Normal 16 12 12" xfId="12692" xr:uid="{00000000-0005-0000-0000-000032430000}"/>
    <cellStyle name="Normal 16 12 2" xfId="767" xr:uid="{00000000-0005-0000-0000-000033430000}"/>
    <cellStyle name="Normal 16 12 2 10" xfId="13375" xr:uid="{00000000-0005-0000-0000-000034430000}"/>
    <cellStyle name="Normal 16 12 2 2" xfId="2795" xr:uid="{00000000-0005-0000-0000-000035430000}"/>
    <cellStyle name="Normal 16 12 2 2 2" xfId="9327" xr:uid="{00000000-0005-0000-0000-000036430000}"/>
    <cellStyle name="Normal 16 12 2 2 2 2" xfId="41068" xr:uid="{00000000-0005-0000-0000-000037430000}"/>
    <cellStyle name="Normal 16 12 2 2 2 2 2" xfId="57168" xr:uid="{00000000-0005-0000-0000-000038430000}"/>
    <cellStyle name="Normal 16 12 2 2 2 3" xfId="47601" xr:uid="{00000000-0005-0000-0000-000039430000}"/>
    <cellStyle name="Normal 16 12 2 2 2 4" xfId="31501" xr:uid="{00000000-0005-0000-0000-00003A430000}"/>
    <cellStyle name="Normal 16 12 2 2 2 5" xfId="21932" xr:uid="{00000000-0005-0000-0000-00003B430000}"/>
    <cellStyle name="Normal 16 12 2 2 3" xfId="12363" xr:uid="{00000000-0005-0000-0000-00003C430000}"/>
    <cellStyle name="Normal 16 12 2 2 3 2" xfId="50637" xr:uid="{00000000-0005-0000-0000-00003D430000}"/>
    <cellStyle name="Normal 16 12 2 2 3 3" xfId="34537" xr:uid="{00000000-0005-0000-0000-00003E430000}"/>
    <cellStyle name="Normal 16 12 2 2 3 4" xfId="24968" xr:uid="{00000000-0005-0000-0000-00003F430000}"/>
    <cellStyle name="Normal 16 12 2 2 4" xfId="6291" xr:uid="{00000000-0005-0000-0000-000040430000}"/>
    <cellStyle name="Normal 16 12 2 2 4 2" xfId="54132" xr:uid="{00000000-0005-0000-0000-000041430000}"/>
    <cellStyle name="Normal 16 12 2 2 4 3" xfId="38032" xr:uid="{00000000-0005-0000-0000-000042430000}"/>
    <cellStyle name="Normal 16 12 2 2 4 4" xfId="18896" xr:uid="{00000000-0005-0000-0000-000043430000}"/>
    <cellStyle name="Normal 16 12 2 2 5" xfId="44565" xr:uid="{00000000-0005-0000-0000-000044430000}"/>
    <cellStyle name="Normal 16 12 2 2 6" xfId="28465" xr:uid="{00000000-0005-0000-0000-000045430000}"/>
    <cellStyle name="Normal 16 12 2 2 7" xfId="15401" xr:uid="{00000000-0005-0000-0000-000046430000}"/>
    <cellStyle name="Normal 16 12 2 3" xfId="1777" xr:uid="{00000000-0005-0000-0000-000047430000}"/>
    <cellStyle name="Normal 16 12 2 3 2" xfId="8311" xr:uid="{00000000-0005-0000-0000-000048430000}"/>
    <cellStyle name="Normal 16 12 2 3 2 2" xfId="40052" xr:uid="{00000000-0005-0000-0000-000049430000}"/>
    <cellStyle name="Normal 16 12 2 3 2 2 2" xfId="56152" xr:uid="{00000000-0005-0000-0000-00004A430000}"/>
    <cellStyle name="Normal 16 12 2 3 2 3" xfId="46585" xr:uid="{00000000-0005-0000-0000-00004B430000}"/>
    <cellStyle name="Normal 16 12 2 3 2 4" xfId="30485" xr:uid="{00000000-0005-0000-0000-00004C430000}"/>
    <cellStyle name="Normal 16 12 2 3 2 5" xfId="20916" xr:uid="{00000000-0005-0000-0000-00004D430000}"/>
    <cellStyle name="Normal 16 12 2 3 3" xfId="11347" xr:uid="{00000000-0005-0000-0000-00004E430000}"/>
    <cellStyle name="Normal 16 12 2 3 3 2" xfId="49621" xr:uid="{00000000-0005-0000-0000-00004F430000}"/>
    <cellStyle name="Normal 16 12 2 3 3 3" xfId="33521" xr:uid="{00000000-0005-0000-0000-000050430000}"/>
    <cellStyle name="Normal 16 12 2 3 3 4" xfId="23952" xr:uid="{00000000-0005-0000-0000-000051430000}"/>
    <cellStyle name="Normal 16 12 2 3 4" xfId="5275" xr:uid="{00000000-0005-0000-0000-000052430000}"/>
    <cellStyle name="Normal 16 12 2 3 4 2" xfId="53116" xr:uid="{00000000-0005-0000-0000-000053430000}"/>
    <cellStyle name="Normal 16 12 2 3 4 3" xfId="37016" xr:uid="{00000000-0005-0000-0000-000054430000}"/>
    <cellStyle name="Normal 16 12 2 3 4 4" xfId="17880" xr:uid="{00000000-0005-0000-0000-000055430000}"/>
    <cellStyle name="Normal 16 12 2 3 5" xfId="43549" xr:uid="{00000000-0005-0000-0000-000056430000}"/>
    <cellStyle name="Normal 16 12 2 3 6" xfId="27449" xr:uid="{00000000-0005-0000-0000-000057430000}"/>
    <cellStyle name="Normal 16 12 2 3 7" xfId="14385" xr:uid="{00000000-0005-0000-0000-000058430000}"/>
    <cellStyle name="Normal 16 12 2 4" xfId="4265" xr:uid="{00000000-0005-0000-0000-000059430000}"/>
    <cellStyle name="Normal 16 12 2 4 2" xfId="36006" xr:uid="{00000000-0005-0000-0000-00005A430000}"/>
    <cellStyle name="Normal 16 12 2 4 2 2" xfId="52106" xr:uid="{00000000-0005-0000-0000-00005B430000}"/>
    <cellStyle name="Normal 16 12 2 4 3" xfId="42539" xr:uid="{00000000-0005-0000-0000-00005C430000}"/>
    <cellStyle name="Normal 16 12 2 4 4" xfId="26439" xr:uid="{00000000-0005-0000-0000-00005D430000}"/>
    <cellStyle name="Normal 16 12 2 4 5" xfId="16870" xr:uid="{00000000-0005-0000-0000-00005E430000}"/>
    <cellStyle name="Normal 16 12 2 5" xfId="7301" xr:uid="{00000000-0005-0000-0000-00005F430000}"/>
    <cellStyle name="Normal 16 12 2 5 2" xfId="39042" xr:uid="{00000000-0005-0000-0000-000060430000}"/>
    <cellStyle name="Normal 16 12 2 5 2 2" xfId="55142" xr:uid="{00000000-0005-0000-0000-000061430000}"/>
    <cellStyle name="Normal 16 12 2 5 3" xfId="45575" xr:uid="{00000000-0005-0000-0000-000062430000}"/>
    <cellStyle name="Normal 16 12 2 5 4" xfId="29475" xr:uid="{00000000-0005-0000-0000-000063430000}"/>
    <cellStyle name="Normal 16 12 2 5 5" xfId="19906" xr:uid="{00000000-0005-0000-0000-000064430000}"/>
    <cellStyle name="Normal 16 12 2 6" xfId="10337" xr:uid="{00000000-0005-0000-0000-000065430000}"/>
    <cellStyle name="Normal 16 12 2 6 2" xfId="48611" xr:uid="{00000000-0005-0000-0000-000066430000}"/>
    <cellStyle name="Normal 16 12 2 6 3" xfId="32511" xr:uid="{00000000-0005-0000-0000-000067430000}"/>
    <cellStyle name="Normal 16 12 2 6 4" xfId="22942" xr:uid="{00000000-0005-0000-0000-000068430000}"/>
    <cellStyle name="Normal 16 12 2 7" xfId="3360" xr:uid="{00000000-0005-0000-0000-000069430000}"/>
    <cellStyle name="Normal 16 12 2 7 2" xfId="51201" xr:uid="{00000000-0005-0000-0000-00006A430000}"/>
    <cellStyle name="Normal 16 12 2 7 3" xfId="35101" xr:uid="{00000000-0005-0000-0000-00006B430000}"/>
    <cellStyle name="Normal 16 12 2 7 4" xfId="15965" xr:uid="{00000000-0005-0000-0000-00006C430000}"/>
    <cellStyle name="Normal 16 12 2 8" xfId="41634" xr:uid="{00000000-0005-0000-0000-00006D430000}"/>
    <cellStyle name="Normal 16 12 2 9" xfId="25534" xr:uid="{00000000-0005-0000-0000-00006E430000}"/>
    <cellStyle name="Normal 16 12 3" xfId="625" xr:uid="{00000000-0005-0000-0000-00006F430000}"/>
    <cellStyle name="Normal 16 12 3 2" xfId="2653" xr:uid="{00000000-0005-0000-0000-000070430000}"/>
    <cellStyle name="Normal 16 12 3 2 2" xfId="9185" xr:uid="{00000000-0005-0000-0000-000071430000}"/>
    <cellStyle name="Normal 16 12 3 2 2 2" xfId="40926" xr:uid="{00000000-0005-0000-0000-000072430000}"/>
    <cellStyle name="Normal 16 12 3 2 2 2 2" xfId="57026" xr:uid="{00000000-0005-0000-0000-000073430000}"/>
    <cellStyle name="Normal 16 12 3 2 2 3" xfId="47459" xr:uid="{00000000-0005-0000-0000-000074430000}"/>
    <cellStyle name="Normal 16 12 3 2 2 4" xfId="31359" xr:uid="{00000000-0005-0000-0000-000075430000}"/>
    <cellStyle name="Normal 16 12 3 2 2 5" xfId="21790" xr:uid="{00000000-0005-0000-0000-000076430000}"/>
    <cellStyle name="Normal 16 12 3 2 3" xfId="12221" xr:uid="{00000000-0005-0000-0000-000077430000}"/>
    <cellStyle name="Normal 16 12 3 2 3 2" xfId="50495" xr:uid="{00000000-0005-0000-0000-000078430000}"/>
    <cellStyle name="Normal 16 12 3 2 3 3" xfId="34395" xr:uid="{00000000-0005-0000-0000-000079430000}"/>
    <cellStyle name="Normal 16 12 3 2 3 4" xfId="24826" xr:uid="{00000000-0005-0000-0000-00007A430000}"/>
    <cellStyle name="Normal 16 12 3 2 4" xfId="6149" xr:uid="{00000000-0005-0000-0000-00007B430000}"/>
    <cellStyle name="Normal 16 12 3 2 4 2" xfId="53990" xr:uid="{00000000-0005-0000-0000-00007C430000}"/>
    <cellStyle name="Normal 16 12 3 2 4 3" xfId="37890" xr:uid="{00000000-0005-0000-0000-00007D430000}"/>
    <cellStyle name="Normal 16 12 3 2 4 4" xfId="18754" xr:uid="{00000000-0005-0000-0000-00007E430000}"/>
    <cellStyle name="Normal 16 12 3 2 5" xfId="44423" xr:uid="{00000000-0005-0000-0000-00007F430000}"/>
    <cellStyle name="Normal 16 12 3 2 6" xfId="28323" xr:uid="{00000000-0005-0000-0000-000080430000}"/>
    <cellStyle name="Normal 16 12 3 2 7" xfId="15259" xr:uid="{00000000-0005-0000-0000-000081430000}"/>
    <cellStyle name="Normal 16 12 3 3" xfId="1635" xr:uid="{00000000-0005-0000-0000-000082430000}"/>
    <cellStyle name="Normal 16 12 3 3 2" xfId="8169" xr:uid="{00000000-0005-0000-0000-000083430000}"/>
    <cellStyle name="Normal 16 12 3 3 2 2" xfId="39910" xr:uid="{00000000-0005-0000-0000-000084430000}"/>
    <cellStyle name="Normal 16 12 3 3 2 2 2" xfId="56010" xr:uid="{00000000-0005-0000-0000-000085430000}"/>
    <cellStyle name="Normal 16 12 3 3 2 3" xfId="46443" xr:uid="{00000000-0005-0000-0000-000086430000}"/>
    <cellStyle name="Normal 16 12 3 3 2 4" xfId="30343" xr:uid="{00000000-0005-0000-0000-000087430000}"/>
    <cellStyle name="Normal 16 12 3 3 2 5" xfId="20774" xr:uid="{00000000-0005-0000-0000-000088430000}"/>
    <cellStyle name="Normal 16 12 3 3 3" xfId="11205" xr:uid="{00000000-0005-0000-0000-000089430000}"/>
    <cellStyle name="Normal 16 12 3 3 3 2" xfId="49479" xr:uid="{00000000-0005-0000-0000-00008A430000}"/>
    <cellStyle name="Normal 16 12 3 3 3 3" xfId="33379" xr:uid="{00000000-0005-0000-0000-00008B430000}"/>
    <cellStyle name="Normal 16 12 3 3 3 4" xfId="23810" xr:uid="{00000000-0005-0000-0000-00008C430000}"/>
    <cellStyle name="Normal 16 12 3 3 4" xfId="5133" xr:uid="{00000000-0005-0000-0000-00008D430000}"/>
    <cellStyle name="Normal 16 12 3 3 4 2" xfId="52974" xr:uid="{00000000-0005-0000-0000-00008E430000}"/>
    <cellStyle name="Normal 16 12 3 3 4 3" xfId="36874" xr:uid="{00000000-0005-0000-0000-00008F430000}"/>
    <cellStyle name="Normal 16 12 3 3 4 4" xfId="17738" xr:uid="{00000000-0005-0000-0000-000090430000}"/>
    <cellStyle name="Normal 16 12 3 3 5" xfId="43407" xr:uid="{00000000-0005-0000-0000-000091430000}"/>
    <cellStyle name="Normal 16 12 3 3 6" xfId="27307" xr:uid="{00000000-0005-0000-0000-000092430000}"/>
    <cellStyle name="Normal 16 12 3 3 7" xfId="14243" xr:uid="{00000000-0005-0000-0000-000093430000}"/>
    <cellStyle name="Normal 16 12 3 4" xfId="7159" xr:uid="{00000000-0005-0000-0000-000094430000}"/>
    <cellStyle name="Normal 16 12 3 4 2" xfId="38900" xr:uid="{00000000-0005-0000-0000-000095430000}"/>
    <cellStyle name="Normal 16 12 3 4 2 2" xfId="55000" xr:uid="{00000000-0005-0000-0000-000096430000}"/>
    <cellStyle name="Normal 16 12 3 4 3" xfId="45433" xr:uid="{00000000-0005-0000-0000-000097430000}"/>
    <cellStyle name="Normal 16 12 3 4 4" xfId="29333" xr:uid="{00000000-0005-0000-0000-000098430000}"/>
    <cellStyle name="Normal 16 12 3 4 5" xfId="19764" xr:uid="{00000000-0005-0000-0000-000099430000}"/>
    <cellStyle name="Normal 16 12 3 5" xfId="10195" xr:uid="{00000000-0005-0000-0000-00009A430000}"/>
    <cellStyle name="Normal 16 12 3 5 2" xfId="48469" xr:uid="{00000000-0005-0000-0000-00009B430000}"/>
    <cellStyle name="Normal 16 12 3 5 3" xfId="32369" xr:uid="{00000000-0005-0000-0000-00009C430000}"/>
    <cellStyle name="Normal 16 12 3 5 4" xfId="22800" xr:uid="{00000000-0005-0000-0000-00009D430000}"/>
    <cellStyle name="Normal 16 12 3 6" xfId="4123" xr:uid="{00000000-0005-0000-0000-00009E430000}"/>
    <cellStyle name="Normal 16 12 3 6 2" xfId="51964" xr:uid="{00000000-0005-0000-0000-00009F430000}"/>
    <cellStyle name="Normal 16 12 3 6 3" xfId="35864" xr:uid="{00000000-0005-0000-0000-0000A0430000}"/>
    <cellStyle name="Normal 16 12 3 6 4" xfId="16728" xr:uid="{00000000-0005-0000-0000-0000A1430000}"/>
    <cellStyle name="Normal 16 12 3 7" xfId="42397" xr:uid="{00000000-0005-0000-0000-0000A2430000}"/>
    <cellStyle name="Normal 16 12 3 8" xfId="26297" xr:uid="{00000000-0005-0000-0000-0000A3430000}"/>
    <cellStyle name="Normal 16 12 3 9" xfId="13233" xr:uid="{00000000-0005-0000-0000-0000A4430000}"/>
    <cellStyle name="Normal 16 12 4" xfId="2425" xr:uid="{00000000-0005-0000-0000-0000A5430000}"/>
    <cellStyle name="Normal 16 12 4 2" xfId="8957" xr:uid="{00000000-0005-0000-0000-0000A6430000}"/>
    <cellStyle name="Normal 16 12 4 2 2" xfId="40698" xr:uid="{00000000-0005-0000-0000-0000A7430000}"/>
    <cellStyle name="Normal 16 12 4 2 2 2" xfId="56798" xr:uid="{00000000-0005-0000-0000-0000A8430000}"/>
    <cellStyle name="Normal 16 12 4 2 3" xfId="47231" xr:uid="{00000000-0005-0000-0000-0000A9430000}"/>
    <cellStyle name="Normal 16 12 4 2 4" xfId="31131" xr:uid="{00000000-0005-0000-0000-0000AA430000}"/>
    <cellStyle name="Normal 16 12 4 2 5" xfId="21562" xr:uid="{00000000-0005-0000-0000-0000AB430000}"/>
    <cellStyle name="Normal 16 12 4 3" xfId="11993" xr:uid="{00000000-0005-0000-0000-0000AC430000}"/>
    <cellStyle name="Normal 16 12 4 3 2" xfId="50267" xr:uid="{00000000-0005-0000-0000-0000AD430000}"/>
    <cellStyle name="Normal 16 12 4 3 3" xfId="34167" xr:uid="{00000000-0005-0000-0000-0000AE430000}"/>
    <cellStyle name="Normal 16 12 4 3 4" xfId="24598" xr:uid="{00000000-0005-0000-0000-0000AF430000}"/>
    <cellStyle name="Normal 16 12 4 4" xfId="5921" xr:uid="{00000000-0005-0000-0000-0000B0430000}"/>
    <cellStyle name="Normal 16 12 4 4 2" xfId="53762" xr:uid="{00000000-0005-0000-0000-0000B1430000}"/>
    <cellStyle name="Normal 16 12 4 4 3" xfId="37662" xr:uid="{00000000-0005-0000-0000-0000B2430000}"/>
    <cellStyle name="Normal 16 12 4 4 4" xfId="18526" xr:uid="{00000000-0005-0000-0000-0000B3430000}"/>
    <cellStyle name="Normal 16 12 4 5" xfId="44195" xr:uid="{00000000-0005-0000-0000-0000B4430000}"/>
    <cellStyle name="Normal 16 12 4 6" xfId="28095" xr:uid="{00000000-0005-0000-0000-0000B5430000}"/>
    <cellStyle name="Normal 16 12 4 7" xfId="15031" xr:uid="{00000000-0005-0000-0000-0000B6430000}"/>
    <cellStyle name="Normal 16 12 5" xfId="1094" xr:uid="{00000000-0005-0000-0000-0000B7430000}"/>
    <cellStyle name="Normal 16 12 5 2" xfId="7628" xr:uid="{00000000-0005-0000-0000-0000B8430000}"/>
    <cellStyle name="Normal 16 12 5 2 2" xfId="39369" xr:uid="{00000000-0005-0000-0000-0000B9430000}"/>
    <cellStyle name="Normal 16 12 5 2 2 2" xfId="55469" xr:uid="{00000000-0005-0000-0000-0000BA430000}"/>
    <cellStyle name="Normal 16 12 5 2 3" xfId="45902" xr:uid="{00000000-0005-0000-0000-0000BB430000}"/>
    <cellStyle name="Normal 16 12 5 2 4" xfId="29802" xr:uid="{00000000-0005-0000-0000-0000BC430000}"/>
    <cellStyle name="Normal 16 12 5 2 5" xfId="20233" xr:uid="{00000000-0005-0000-0000-0000BD430000}"/>
    <cellStyle name="Normal 16 12 5 3" xfId="10664" xr:uid="{00000000-0005-0000-0000-0000BE430000}"/>
    <cellStyle name="Normal 16 12 5 3 2" xfId="48938" xr:uid="{00000000-0005-0000-0000-0000BF430000}"/>
    <cellStyle name="Normal 16 12 5 3 3" xfId="32838" xr:uid="{00000000-0005-0000-0000-0000C0430000}"/>
    <cellStyle name="Normal 16 12 5 3 4" xfId="23269" xr:uid="{00000000-0005-0000-0000-0000C1430000}"/>
    <cellStyle name="Normal 16 12 5 4" xfId="4592" xr:uid="{00000000-0005-0000-0000-0000C2430000}"/>
    <cellStyle name="Normal 16 12 5 4 2" xfId="52433" xr:uid="{00000000-0005-0000-0000-0000C3430000}"/>
    <cellStyle name="Normal 16 12 5 4 3" xfId="36333" xr:uid="{00000000-0005-0000-0000-0000C4430000}"/>
    <cellStyle name="Normal 16 12 5 4 4" xfId="17197" xr:uid="{00000000-0005-0000-0000-0000C5430000}"/>
    <cellStyle name="Normal 16 12 5 5" xfId="42866" xr:uid="{00000000-0005-0000-0000-0000C6430000}"/>
    <cellStyle name="Normal 16 12 5 6" xfId="26766" xr:uid="{00000000-0005-0000-0000-0000C7430000}"/>
    <cellStyle name="Normal 16 12 5 7" xfId="13702" xr:uid="{00000000-0005-0000-0000-0000C8430000}"/>
    <cellStyle name="Normal 16 12 6" xfId="3582" xr:uid="{00000000-0005-0000-0000-0000C9430000}"/>
    <cellStyle name="Normal 16 12 6 2" xfId="35323" xr:uid="{00000000-0005-0000-0000-0000CA430000}"/>
    <cellStyle name="Normal 16 12 6 2 2" xfId="51423" xr:uid="{00000000-0005-0000-0000-0000CB430000}"/>
    <cellStyle name="Normal 16 12 6 3" xfId="41856" xr:uid="{00000000-0005-0000-0000-0000CC430000}"/>
    <cellStyle name="Normal 16 12 6 4" xfId="25756" xr:uid="{00000000-0005-0000-0000-0000CD430000}"/>
    <cellStyle name="Normal 16 12 6 5" xfId="16187" xr:uid="{00000000-0005-0000-0000-0000CE430000}"/>
    <cellStyle name="Normal 16 12 7" xfId="6618" xr:uid="{00000000-0005-0000-0000-0000CF430000}"/>
    <cellStyle name="Normal 16 12 7 2" xfId="38359" xr:uid="{00000000-0005-0000-0000-0000D0430000}"/>
    <cellStyle name="Normal 16 12 7 2 2" xfId="54459" xr:uid="{00000000-0005-0000-0000-0000D1430000}"/>
    <cellStyle name="Normal 16 12 7 3" xfId="44892" xr:uid="{00000000-0005-0000-0000-0000D2430000}"/>
    <cellStyle name="Normal 16 12 7 4" xfId="28792" xr:uid="{00000000-0005-0000-0000-0000D3430000}"/>
    <cellStyle name="Normal 16 12 7 5" xfId="19223" xr:uid="{00000000-0005-0000-0000-0000D4430000}"/>
    <cellStyle name="Normal 16 12 8" xfId="9654" xr:uid="{00000000-0005-0000-0000-0000D5430000}"/>
    <cellStyle name="Normal 16 12 8 2" xfId="47928" xr:uid="{00000000-0005-0000-0000-0000D6430000}"/>
    <cellStyle name="Normal 16 12 8 3" xfId="31828" xr:uid="{00000000-0005-0000-0000-0000D7430000}"/>
    <cellStyle name="Normal 16 12 8 4" xfId="22259" xr:uid="{00000000-0005-0000-0000-0000D8430000}"/>
    <cellStyle name="Normal 16 12 9" xfId="3122" xr:uid="{00000000-0005-0000-0000-0000D9430000}"/>
    <cellStyle name="Normal 16 12 9 2" xfId="50964" xr:uid="{00000000-0005-0000-0000-0000DA430000}"/>
    <cellStyle name="Normal 16 12 9 3" xfId="34864" xr:uid="{00000000-0005-0000-0000-0000DB430000}"/>
    <cellStyle name="Normal 16 12 9 4" xfId="15728" xr:uid="{00000000-0005-0000-0000-0000DC430000}"/>
    <cellStyle name="Normal 16 13" xfId="507" xr:uid="{00000000-0005-0000-0000-0000DD430000}"/>
    <cellStyle name="Normal 16 13 10" xfId="25490" xr:uid="{00000000-0005-0000-0000-0000DE430000}"/>
    <cellStyle name="Normal 16 13 11" xfId="12884" xr:uid="{00000000-0005-0000-0000-0000DF430000}"/>
    <cellStyle name="Normal 16 13 2" xfId="959" xr:uid="{00000000-0005-0000-0000-0000E0430000}"/>
    <cellStyle name="Normal 16 13 2 2" xfId="2987" xr:uid="{00000000-0005-0000-0000-0000E1430000}"/>
    <cellStyle name="Normal 16 13 2 2 2" xfId="9519" xr:uid="{00000000-0005-0000-0000-0000E2430000}"/>
    <cellStyle name="Normal 16 13 2 2 2 2" xfId="41260" xr:uid="{00000000-0005-0000-0000-0000E3430000}"/>
    <cellStyle name="Normal 16 13 2 2 2 2 2" xfId="57360" xr:uid="{00000000-0005-0000-0000-0000E4430000}"/>
    <cellStyle name="Normal 16 13 2 2 2 3" xfId="47793" xr:uid="{00000000-0005-0000-0000-0000E5430000}"/>
    <cellStyle name="Normal 16 13 2 2 2 4" xfId="31693" xr:uid="{00000000-0005-0000-0000-0000E6430000}"/>
    <cellStyle name="Normal 16 13 2 2 2 5" xfId="22124" xr:uid="{00000000-0005-0000-0000-0000E7430000}"/>
    <cellStyle name="Normal 16 13 2 2 3" xfId="12555" xr:uid="{00000000-0005-0000-0000-0000E8430000}"/>
    <cellStyle name="Normal 16 13 2 2 3 2" xfId="50829" xr:uid="{00000000-0005-0000-0000-0000E9430000}"/>
    <cellStyle name="Normal 16 13 2 2 3 3" xfId="34729" xr:uid="{00000000-0005-0000-0000-0000EA430000}"/>
    <cellStyle name="Normal 16 13 2 2 3 4" xfId="25160" xr:uid="{00000000-0005-0000-0000-0000EB430000}"/>
    <cellStyle name="Normal 16 13 2 2 4" xfId="6483" xr:uid="{00000000-0005-0000-0000-0000EC430000}"/>
    <cellStyle name="Normal 16 13 2 2 4 2" xfId="54324" xr:uid="{00000000-0005-0000-0000-0000ED430000}"/>
    <cellStyle name="Normal 16 13 2 2 4 3" xfId="38224" xr:uid="{00000000-0005-0000-0000-0000EE430000}"/>
    <cellStyle name="Normal 16 13 2 2 4 4" xfId="19088" xr:uid="{00000000-0005-0000-0000-0000EF430000}"/>
    <cellStyle name="Normal 16 13 2 2 5" xfId="44757" xr:uid="{00000000-0005-0000-0000-0000F0430000}"/>
    <cellStyle name="Normal 16 13 2 2 6" xfId="28657" xr:uid="{00000000-0005-0000-0000-0000F1430000}"/>
    <cellStyle name="Normal 16 13 2 2 7" xfId="15593" xr:uid="{00000000-0005-0000-0000-0000F2430000}"/>
    <cellStyle name="Normal 16 13 2 3" xfId="1969" xr:uid="{00000000-0005-0000-0000-0000F3430000}"/>
    <cellStyle name="Normal 16 13 2 3 2" xfId="8503" xr:uid="{00000000-0005-0000-0000-0000F4430000}"/>
    <cellStyle name="Normal 16 13 2 3 2 2" xfId="40244" xr:uid="{00000000-0005-0000-0000-0000F5430000}"/>
    <cellStyle name="Normal 16 13 2 3 2 2 2" xfId="56344" xr:uid="{00000000-0005-0000-0000-0000F6430000}"/>
    <cellStyle name="Normal 16 13 2 3 2 3" xfId="46777" xr:uid="{00000000-0005-0000-0000-0000F7430000}"/>
    <cellStyle name="Normal 16 13 2 3 2 4" xfId="30677" xr:uid="{00000000-0005-0000-0000-0000F8430000}"/>
    <cellStyle name="Normal 16 13 2 3 2 5" xfId="21108" xr:uid="{00000000-0005-0000-0000-0000F9430000}"/>
    <cellStyle name="Normal 16 13 2 3 3" xfId="11539" xr:uid="{00000000-0005-0000-0000-0000FA430000}"/>
    <cellStyle name="Normal 16 13 2 3 3 2" xfId="49813" xr:uid="{00000000-0005-0000-0000-0000FB430000}"/>
    <cellStyle name="Normal 16 13 2 3 3 3" xfId="33713" xr:uid="{00000000-0005-0000-0000-0000FC430000}"/>
    <cellStyle name="Normal 16 13 2 3 3 4" xfId="24144" xr:uid="{00000000-0005-0000-0000-0000FD430000}"/>
    <cellStyle name="Normal 16 13 2 3 4" xfId="5467" xr:uid="{00000000-0005-0000-0000-0000FE430000}"/>
    <cellStyle name="Normal 16 13 2 3 4 2" xfId="53308" xr:uid="{00000000-0005-0000-0000-0000FF430000}"/>
    <cellStyle name="Normal 16 13 2 3 4 3" xfId="37208" xr:uid="{00000000-0005-0000-0000-000000440000}"/>
    <cellStyle name="Normal 16 13 2 3 4 4" xfId="18072" xr:uid="{00000000-0005-0000-0000-000001440000}"/>
    <cellStyle name="Normal 16 13 2 3 5" xfId="43741" xr:uid="{00000000-0005-0000-0000-000002440000}"/>
    <cellStyle name="Normal 16 13 2 3 6" xfId="27641" xr:uid="{00000000-0005-0000-0000-000003440000}"/>
    <cellStyle name="Normal 16 13 2 3 7" xfId="14577" xr:uid="{00000000-0005-0000-0000-000004440000}"/>
    <cellStyle name="Normal 16 13 2 4" xfId="7493" xr:uid="{00000000-0005-0000-0000-000005440000}"/>
    <cellStyle name="Normal 16 13 2 4 2" xfId="39234" xr:uid="{00000000-0005-0000-0000-000006440000}"/>
    <cellStyle name="Normal 16 13 2 4 2 2" xfId="55334" xr:uid="{00000000-0005-0000-0000-000007440000}"/>
    <cellStyle name="Normal 16 13 2 4 3" xfId="45767" xr:uid="{00000000-0005-0000-0000-000008440000}"/>
    <cellStyle name="Normal 16 13 2 4 4" xfId="29667" xr:uid="{00000000-0005-0000-0000-000009440000}"/>
    <cellStyle name="Normal 16 13 2 4 5" xfId="20098" xr:uid="{00000000-0005-0000-0000-00000A440000}"/>
    <cellStyle name="Normal 16 13 2 5" xfId="10529" xr:uid="{00000000-0005-0000-0000-00000B440000}"/>
    <cellStyle name="Normal 16 13 2 5 2" xfId="48803" xr:uid="{00000000-0005-0000-0000-00000C440000}"/>
    <cellStyle name="Normal 16 13 2 5 3" xfId="32703" xr:uid="{00000000-0005-0000-0000-00000D440000}"/>
    <cellStyle name="Normal 16 13 2 5 4" xfId="23134" xr:uid="{00000000-0005-0000-0000-00000E440000}"/>
    <cellStyle name="Normal 16 13 2 6" xfId="4457" xr:uid="{00000000-0005-0000-0000-00000F440000}"/>
    <cellStyle name="Normal 16 13 2 6 2" xfId="52298" xr:uid="{00000000-0005-0000-0000-000010440000}"/>
    <cellStyle name="Normal 16 13 2 6 3" xfId="36198" xr:uid="{00000000-0005-0000-0000-000011440000}"/>
    <cellStyle name="Normal 16 13 2 6 4" xfId="17062" xr:uid="{00000000-0005-0000-0000-000012440000}"/>
    <cellStyle name="Normal 16 13 2 7" xfId="42731" xr:uid="{00000000-0005-0000-0000-000013440000}"/>
    <cellStyle name="Normal 16 13 2 8" xfId="26631" xr:uid="{00000000-0005-0000-0000-000014440000}"/>
    <cellStyle name="Normal 16 13 2 9" xfId="13567" xr:uid="{00000000-0005-0000-0000-000015440000}"/>
    <cellStyle name="Normal 16 13 3" xfId="2537" xr:uid="{00000000-0005-0000-0000-000016440000}"/>
    <cellStyle name="Normal 16 13 3 2" xfId="9069" xr:uid="{00000000-0005-0000-0000-000017440000}"/>
    <cellStyle name="Normal 16 13 3 2 2" xfId="40810" xr:uid="{00000000-0005-0000-0000-000018440000}"/>
    <cellStyle name="Normal 16 13 3 2 2 2" xfId="56910" xr:uid="{00000000-0005-0000-0000-000019440000}"/>
    <cellStyle name="Normal 16 13 3 2 3" xfId="47343" xr:uid="{00000000-0005-0000-0000-00001A440000}"/>
    <cellStyle name="Normal 16 13 3 2 4" xfId="31243" xr:uid="{00000000-0005-0000-0000-00001B440000}"/>
    <cellStyle name="Normal 16 13 3 2 5" xfId="21674" xr:uid="{00000000-0005-0000-0000-00001C440000}"/>
    <cellStyle name="Normal 16 13 3 3" xfId="12105" xr:uid="{00000000-0005-0000-0000-00001D440000}"/>
    <cellStyle name="Normal 16 13 3 3 2" xfId="50379" xr:uid="{00000000-0005-0000-0000-00001E440000}"/>
    <cellStyle name="Normal 16 13 3 3 3" xfId="34279" xr:uid="{00000000-0005-0000-0000-00001F440000}"/>
    <cellStyle name="Normal 16 13 3 3 4" xfId="24710" xr:uid="{00000000-0005-0000-0000-000020440000}"/>
    <cellStyle name="Normal 16 13 3 4" xfId="6033" xr:uid="{00000000-0005-0000-0000-000021440000}"/>
    <cellStyle name="Normal 16 13 3 4 2" xfId="53874" xr:uid="{00000000-0005-0000-0000-000022440000}"/>
    <cellStyle name="Normal 16 13 3 4 3" xfId="37774" xr:uid="{00000000-0005-0000-0000-000023440000}"/>
    <cellStyle name="Normal 16 13 3 4 4" xfId="18638" xr:uid="{00000000-0005-0000-0000-000024440000}"/>
    <cellStyle name="Normal 16 13 3 5" xfId="44307" xr:uid="{00000000-0005-0000-0000-000025440000}"/>
    <cellStyle name="Normal 16 13 3 6" xfId="28207" xr:uid="{00000000-0005-0000-0000-000026440000}"/>
    <cellStyle name="Normal 16 13 3 7" xfId="15143" xr:uid="{00000000-0005-0000-0000-000027440000}"/>
    <cellStyle name="Normal 16 13 4" xfId="1286" xr:uid="{00000000-0005-0000-0000-000028440000}"/>
    <cellStyle name="Normal 16 13 4 2" xfId="7820" xr:uid="{00000000-0005-0000-0000-000029440000}"/>
    <cellStyle name="Normal 16 13 4 2 2" xfId="39561" xr:uid="{00000000-0005-0000-0000-00002A440000}"/>
    <cellStyle name="Normal 16 13 4 2 2 2" xfId="55661" xr:uid="{00000000-0005-0000-0000-00002B440000}"/>
    <cellStyle name="Normal 16 13 4 2 3" xfId="46094" xr:uid="{00000000-0005-0000-0000-00002C440000}"/>
    <cellStyle name="Normal 16 13 4 2 4" xfId="29994" xr:uid="{00000000-0005-0000-0000-00002D440000}"/>
    <cellStyle name="Normal 16 13 4 2 5" xfId="20425" xr:uid="{00000000-0005-0000-0000-00002E440000}"/>
    <cellStyle name="Normal 16 13 4 3" xfId="10856" xr:uid="{00000000-0005-0000-0000-00002F440000}"/>
    <cellStyle name="Normal 16 13 4 3 2" xfId="49130" xr:uid="{00000000-0005-0000-0000-000030440000}"/>
    <cellStyle name="Normal 16 13 4 3 3" xfId="33030" xr:uid="{00000000-0005-0000-0000-000031440000}"/>
    <cellStyle name="Normal 16 13 4 3 4" xfId="23461" xr:uid="{00000000-0005-0000-0000-000032440000}"/>
    <cellStyle name="Normal 16 13 4 4" xfId="4784" xr:uid="{00000000-0005-0000-0000-000033440000}"/>
    <cellStyle name="Normal 16 13 4 4 2" xfId="52625" xr:uid="{00000000-0005-0000-0000-000034440000}"/>
    <cellStyle name="Normal 16 13 4 4 3" xfId="36525" xr:uid="{00000000-0005-0000-0000-000035440000}"/>
    <cellStyle name="Normal 16 13 4 4 4" xfId="17389" xr:uid="{00000000-0005-0000-0000-000036440000}"/>
    <cellStyle name="Normal 16 13 4 5" xfId="43058" xr:uid="{00000000-0005-0000-0000-000037440000}"/>
    <cellStyle name="Normal 16 13 4 6" xfId="26958" xr:uid="{00000000-0005-0000-0000-000038440000}"/>
    <cellStyle name="Normal 16 13 4 7" xfId="13894" xr:uid="{00000000-0005-0000-0000-000039440000}"/>
    <cellStyle name="Normal 16 13 5" xfId="3774" xr:uid="{00000000-0005-0000-0000-00003A440000}"/>
    <cellStyle name="Normal 16 13 5 2" xfId="35515" xr:uid="{00000000-0005-0000-0000-00003B440000}"/>
    <cellStyle name="Normal 16 13 5 2 2" xfId="51615" xr:uid="{00000000-0005-0000-0000-00003C440000}"/>
    <cellStyle name="Normal 16 13 5 3" xfId="42048" xr:uid="{00000000-0005-0000-0000-00003D440000}"/>
    <cellStyle name="Normal 16 13 5 4" xfId="25948" xr:uid="{00000000-0005-0000-0000-00003E440000}"/>
    <cellStyle name="Normal 16 13 5 5" xfId="16379" xr:uid="{00000000-0005-0000-0000-00003F440000}"/>
    <cellStyle name="Normal 16 13 6" xfId="6810" xr:uid="{00000000-0005-0000-0000-000040440000}"/>
    <cellStyle name="Normal 16 13 6 2" xfId="38551" xr:uid="{00000000-0005-0000-0000-000041440000}"/>
    <cellStyle name="Normal 16 13 6 2 2" xfId="54651" xr:uid="{00000000-0005-0000-0000-000042440000}"/>
    <cellStyle name="Normal 16 13 6 3" xfId="45084" xr:uid="{00000000-0005-0000-0000-000043440000}"/>
    <cellStyle name="Normal 16 13 6 4" xfId="28984" xr:uid="{00000000-0005-0000-0000-000044440000}"/>
    <cellStyle name="Normal 16 13 6 5" xfId="19415" xr:uid="{00000000-0005-0000-0000-000045440000}"/>
    <cellStyle name="Normal 16 13 7" xfId="9846" xr:uid="{00000000-0005-0000-0000-000046440000}"/>
    <cellStyle name="Normal 16 13 7 2" xfId="48120" xr:uid="{00000000-0005-0000-0000-000047440000}"/>
    <cellStyle name="Normal 16 13 7 3" xfId="32020" xr:uid="{00000000-0005-0000-0000-000048440000}"/>
    <cellStyle name="Normal 16 13 7 4" xfId="22451" xr:uid="{00000000-0005-0000-0000-000049440000}"/>
    <cellStyle name="Normal 16 13 8" xfId="3316" xr:uid="{00000000-0005-0000-0000-00004A440000}"/>
    <cellStyle name="Normal 16 13 8 2" xfId="51157" xr:uid="{00000000-0005-0000-0000-00004B440000}"/>
    <cellStyle name="Normal 16 13 8 3" xfId="35057" xr:uid="{00000000-0005-0000-0000-00004C440000}"/>
    <cellStyle name="Normal 16 13 8 4" xfId="15921" xr:uid="{00000000-0005-0000-0000-00004D440000}"/>
    <cellStyle name="Normal 16 13 9" xfId="41590" xr:uid="{00000000-0005-0000-0000-00004E440000}"/>
    <cellStyle name="Normal 16 14" xfId="737" xr:uid="{00000000-0005-0000-0000-00004F440000}"/>
    <cellStyle name="Normal 16 14 10" xfId="13345" xr:uid="{00000000-0005-0000-0000-000050440000}"/>
    <cellStyle name="Normal 16 14 2" xfId="2765" xr:uid="{00000000-0005-0000-0000-000051440000}"/>
    <cellStyle name="Normal 16 14 2 2" xfId="9297" xr:uid="{00000000-0005-0000-0000-000052440000}"/>
    <cellStyle name="Normal 16 14 2 2 2" xfId="41038" xr:uid="{00000000-0005-0000-0000-000053440000}"/>
    <cellStyle name="Normal 16 14 2 2 2 2" xfId="57138" xr:uid="{00000000-0005-0000-0000-000054440000}"/>
    <cellStyle name="Normal 16 14 2 2 3" xfId="47571" xr:uid="{00000000-0005-0000-0000-000055440000}"/>
    <cellStyle name="Normal 16 14 2 2 4" xfId="31471" xr:uid="{00000000-0005-0000-0000-000056440000}"/>
    <cellStyle name="Normal 16 14 2 2 5" xfId="21902" xr:uid="{00000000-0005-0000-0000-000057440000}"/>
    <cellStyle name="Normal 16 14 2 3" xfId="12333" xr:uid="{00000000-0005-0000-0000-000058440000}"/>
    <cellStyle name="Normal 16 14 2 3 2" xfId="50607" xr:uid="{00000000-0005-0000-0000-000059440000}"/>
    <cellStyle name="Normal 16 14 2 3 3" xfId="34507" xr:uid="{00000000-0005-0000-0000-00005A440000}"/>
    <cellStyle name="Normal 16 14 2 3 4" xfId="24938" xr:uid="{00000000-0005-0000-0000-00005B440000}"/>
    <cellStyle name="Normal 16 14 2 4" xfId="6261" xr:uid="{00000000-0005-0000-0000-00005C440000}"/>
    <cellStyle name="Normal 16 14 2 4 2" xfId="54102" xr:uid="{00000000-0005-0000-0000-00005D440000}"/>
    <cellStyle name="Normal 16 14 2 4 3" xfId="38002" xr:uid="{00000000-0005-0000-0000-00005E440000}"/>
    <cellStyle name="Normal 16 14 2 4 4" xfId="18866" xr:uid="{00000000-0005-0000-0000-00005F440000}"/>
    <cellStyle name="Normal 16 14 2 5" xfId="44535" xr:uid="{00000000-0005-0000-0000-000060440000}"/>
    <cellStyle name="Normal 16 14 2 6" xfId="28435" xr:uid="{00000000-0005-0000-0000-000061440000}"/>
    <cellStyle name="Normal 16 14 2 7" xfId="15371" xr:uid="{00000000-0005-0000-0000-000062440000}"/>
    <cellStyle name="Normal 16 14 3" xfId="1747" xr:uid="{00000000-0005-0000-0000-000063440000}"/>
    <cellStyle name="Normal 16 14 3 2" xfId="8281" xr:uid="{00000000-0005-0000-0000-000064440000}"/>
    <cellStyle name="Normal 16 14 3 2 2" xfId="40022" xr:uid="{00000000-0005-0000-0000-000065440000}"/>
    <cellStyle name="Normal 16 14 3 2 2 2" xfId="56122" xr:uid="{00000000-0005-0000-0000-000066440000}"/>
    <cellStyle name="Normal 16 14 3 2 3" xfId="46555" xr:uid="{00000000-0005-0000-0000-000067440000}"/>
    <cellStyle name="Normal 16 14 3 2 4" xfId="30455" xr:uid="{00000000-0005-0000-0000-000068440000}"/>
    <cellStyle name="Normal 16 14 3 2 5" xfId="20886" xr:uid="{00000000-0005-0000-0000-000069440000}"/>
    <cellStyle name="Normal 16 14 3 3" xfId="11317" xr:uid="{00000000-0005-0000-0000-00006A440000}"/>
    <cellStyle name="Normal 16 14 3 3 2" xfId="49591" xr:uid="{00000000-0005-0000-0000-00006B440000}"/>
    <cellStyle name="Normal 16 14 3 3 3" xfId="33491" xr:uid="{00000000-0005-0000-0000-00006C440000}"/>
    <cellStyle name="Normal 16 14 3 3 4" xfId="23922" xr:uid="{00000000-0005-0000-0000-00006D440000}"/>
    <cellStyle name="Normal 16 14 3 4" xfId="5245" xr:uid="{00000000-0005-0000-0000-00006E440000}"/>
    <cellStyle name="Normal 16 14 3 4 2" xfId="53086" xr:uid="{00000000-0005-0000-0000-00006F440000}"/>
    <cellStyle name="Normal 16 14 3 4 3" xfId="36986" xr:uid="{00000000-0005-0000-0000-000070440000}"/>
    <cellStyle name="Normal 16 14 3 4 4" xfId="17850" xr:uid="{00000000-0005-0000-0000-000071440000}"/>
    <cellStyle name="Normal 16 14 3 5" xfId="43519" xr:uid="{00000000-0005-0000-0000-000072440000}"/>
    <cellStyle name="Normal 16 14 3 6" xfId="27419" xr:uid="{00000000-0005-0000-0000-000073440000}"/>
    <cellStyle name="Normal 16 14 3 7" xfId="14355" xr:uid="{00000000-0005-0000-0000-000074440000}"/>
    <cellStyle name="Normal 16 14 4" xfId="4235" xr:uid="{00000000-0005-0000-0000-000075440000}"/>
    <cellStyle name="Normal 16 14 4 2" xfId="35976" xr:uid="{00000000-0005-0000-0000-000076440000}"/>
    <cellStyle name="Normal 16 14 4 2 2" xfId="52076" xr:uid="{00000000-0005-0000-0000-000077440000}"/>
    <cellStyle name="Normal 16 14 4 3" xfId="42509" xr:uid="{00000000-0005-0000-0000-000078440000}"/>
    <cellStyle name="Normal 16 14 4 4" xfId="26409" xr:uid="{00000000-0005-0000-0000-000079440000}"/>
    <cellStyle name="Normal 16 14 4 5" xfId="16840" xr:uid="{00000000-0005-0000-0000-00007A440000}"/>
    <cellStyle name="Normal 16 14 5" xfId="7271" xr:uid="{00000000-0005-0000-0000-00007B440000}"/>
    <cellStyle name="Normal 16 14 5 2" xfId="39012" xr:uid="{00000000-0005-0000-0000-00007C440000}"/>
    <cellStyle name="Normal 16 14 5 2 2" xfId="55112" xr:uid="{00000000-0005-0000-0000-00007D440000}"/>
    <cellStyle name="Normal 16 14 5 3" xfId="45545" xr:uid="{00000000-0005-0000-0000-00007E440000}"/>
    <cellStyle name="Normal 16 14 5 4" xfId="29445" xr:uid="{00000000-0005-0000-0000-00007F440000}"/>
    <cellStyle name="Normal 16 14 5 5" xfId="19876" xr:uid="{00000000-0005-0000-0000-000080440000}"/>
    <cellStyle name="Normal 16 14 6" xfId="10307" xr:uid="{00000000-0005-0000-0000-000081440000}"/>
    <cellStyle name="Normal 16 14 6 2" xfId="48581" xr:uid="{00000000-0005-0000-0000-000082440000}"/>
    <cellStyle name="Normal 16 14 6 3" xfId="32481" xr:uid="{00000000-0005-0000-0000-000083440000}"/>
    <cellStyle name="Normal 16 14 6 4" xfId="22912" xr:uid="{00000000-0005-0000-0000-000084440000}"/>
    <cellStyle name="Normal 16 14 7" xfId="3330" xr:uid="{00000000-0005-0000-0000-000085440000}"/>
    <cellStyle name="Normal 16 14 7 2" xfId="51171" xr:uid="{00000000-0005-0000-0000-000086440000}"/>
    <cellStyle name="Normal 16 14 7 3" xfId="35071" xr:uid="{00000000-0005-0000-0000-000087440000}"/>
    <cellStyle name="Normal 16 14 7 4" xfId="15935" xr:uid="{00000000-0005-0000-0000-000088440000}"/>
    <cellStyle name="Normal 16 14 8" xfId="41604" xr:uid="{00000000-0005-0000-0000-000089440000}"/>
    <cellStyle name="Normal 16 14 9" xfId="25504" xr:uid="{00000000-0005-0000-0000-00008A440000}"/>
    <cellStyle name="Normal 16 15" xfId="2074" xr:uid="{00000000-0005-0000-0000-00008B440000}"/>
    <cellStyle name="Normal 16 15 2" xfId="8608" xr:uid="{00000000-0005-0000-0000-00008C440000}"/>
    <cellStyle name="Normal 16 15 2 2" xfId="40349" xr:uid="{00000000-0005-0000-0000-00008D440000}"/>
    <cellStyle name="Normal 16 15 2 2 2" xfId="56449" xr:uid="{00000000-0005-0000-0000-00008E440000}"/>
    <cellStyle name="Normal 16 15 2 3" xfId="46882" xr:uid="{00000000-0005-0000-0000-00008F440000}"/>
    <cellStyle name="Normal 16 15 2 4" xfId="30782" xr:uid="{00000000-0005-0000-0000-000090440000}"/>
    <cellStyle name="Normal 16 15 2 5" xfId="21213" xr:uid="{00000000-0005-0000-0000-000091440000}"/>
    <cellStyle name="Normal 16 15 3" xfId="11644" xr:uid="{00000000-0005-0000-0000-000092440000}"/>
    <cellStyle name="Normal 16 15 3 2" xfId="49918" xr:uid="{00000000-0005-0000-0000-000093440000}"/>
    <cellStyle name="Normal 16 15 3 3" xfId="33818" xr:uid="{00000000-0005-0000-0000-000094440000}"/>
    <cellStyle name="Normal 16 15 3 4" xfId="24249" xr:uid="{00000000-0005-0000-0000-000095440000}"/>
    <cellStyle name="Normal 16 15 4" xfId="5572" xr:uid="{00000000-0005-0000-0000-000096440000}"/>
    <cellStyle name="Normal 16 15 4 2" xfId="53413" xr:uid="{00000000-0005-0000-0000-000097440000}"/>
    <cellStyle name="Normal 16 15 4 3" xfId="37313" xr:uid="{00000000-0005-0000-0000-000098440000}"/>
    <cellStyle name="Normal 16 15 4 4" xfId="18177" xr:uid="{00000000-0005-0000-0000-000099440000}"/>
    <cellStyle name="Normal 16 15 5" xfId="43846" xr:uid="{00000000-0005-0000-0000-00009A440000}"/>
    <cellStyle name="Normal 16 15 6" xfId="27746" xr:uid="{00000000-0005-0000-0000-00009B440000}"/>
    <cellStyle name="Normal 16 15 7" xfId="14682" xr:uid="{00000000-0005-0000-0000-00009C440000}"/>
    <cellStyle name="Normal 16 16" xfId="1064" xr:uid="{00000000-0005-0000-0000-00009D440000}"/>
    <cellStyle name="Normal 16 16 2" xfId="7598" xr:uid="{00000000-0005-0000-0000-00009E440000}"/>
    <cellStyle name="Normal 16 16 2 2" xfId="39339" xr:uid="{00000000-0005-0000-0000-00009F440000}"/>
    <cellStyle name="Normal 16 16 2 2 2" xfId="55439" xr:uid="{00000000-0005-0000-0000-0000A0440000}"/>
    <cellStyle name="Normal 16 16 2 3" xfId="45872" xr:uid="{00000000-0005-0000-0000-0000A1440000}"/>
    <cellStyle name="Normal 16 16 2 4" xfId="29772" xr:uid="{00000000-0005-0000-0000-0000A2440000}"/>
    <cellStyle name="Normal 16 16 2 5" xfId="20203" xr:uid="{00000000-0005-0000-0000-0000A3440000}"/>
    <cellStyle name="Normal 16 16 3" xfId="10634" xr:uid="{00000000-0005-0000-0000-0000A4440000}"/>
    <cellStyle name="Normal 16 16 3 2" xfId="48908" xr:uid="{00000000-0005-0000-0000-0000A5440000}"/>
    <cellStyle name="Normal 16 16 3 3" xfId="32808" xr:uid="{00000000-0005-0000-0000-0000A6440000}"/>
    <cellStyle name="Normal 16 16 3 4" xfId="23239" xr:uid="{00000000-0005-0000-0000-0000A7440000}"/>
    <cellStyle name="Normal 16 16 4" xfId="4562" xr:uid="{00000000-0005-0000-0000-0000A8440000}"/>
    <cellStyle name="Normal 16 16 4 2" xfId="52403" xr:uid="{00000000-0005-0000-0000-0000A9440000}"/>
    <cellStyle name="Normal 16 16 4 3" xfId="36303" xr:uid="{00000000-0005-0000-0000-0000AA440000}"/>
    <cellStyle name="Normal 16 16 4 4" xfId="17167" xr:uid="{00000000-0005-0000-0000-0000AB440000}"/>
    <cellStyle name="Normal 16 16 5" xfId="42836" xr:uid="{00000000-0005-0000-0000-0000AC440000}"/>
    <cellStyle name="Normal 16 16 6" xfId="26736" xr:uid="{00000000-0005-0000-0000-0000AD440000}"/>
    <cellStyle name="Normal 16 16 7" xfId="13672" xr:uid="{00000000-0005-0000-0000-0000AE440000}"/>
    <cellStyle name="Normal 16 17" xfId="3552" xr:uid="{00000000-0005-0000-0000-0000AF440000}"/>
    <cellStyle name="Normal 16 17 2" xfId="35293" xr:uid="{00000000-0005-0000-0000-0000B0440000}"/>
    <cellStyle name="Normal 16 17 2 2" xfId="51393" xr:uid="{00000000-0005-0000-0000-0000B1440000}"/>
    <cellStyle name="Normal 16 17 3" xfId="41826" xr:uid="{00000000-0005-0000-0000-0000B2440000}"/>
    <cellStyle name="Normal 16 17 4" xfId="25726" xr:uid="{00000000-0005-0000-0000-0000B3440000}"/>
    <cellStyle name="Normal 16 17 5" xfId="16157" xr:uid="{00000000-0005-0000-0000-0000B4440000}"/>
    <cellStyle name="Normal 16 18" xfId="6588" xr:uid="{00000000-0005-0000-0000-0000B5440000}"/>
    <cellStyle name="Normal 16 18 2" xfId="38329" xr:uid="{00000000-0005-0000-0000-0000B6440000}"/>
    <cellStyle name="Normal 16 18 2 2" xfId="54429" xr:uid="{00000000-0005-0000-0000-0000B7440000}"/>
    <cellStyle name="Normal 16 18 3" xfId="44862" xr:uid="{00000000-0005-0000-0000-0000B8440000}"/>
    <cellStyle name="Normal 16 18 4" xfId="28762" xr:uid="{00000000-0005-0000-0000-0000B9440000}"/>
    <cellStyle name="Normal 16 18 5" xfId="19193" xr:uid="{00000000-0005-0000-0000-0000BA440000}"/>
    <cellStyle name="Normal 16 19" xfId="9624" xr:uid="{00000000-0005-0000-0000-0000BB440000}"/>
    <cellStyle name="Normal 16 19 2" xfId="47898" xr:uid="{00000000-0005-0000-0000-0000BC440000}"/>
    <cellStyle name="Normal 16 19 3" xfId="31798" xr:uid="{00000000-0005-0000-0000-0000BD440000}"/>
    <cellStyle name="Normal 16 19 4" xfId="22229" xr:uid="{00000000-0005-0000-0000-0000BE440000}"/>
    <cellStyle name="Normal 16 2" xfId="69" xr:uid="{00000000-0005-0000-0000-0000BF440000}"/>
    <cellStyle name="Normal 16 2 10" xfId="3570" xr:uid="{00000000-0005-0000-0000-0000C0440000}"/>
    <cellStyle name="Normal 16 2 10 2" xfId="35311" xr:uid="{00000000-0005-0000-0000-0000C1440000}"/>
    <cellStyle name="Normal 16 2 10 2 2" xfId="51411" xr:uid="{00000000-0005-0000-0000-0000C2440000}"/>
    <cellStyle name="Normal 16 2 10 3" xfId="41844" xr:uid="{00000000-0005-0000-0000-0000C3440000}"/>
    <cellStyle name="Normal 16 2 10 4" xfId="25744" xr:uid="{00000000-0005-0000-0000-0000C4440000}"/>
    <cellStyle name="Normal 16 2 10 5" xfId="16175" xr:uid="{00000000-0005-0000-0000-0000C5440000}"/>
    <cellStyle name="Normal 16 2 11" xfId="6606" xr:uid="{00000000-0005-0000-0000-0000C6440000}"/>
    <cellStyle name="Normal 16 2 11 2" xfId="38347" xr:uid="{00000000-0005-0000-0000-0000C7440000}"/>
    <cellStyle name="Normal 16 2 11 2 2" xfId="54447" xr:uid="{00000000-0005-0000-0000-0000C8440000}"/>
    <cellStyle name="Normal 16 2 11 3" xfId="44880" xr:uid="{00000000-0005-0000-0000-0000C9440000}"/>
    <cellStyle name="Normal 16 2 11 4" xfId="28780" xr:uid="{00000000-0005-0000-0000-0000CA440000}"/>
    <cellStyle name="Normal 16 2 11 5" xfId="19211" xr:uid="{00000000-0005-0000-0000-0000CB440000}"/>
    <cellStyle name="Normal 16 2 12" xfId="9642" xr:uid="{00000000-0005-0000-0000-0000CC440000}"/>
    <cellStyle name="Normal 16 2 12 2" xfId="47916" xr:uid="{00000000-0005-0000-0000-0000CD440000}"/>
    <cellStyle name="Normal 16 2 12 3" xfId="31816" xr:uid="{00000000-0005-0000-0000-0000CE440000}"/>
    <cellStyle name="Normal 16 2 12 4" xfId="22247" xr:uid="{00000000-0005-0000-0000-0000CF440000}"/>
    <cellStyle name="Normal 16 2 13" xfId="3110" xr:uid="{00000000-0005-0000-0000-0000D0440000}"/>
    <cellStyle name="Normal 16 2 13 2" xfId="50952" xr:uid="{00000000-0005-0000-0000-0000D1440000}"/>
    <cellStyle name="Normal 16 2 13 3" xfId="34852" xr:uid="{00000000-0005-0000-0000-0000D2440000}"/>
    <cellStyle name="Normal 16 2 13 4" xfId="15716" xr:uid="{00000000-0005-0000-0000-0000D3440000}"/>
    <cellStyle name="Normal 16 2 14" xfId="41385" xr:uid="{00000000-0005-0000-0000-0000D4440000}"/>
    <cellStyle name="Normal 16 2 15" xfId="25285" xr:uid="{00000000-0005-0000-0000-0000D5440000}"/>
    <cellStyle name="Normal 16 2 16" xfId="12680" xr:uid="{00000000-0005-0000-0000-0000D6440000}"/>
    <cellStyle name="Normal 16 2 2" xfId="140" xr:uid="{00000000-0005-0000-0000-0000D7440000}"/>
    <cellStyle name="Normal 16 2 2 10" xfId="9688" xr:uid="{00000000-0005-0000-0000-0000D8440000}"/>
    <cellStyle name="Normal 16 2 2 10 2" xfId="47962" xr:uid="{00000000-0005-0000-0000-0000D9440000}"/>
    <cellStyle name="Normal 16 2 2 10 3" xfId="31862" xr:uid="{00000000-0005-0000-0000-0000DA440000}"/>
    <cellStyle name="Normal 16 2 2 10 4" xfId="22293" xr:uid="{00000000-0005-0000-0000-0000DB440000}"/>
    <cellStyle name="Normal 16 2 2 11" xfId="3156" xr:uid="{00000000-0005-0000-0000-0000DC440000}"/>
    <cellStyle name="Normal 16 2 2 11 2" xfId="50998" xr:uid="{00000000-0005-0000-0000-0000DD440000}"/>
    <cellStyle name="Normal 16 2 2 11 3" xfId="34898" xr:uid="{00000000-0005-0000-0000-0000DE440000}"/>
    <cellStyle name="Normal 16 2 2 11 4" xfId="15762" xr:uid="{00000000-0005-0000-0000-0000DF440000}"/>
    <cellStyle name="Normal 16 2 2 12" xfId="41431" xr:uid="{00000000-0005-0000-0000-0000E0440000}"/>
    <cellStyle name="Normal 16 2 2 13" xfId="25331" xr:uid="{00000000-0005-0000-0000-0000E1440000}"/>
    <cellStyle name="Normal 16 2 2 14" xfId="12726" xr:uid="{00000000-0005-0000-0000-0000E2440000}"/>
    <cellStyle name="Normal 16 2 2 2" xfId="215" xr:uid="{00000000-0005-0000-0000-0000E3440000}"/>
    <cellStyle name="Normal 16 2 2 2 10" xfId="41668" xr:uid="{00000000-0005-0000-0000-0000E4440000}"/>
    <cellStyle name="Normal 16 2 2 2 11" xfId="25568" xr:uid="{00000000-0005-0000-0000-0000E5440000}"/>
    <cellStyle name="Normal 16 2 2 2 12" xfId="13044" xr:uid="{00000000-0005-0000-0000-0000E6440000}"/>
    <cellStyle name="Normal 16 2 2 2 2" xfId="392" xr:uid="{00000000-0005-0000-0000-0000E7440000}"/>
    <cellStyle name="Normal 16 2 2 2 2 2" xfId="2411" xr:uid="{00000000-0005-0000-0000-0000E8440000}"/>
    <cellStyle name="Normal 16 2 2 2 2 2 2" xfId="8945" xr:uid="{00000000-0005-0000-0000-0000E9440000}"/>
    <cellStyle name="Normal 16 2 2 2 2 2 2 2" xfId="40686" xr:uid="{00000000-0005-0000-0000-0000EA440000}"/>
    <cellStyle name="Normal 16 2 2 2 2 2 2 2 2" xfId="56786" xr:uid="{00000000-0005-0000-0000-0000EB440000}"/>
    <cellStyle name="Normal 16 2 2 2 2 2 2 3" xfId="47219" xr:uid="{00000000-0005-0000-0000-0000EC440000}"/>
    <cellStyle name="Normal 16 2 2 2 2 2 2 4" xfId="31119" xr:uid="{00000000-0005-0000-0000-0000ED440000}"/>
    <cellStyle name="Normal 16 2 2 2 2 2 2 5" xfId="21550" xr:uid="{00000000-0005-0000-0000-0000EE440000}"/>
    <cellStyle name="Normal 16 2 2 2 2 2 3" xfId="11981" xr:uid="{00000000-0005-0000-0000-0000EF440000}"/>
    <cellStyle name="Normal 16 2 2 2 2 2 3 2" xfId="50255" xr:uid="{00000000-0005-0000-0000-0000F0440000}"/>
    <cellStyle name="Normal 16 2 2 2 2 2 3 3" xfId="34155" xr:uid="{00000000-0005-0000-0000-0000F1440000}"/>
    <cellStyle name="Normal 16 2 2 2 2 2 3 4" xfId="24586" xr:uid="{00000000-0005-0000-0000-0000F2440000}"/>
    <cellStyle name="Normal 16 2 2 2 2 2 4" xfId="5909" xr:uid="{00000000-0005-0000-0000-0000F3440000}"/>
    <cellStyle name="Normal 16 2 2 2 2 2 4 2" xfId="53750" xr:uid="{00000000-0005-0000-0000-0000F4440000}"/>
    <cellStyle name="Normal 16 2 2 2 2 2 4 3" xfId="37650" xr:uid="{00000000-0005-0000-0000-0000F5440000}"/>
    <cellStyle name="Normal 16 2 2 2 2 2 4 4" xfId="18514" xr:uid="{00000000-0005-0000-0000-0000F6440000}"/>
    <cellStyle name="Normal 16 2 2 2 2 2 5" xfId="44183" xr:uid="{00000000-0005-0000-0000-0000F7440000}"/>
    <cellStyle name="Normal 16 2 2 2 2 2 6" xfId="28083" xr:uid="{00000000-0005-0000-0000-0000F8440000}"/>
    <cellStyle name="Normal 16 2 2 2 2 2 7" xfId="15019" xr:uid="{00000000-0005-0000-0000-0000F9440000}"/>
    <cellStyle name="Normal 16 2 2 2 2 3" xfId="1623" xr:uid="{00000000-0005-0000-0000-0000FA440000}"/>
    <cellStyle name="Normal 16 2 2 2 2 3 2" xfId="8157" xr:uid="{00000000-0005-0000-0000-0000FB440000}"/>
    <cellStyle name="Normal 16 2 2 2 2 3 2 2" xfId="39898" xr:uid="{00000000-0005-0000-0000-0000FC440000}"/>
    <cellStyle name="Normal 16 2 2 2 2 3 2 2 2" xfId="55998" xr:uid="{00000000-0005-0000-0000-0000FD440000}"/>
    <cellStyle name="Normal 16 2 2 2 2 3 2 3" xfId="46431" xr:uid="{00000000-0005-0000-0000-0000FE440000}"/>
    <cellStyle name="Normal 16 2 2 2 2 3 2 4" xfId="30331" xr:uid="{00000000-0005-0000-0000-0000FF440000}"/>
    <cellStyle name="Normal 16 2 2 2 2 3 2 5" xfId="20762" xr:uid="{00000000-0005-0000-0000-000000450000}"/>
    <cellStyle name="Normal 16 2 2 2 2 3 3" xfId="11193" xr:uid="{00000000-0005-0000-0000-000001450000}"/>
    <cellStyle name="Normal 16 2 2 2 2 3 3 2" xfId="49467" xr:uid="{00000000-0005-0000-0000-000002450000}"/>
    <cellStyle name="Normal 16 2 2 2 2 3 3 3" xfId="33367" xr:uid="{00000000-0005-0000-0000-000003450000}"/>
    <cellStyle name="Normal 16 2 2 2 2 3 3 4" xfId="23798" xr:uid="{00000000-0005-0000-0000-000004450000}"/>
    <cellStyle name="Normal 16 2 2 2 2 3 4" xfId="5121" xr:uid="{00000000-0005-0000-0000-000005450000}"/>
    <cellStyle name="Normal 16 2 2 2 2 3 4 2" xfId="52962" xr:uid="{00000000-0005-0000-0000-000006450000}"/>
    <cellStyle name="Normal 16 2 2 2 2 3 4 3" xfId="36862" xr:uid="{00000000-0005-0000-0000-000007450000}"/>
    <cellStyle name="Normal 16 2 2 2 2 3 4 4" xfId="17726" xr:uid="{00000000-0005-0000-0000-000008450000}"/>
    <cellStyle name="Normal 16 2 2 2 2 3 5" xfId="43395" xr:uid="{00000000-0005-0000-0000-000009450000}"/>
    <cellStyle name="Normal 16 2 2 2 2 3 6" xfId="27295" xr:uid="{00000000-0005-0000-0000-00000A450000}"/>
    <cellStyle name="Normal 16 2 2 2 2 3 7" xfId="14231" xr:uid="{00000000-0005-0000-0000-00000B450000}"/>
    <cellStyle name="Normal 16 2 2 2 2 4" xfId="7147" xr:uid="{00000000-0005-0000-0000-00000C450000}"/>
    <cellStyle name="Normal 16 2 2 2 2 4 2" xfId="38888" xr:uid="{00000000-0005-0000-0000-00000D450000}"/>
    <cellStyle name="Normal 16 2 2 2 2 4 2 2" xfId="54988" xr:uid="{00000000-0005-0000-0000-00000E450000}"/>
    <cellStyle name="Normal 16 2 2 2 2 4 3" xfId="45421" xr:uid="{00000000-0005-0000-0000-00000F450000}"/>
    <cellStyle name="Normal 16 2 2 2 2 4 4" xfId="29321" xr:uid="{00000000-0005-0000-0000-000010450000}"/>
    <cellStyle name="Normal 16 2 2 2 2 4 5" xfId="19752" xr:uid="{00000000-0005-0000-0000-000011450000}"/>
    <cellStyle name="Normal 16 2 2 2 2 5" xfId="10183" xr:uid="{00000000-0005-0000-0000-000012450000}"/>
    <cellStyle name="Normal 16 2 2 2 2 5 2" xfId="48457" xr:uid="{00000000-0005-0000-0000-000013450000}"/>
    <cellStyle name="Normal 16 2 2 2 2 5 3" xfId="32357" xr:uid="{00000000-0005-0000-0000-000014450000}"/>
    <cellStyle name="Normal 16 2 2 2 2 5 4" xfId="22788" xr:uid="{00000000-0005-0000-0000-000015450000}"/>
    <cellStyle name="Normal 16 2 2 2 2 6" xfId="4111" xr:uid="{00000000-0005-0000-0000-000016450000}"/>
    <cellStyle name="Normal 16 2 2 2 2 6 2" xfId="51952" xr:uid="{00000000-0005-0000-0000-000017450000}"/>
    <cellStyle name="Normal 16 2 2 2 2 6 3" xfId="35852" xr:uid="{00000000-0005-0000-0000-000018450000}"/>
    <cellStyle name="Normal 16 2 2 2 2 6 4" xfId="16716" xr:uid="{00000000-0005-0000-0000-000019450000}"/>
    <cellStyle name="Normal 16 2 2 2 2 7" xfId="42385" xr:uid="{00000000-0005-0000-0000-00001A450000}"/>
    <cellStyle name="Normal 16 2 2 2 2 8" xfId="26285" xr:uid="{00000000-0005-0000-0000-00001B450000}"/>
    <cellStyle name="Normal 16 2 2 2 2 9" xfId="13221" xr:uid="{00000000-0005-0000-0000-00001C450000}"/>
    <cellStyle name="Normal 16 2 2 2 3" xfId="1030" xr:uid="{00000000-0005-0000-0000-00001D450000}"/>
    <cellStyle name="Normal 16 2 2 2 3 2" xfId="3058" xr:uid="{00000000-0005-0000-0000-00001E450000}"/>
    <cellStyle name="Normal 16 2 2 2 3 2 2" xfId="9590" xr:uid="{00000000-0005-0000-0000-00001F450000}"/>
    <cellStyle name="Normal 16 2 2 2 3 2 2 2" xfId="41331" xr:uid="{00000000-0005-0000-0000-000020450000}"/>
    <cellStyle name="Normal 16 2 2 2 3 2 2 2 2" xfId="57431" xr:uid="{00000000-0005-0000-0000-000021450000}"/>
    <cellStyle name="Normal 16 2 2 2 3 2 2 3" xfId="47864" xr:uid="{00000000-0005-0000-0000-000022450000}"/>
    <cellStyle name="Normal 16 2 2 2 3 2 2 4" xfId="31764" xr:uid="{00000000-0005-0000-0000-000023450000}"/>
    <cellStyle name="Normal 16 2 2 2 3 2 2 5" xfId="22195" xr:uid="{00000000-0005-0000-0000-000024450000}"/>
    <cellStyle name="Normal 16 2 2 2 3 2 3" xfId="12626" xr:uid="{00000000-0005-0000-0000-000025450000}"/>
    <cellStyle name="Normal 16 2 2 2 3 2 3 2" xfId="50900" xr:uid="{00000000-0005-0000-0000-000026450000}"/>
    <cellStyle name="Normal 16 2 2 2 3 2 3 3" xfId="34800" xr:uid="{00000000-0005-0000-0000-000027450000}"/>
    <cellStyle name="Normal 16 2 2 2 3 2 3 4" xfId="25231" xr:uid="{00000000-0005-0000-0000-000028450000}"/>
    <cellStyle name="Normal 16 2 2 2 3 2 4" xfId="6554" xr:uid="{00000000-0005-0000-0000-000029450000}"/>
    <cellStyle name="Normal 16 2 2 2 3 2 4 2" xfId="54395" xr:uid="{00000000-0005-0000-0000-00002A450000}"/>
    <cellStyle name="Normal 16 2 2 2 3 2 4 3" xfId="38295" xr:uid="{00000000-0005-0000-0000-00002B450000}"/>
    <cellStyle name="Normal 16 2 2 2 3 2 4 4" xfId="19159" xr:uid="{00000000-0005-0000-0000-00002C450000}"/>
    <cellStyle name="Normal 16 2 2 2 3 2 5" xfId="44828" xr:uid="{00000000-0005-0000-0000-00002D450000}"/>
    <cellStyle name="Normal 16 2 2 2 3 2 6" xfId="28728" xr:uid="{00000000-0005-0000-0000-00002E450000}"/>
    <cellStyle name="Normal 16 2 2 2 3 2 7" xfId="15664" xr:uid="{00000000-0005-0000-0000-00002F450000}"/>
    <cellStyle name="Normal 16 2 2 2 3 3" xfId="2040" xr:uid="{00000000-0005-0000-0000-000030450000}"/>
    <cellStyle name="Normal 16 2 2 2 3 3 2" xfId="8574" xr:uid="{00000000-0005-0000-0000-000031450000}"/>
    <cellStyle name="Normal 16 2 2 2 3 3 2 2" xfId="40315" xr:uid="{00000000-0005-0000-0000-000032450000}"/>
    <cellStyle name="Normal 16 2 2 2 3 3 2 2 2" xfId="56415" xr:uid="{00000000-0005-0000-0000-000033450000}"/>
    <cellStyle name="Normal 16 2 2 2 3 3 2 3" xfId="46848" xr:uid="{00000000-0005-0000-0000-000034450000}"/>
    <cellStyle name="Normal 16 2 2 2 3 3 2 4" xfId="30748" xr:uid="{00000000-0005-0000-0000-000035450000}"/>
    <cellStyle name="Normal 16 2 2 2 3 3 2 5" xfId="21179" xr:uid="{00000000-0005-0000-0000-000036450000}"/>
    <cellStyle name="Normal 16 2 2 2 3 3 3" xfId="11610" xr:uid="{00000000-0005-0000-0000-000037450000}"/>
    <cellStyle name="Normal 16 2 2 2 3 3 3 2" xfId="49884" xr:uid="{00000000-0005-0000-0000-000038450000}"/>
    <cellStyle name="Normal 16 2 2 2 3 3 3 3" xfId="33784" xr:uid="{00000000-0005-0000-0000-000039450000}"/>
    <cellStyle name="Normal 16 2 2 2 3 3 3 4" xfId="24215" xr:uid="{00000000-0005-0000-0000-00003A450000}"/>
    <cellStyle name="Normal 16 2 2 2 3 3 4" xfId="5538" xr:uid="{00000000-0005-0000-0000-00003B450000}"/>
    <cellStyle name="Normal 16 2 2 2 3 3 4 2" xfId="53379" xr:uid="{00000000-0005-0000-0000-00003C450000}"/>
    <cellStyle name="Normal 16 2 2 2 3 3 4 3" xfId="37279" xr:uid="{00000000-0005-0000-0000-00003D450000}"/>
    <cellStyle name="Normal 16 2 2 2 3 3 4 4" xfId="18143" xr:uid="{00000000-0005-0000-0000-00003E450000}"/>
    <cellStyle name="Normal 16 2 2 2 3 3 5" xfId="43812" xr:uid="{00000000-0005-0000-0000-00003F450000}"/>
    <cellStyle name="Normal 16 2 2 2 3 3 6" xfId="27712" xr:uid="{00000000-0005-0000-0000-000040450000}"/>
    <cellStyle name="Normal 16 2 2 2 3 3 7" xfId="14648" xr:uid="{00000000-0005-0000-0000-000041450000}"/>
    <cellStyle name="Normal 16 2 2 2 3 4" xfId="7564" xr:uid="{00000000-0005-0000-0000-000042450000}"/>
    <cellStyle name="Normal 16 2 2 2 3 4 2" xfId="39305" xr:uid="{00000000-0005-0000-0000-000043450000}"/>
    <cellStyle name="Normal 16 2 2 2 3 4 2 2" xfId="55405" xr:uid="{00000000-0005-0000-0000-000044450000}"/>
    <cellStyle name="Normal 16 2 2 2 3 4 3" xfId="45838" xr:uid="{00000000-0005-0000-0000-000045450000}"/>
    <cellStyle name="Normal 16 2 2 2 3 4 4" xfId="29738" xr:uid="{00000000-0005-0000-0000-000046450000}"/>
    <cellStyle name="Normal 16 2 2 2 3 4 5" xfId="20169" xr:uid="{00000000-0005-0000-0000-000047450000}"/>
    <cellStyle name="Normal 16 2 2 2 3 5" xfId="10600" xr:uid="{00000000-0005-0000-0000-000048450000}"/>
    <cellStyle name="Normal 16 2 2 2 3 5 2" xfId="48874" xr:uid="{00000000-0005-0000-0000-000049450000}"/>
    <cellStyle name="Normal 16 2 2 2 3 5 3" xfId="32774" xr:uid="{00000000-0005-0000-0000-00004A450000}"/>
    <cellStyle name="Normal 16 2 2 2 3 5 4" xfId="23205" xr:uid="{00000000-0005-0000-0000-00004B450000}"/>
    <cellStyle name="Normal 16 2 2 2 3 6" xfId="4528" xr:uid="{00000000-0005-0000-0000-00004C450000}"/>
    <cellStyle name="Normal 16 2 2 2 3 6 2" xfId="52369" xr:uid="{00000000-0005-0000-0000-00004D450000}"/>
    <cellStyle name="Normal 16 2 2 2 3 6 3" xfId="36269" xr:uid="{00000000-0005-0000-0000-00004E450000}"/>
    <cellStyle name="Normal 16 2 2 2 3 6 4" xfId="17133" xr:uid="{00000000-0005-0000-0000-00004F450000}"/>
    <cellStyle name="Normal 16 2 2 2 3 7" xfId="42802" xr:uid="{00000000-0005-0000-0000-000050450000}"/>
    <cellStyle name="Normal 16 2 2 2 3 8" xfId="26702" xr:uid="{00000000-0005-0000-0000-000051450000}"/>
    <cellStyle name="Normal 16 2 2 2 3 9" xfId="13638" xr:uid="{00000000-0005-0000-0000-000052450000}"/>
    <cellStyle name="Normal 16 2 2 2 4" xfId="2234" xr:uid="{00000000-0005-0000-0000-000053450000}"/>
    <cellStyle name="Normal 16 2 2 2 4 2" xfId="8768" xr:uid="{00000000-0005-0000-0000-000054450000}"/>
    <cellStyle name="Normal 16 2 2 2 4 2 2" xfId="40509" xr:uid="{00000000-0005-0000-0000-000055450000}"/>
    <cellStyle name="Normal 16 2 2 2 4 2 2 2" xfId="56609" xr:uid="{00000000-0005-0000-0000-000056450000}"/>
    <cellStyle name="Normal 16 2 2 2 4 2 3" xfId="47042" xr:uid="{00000000-0005-0000-0000-000057450000}"/>
    <cellStyle name="Normal 16 2 2 2 4 2 4" xfId="30942" xr:uid="{00000000-0005-0000-0000-000058450000}"/>
    <cellStyle name="Normal 16 2 2 2 4 2 5" xfId="21373" xr:uid="{00000000-0005-0000-0000-000059450000}"/>
    <cellStyle name="Normal 16 2 2 2 4 3" xfId="11804" xr:uid="{00000000-0005-0000-0000-00005A450000}"/>
    <cellStyle name="Normal 16 2 2 2 4 3 2" xfId="50078" xr:uid="{00000000-0005-0000-0000-00005B450000}"/>
    <cellStyle name="Normal 16 2 2 2 4 3 3" xfId="33978" xr:uid="{00000000-0005-0000-0000-00005C450000}"/>
    <cellStyle name="Normal 16 2 2 2 4 3 4" xfId="24409" xr:uid="{00000000-0005-0000-0000-00005D450000}"/>
    <cellStyle name="Normal 16 2 2 2 4 4" xfId="5732" xr:uid="{00000000-0005-0000-0000-00005E450000}"/>
    <cellStyle name="Normal 16 2 2 2 4 4 2" xfId="53573" xr:uid="{00000000-0005-0000-0000-00005F450000}"/>
    <cellStyle name="Normal 16 2 2 2 4 4 3" xfId="37473" xr:uid="{00000000-0005-0000-0000-000060450000}"/>
    <cellStyle name="Normal 16 2 2 2 4 4 4" xfId="18337" xr:uid="{00000000-0005-0000-0000-000061450000}"/>
    <cellStyle name="Normal 16 2 2 2 4 5" xfId="44006" xr:uid="{00000000-0005-0000-0000-000062450000}"/>
    <cellStyle name="Normal 16 2 2 2 4 6" xfId="27906" xr:uid="{00000000-0005-0000-0000-000063450000}"/>
    <cellStyle name="Normal 16 2 2 2 4 7" xfId="14842" xr:uid="{00000000-0005-0000-0000-000064450000}"/>
    <cellStyle name="Normal 16 2 2 2 5" xfId="1446" xr:uid="{00000000-0005-0000-0000-000065450000}"/>
    <cellStyle name="Normal 16 2 2 2 5 2" xfId="7980" xr:uid="{00000000-0005-0000-0000-000066450000}"/>
    <cellStyle name="Normal 16 2 2 2 5 2 2" xfId="39721" xr:uid="{00000000-0005-0000-0000-000067450000}"/>
    <cellStyle name="Normal 16 2 2 2 5 2 2 2" xfId="55821" xr:uid="{00000000-0005-0000-0000-000068450000}"/>
    <cellStyle name="Normal 16 2 2 2 5 2 3" xfId="46254" xr:uid="{00000000-0005-0000-0000-000069450000}"/>
    <cellStyle name="Normal 16 2 2 2 5 2 4" xfId="30154" xr:uid="{00000000-0005-0000-0000-00006A450000}"/>
    <cellStyle name="Normal 16 2 2 2 5 2 5" xfId="20585" xr:uid="{00000000-0005-0000-0000-00006B450000}"/>
    <cellStyle name="Normal 16 2 2 2 5 3" xfId="11016" xr:uid="{00000000-0005-0000-0000-00006C450000}"/>
    <cellStyle name="Normal 16 2 2 2 5 3 2" xfId="49290" xr:uid="{00000000-0005-0000-0000-00006D450000}"/>
    <cellStyle name="Normal 16 2 2 2 5 3 3" xfId="33190" xr:uid="{00000000-0005-0000-0000-00006E450000}"/>
    <cellStyle name="Normal 16 2 2 2 5 3 4" xfId="23621" xr:uid="{00000000-0005-0000-0000-00006F450000}"/>
    <cellStyle name="Normal 16 2 2 2 5 4" xfId="4944" xr:uid="{00000000-0005-0000-0000-000070450000}"/>
    <cellStyle name="Normal 16 2 2 2 5 4 2" xfId="52785" xr:uid="{00000000-0005-0000-0000-000071450000}"/>
    <cellStyle name="Normal 16 2 2 2 5 4 3" xfId="36685" xr:uid="{00000000-0005-0000-0000-000072450000}"/>
    <cellStyle name="Normal 16 2 2 2 5 4 4" xfId="17549" xr:uid="{00000000-0005-0000-0000-000073450000}"/>
    <cellStyle name="Normal 16 2 2 2 5 5" xfId="43218" xr:uid="{00000000-0005-0000-0000-000074450000}"/>
    <cellStyle name="Normal 16 2 2 2 5 6" xfId="27118" xr:uid="{00000000-0005-0000-0000-000075450000}"/>
    <cellStyle name="Normal 16 2 2 2 5 7" xfId="14054" xr:uid="{00000000-0005-0000-0000-000076450000}"/>
    <cellStyle name="Normal 16 2 2 2 6" xfId="3934" xr:uid="{00000000-0005-0000-0000-000077450000}"/>
    <cellStyle name="Normal 16 2 2 2 6 2" xfId="35675" xr:uid="{00000000-0005-0000-0000-000078450000}"/>
    <cellStyle name="Normal 16 2 2 2 6 2 2" xfId="51775" xr:uid="{00000000-0005-0000-0000-000079450000}"/>
    <cellStyle name="Normal 16 2 2 2 6 3" xfId="42208" xr:uid="{00000000-0005-0000-0000-00007A450000}"/>
    <cellStyle name="Normal 16 2 2 2 6 4" xfId="26108" xr:uid="{00000000-0005-0000-0000-00007B450000}"/>
    <cellStyle name="Normal 16 2 2 2 6 5" xfId="16539" xr:uid="{00000000-0005-0000-0000-00007C450000}"/>
    <cellStyle name="Normal 16 2 2 2 7" xfId="6970" xr:uid="{00000000-0005-0000-0000-00007D450000}"/>
    <cellStyle name="Normal 16 2 2 2 7 2" xfId="38711" xr:uid="{00000000-0005-0000-0000-00007E450000}"/>
    <cellStyle name="Normal 16 2 2 2 7 2 2" xfId="54811" xr:uid="{00000000-0005-0000-0000-00007F450000}"/>
    <cellStyle name="Normal 16 2 2 2 7 3" xfId="45244" xr:uid="{00000000-0005-0000-0000-000080450000}"/>
    <cellStyle name="Normal 16 2 2 2 7 4" xfId="29144" xr:uid="{00000000-0005-0000-0000-000081450000}"/>
    <cellStyle name="Normal 16 2 2 2 7 5" xfId="19575" xr:uid="{00000000-0005-0000-0000-000082450000}"/>
    <cellStyle name="Normal 16 2 2 2 8" xfId="10006" xr:uid="{00000000-0005-0000-0000-000083450000}"/>
    <cellStyle name="Normal 16 2 2 2 8 2" xfId="48280" xr:uid="{00000000-0005-0000-0000-000084450000}"/>
    <cellStyle name="Normal 16 2 2 2 8 3" xfId="32180" xr:uid="{00000000-0005-0000-0000-000085450000}"/>
    <cellStyle name="Normal 16 2 2 2 8 4" xfId="22611" xr:uid="{00000000-0005-0000-0000-000086450000}"/>
    <cellStyle name="Normal 16 2 2 2 9" xfId="3394" xr:uid="{00000000-0005-0000-0000-000087450000}"/>
    <cellStyle name="Normal 16 2 2 2 9 2" xfId="51235" xr:uid="{00000000-0005-0000-0000-000088450000}"/>
    <cellStyle name="Normal 16 2 2 2 9 3" xfId="35135" xr:uid="{00000000-0005-0000-0000-000089450000}"/>
    <cellStyle name="Normal 16 2 2 2 9 4" xfId="15999" xr:uid="{00000000-0005-0000-0000-00008A450000}"/>
    <cellStyle name="Normal 16 2 2 3" xfId="321" xr:uid="{00000000-0005-0000-0000-00008B450000}"/>
    <cellStyle name="Normal 16 2 2 3 2" xfId="2340" xr:uid="{00000000-0005-0000-0000-00008C450000}"/>
    <cellStyle name="Normal 16 2 2 3 2 2" xfId="8874" xr:uid="{00000000-0005-0000-0000-00008D450000}"/>
    <cellStyle name="Normal 16 2 2 3 2 2 2" xfId="40615" xr:uid="{00000000-0005-0000-0000-00008E450000}"/>
    <cellStyle name="Normal 16 2 2 3 2 2 2 2" xfId="56715" xr:uid="{00000000-0005-0000-0000-00008F450000}"/>
    <cellStyle name="Normal 16 2 2 3 2 2 3" xfId="47148" xr:uid="{00000000-0005-0000-0000-000090450000}"/>
    <cellStyle name="Normal 16 2 2 3 2 2 4" xfId="31048" xr:uid="{00000000-0005-0000-0000-000091450000}"/>
    <cellStyle name="Normal 16 2 2 3 2 2 5" xfId="21479" xr:uid="{00000000-0005-0000-0000-000092450000}"/>
    <cellStyle name="Normal 16 2 2 3 2 3" xfId="11910" xr:uid="{00000000-0005-0000-0000-000093450000}"/>
    <cellStyle name="Normal 16 2 2 3 2 3 2" xfId="50184" xr:uid="{00000000-0005-0000-0000-000094450000}"/>
    <cellStyle name="Normal 16 2 2 3 2 3 3" xfId="34084" xr:uid="{00000000-0005-0000-0000-000095450000}"/>
    <cellStyle name="Normal 16 2 2 3 2 3 4" xfId="24515" xr:uid="{00000000-0005-0000-0000-000096450000}"/>
    <cellStyle name="Normal 16 2 2 3 2 4" xfId="5838" xr:uid="{00000000-0005-0000-0000-000097450000}"/>
    <cellStyle name="Normal 16 2 2 3 2 4 2" xfId="53679" xr:uid="{00000000-0005-0000-0000-000098450000}"/>
    <cellStyle name="Normal 16 2 2 3 2 4 3" xfId="37579" xr:uid="{00000000-0005-0000-0000-000099450000}"/>
    <cellStyle name="Normal 16 2 2 3 2 4 4" xfId="18443" xr:uid="{00000000-0005-0000-0000-00009A450000}"/>
    <cellStyle name="Normal 16 2 2 3 2 5" xfId="44112" xr:uid="{00000000-0005-0000-0000-00009B450000}"/>
    <cellStyle name="Normal 16 2 2 3 2 6" xfId="28012" xr:uid="{00000000-0005-0000-0000-00009C450000}"/>
    <cellStyle name="Normal 16 2 2 3 2 7" xfId="14948" xr:uid="{00000000-0005-0000-0000-00009D450000}"/>
    <cellStyle name="Normal 16 2 2 3 3" xfId="1552" xr:uid="{00000000-0005-0000-0000-00009E450000}"/>
    <cellStyle name="Normal 16 2 2 3 3 2" xfId="8086" xr:uid="{00000000-0005-0000-0000-00009F450000}"/>
    <cellStyle name="Normal 16 2 2 3 3 2 2" xfId="39827" xr:uid="{00000000-0005-0000-0000-0000A0450000}"/>
    <cellStyle name="Normal 16 2 2 3 3 2 2 2" xfId="55927" xr:uid="{00000000-0005-0000-0000-0000A1450000}"/>
    <cellStyle name="Normal 16 2 2 3 3 2 3" xfId="46360" xr:uid="{00000000-0005-0000-0000-0000A2450000}"/>
    <cellStyle name="Normal 16 2 2 3 3 2 4" xfId="30260" xr:uid="{00000000-0005-0000-0000-0000A3450000}"/>
    <cellStyle name="Normal 16 2 2 3 3 2 5" xfId="20691" xr:uid="{00000000-0005-0000-0000-0000A4450000}"/>
    <cellStyle name="Normal 16 2 2 3 3 3" xfId="11122" xr:uid="{00000000-0005-0000-0000-0000A5450000}"/>
    <cellStyle name="Normal 16 2 2 3 3 3 2" xfId="49396" xr:uid="{00000000-0005-0000-0000-0000A6450000}"/>
    <cellStyle name="Normal 16 2 2 3 3 3 3" xfId="33296" xr:uid="{00000000-0005-0000-0000-0000A7450000}"/>
    <cellStyle name="Normal 16 2 2 3 3 3 4" xfId="23727" xr:uid="{00000000-0005-0000-0000-0000A8450000}"/>
    <cellStyle name="Normal 16 2 2 3 3 4" xfId="5050" xr:uid="{00000000-0005-0000-0000-0000A9450000}"/>
    <cellStyle name="Normal 16 2 2 3 3 4 2" xfId="52891" xr:uid="{00000000-0005-0000-0000-0000AA450000}"/>
    <cellStyle name="Normal 16 2 2 3 3 4 3" xfId="36791" xr:uid="{00000000-0005-0000-0000-0000AB450000}"/>
    <cellStyle name="Normal 16 2 2 3 3 4 4" xfId="17655" xr:uid="{00000000-0005-0000-0000-0000AC450000}"/>
    <cellStyle name="Normal 16 2 2 3 3 5" xfId="43324" xr:uid="{00000000-0005-0000-0000-0000AD450000}"/>
    <cellStyle name="Normal 16 2 2 3 3 6" xfId="27224" xr:uid="{00000000-0005-0000-0000-0000AE450000}"/>
    <cellStyle name="Normal 16 2 2 3 3 7" xfId="14160" xr:uid="{00000000-0005-0000-0000-0000AF450000}"/>
    <cellStyle name="Normal 16 2 2 3 4" xfId="7076" xr:uid="{00000000-0005-0000-0000-0000B0450000}"/>
    <cellStyle name="Normal 16 2 2 3 4 2" xfId="38817" xr:uid="{00000000-0005-0000-0000-0000B1450000}"/>
    <cellStyle name="Normal 16 2 2 3 4 2 2" xfId="54917" xr:uid="{00000000-0005-0000-0000-0000B2450000}"/>
    <cellStyle name="Normal 16 2 2 3 4 3" xfId="45350" xr:uid="{00000000-0005-0000-0000-0000B3450000}"/>
    <cellStyle name="Normal 16 2 2 3 4 4" xfId="29250" xr:uid="{00000000-0005-0000-0000-0000B4450000}"/>
    <cellStyle name="Normal 16 2 2 3 4 5" xfId="19681" xr:uid="{00000000-0005-0000-0000-0000B5450000}"/>
    <cellStyle name="Normal 16 2 2 3 5" xfId="10112" xr:uid="{00000000-0005-0000-0000-0000B6450000}"/>
    <cellStyle name="Normal 16 2 2 3 5 2" xfId="48386" xr:uid="{00000000-0005-0000-0000-0000B7450000}"/>
    <cellStyle name="Normal 16 2 2 3 5 3" xfId="32286" xr:uid="{00000000-0005-0000-0000-0000B8450000}"/>
    <cellStyle name="Normal 16 2 2 3 5 4" xfId="22717" xr:uid="{00000000-0005-0000-0000-0000B9450000}"/>
    <cellStyle name="Normal 16 2 2 3 6" xfId="4040" xr:uid="{00000000-0005-0000-0000-0000BA450000}"/>
    <cellStyle name="Normal 16 2 2 3 6 2" xfId="51881" xr:uid="{00000000-0005-0000-0000-0000BB450000}"/>
    <cellStyle name="Normal 16 2 2 3 6 3" xfId="35781" xr:uid="{00000000-0005-0000-0000-0000BC450000}"/>
    <cellStyle name="Normal 16 2 2 3 6 4" xfId="16645" xr:uid="{00000000-0005-0000-0000-0000BD450000}"/>
    <cellStyle name="Normal 16 2 2 3 7" xfId="42314" xr:uid="{00000000-0005-0000-0000-0000BE450000}"/>
    <cellStyle name="Normal 16 2 2 3 8" xfId="26214" xr:uid="{00000000-0005-0000-0000-0000BF450000}"/>
    <cellStyle name="Normal 16 2 2 3 9" xfId="13150" xr:uid="{00000000-0005-0000-0000-0000C0450000}"/>
    <cellStyle name="Normal 16 2 2 4" xfId="578" xr:uid="{00000000-0005-0000-0000-0000C1450000}"/>
    <cellStyle name="Normal 16 2 2 4 2" xfId="2607" xr:uid="{00000000-0005-0000-0000-0000C2450000}"/>
    <cellStyle name="Normal 16 2 2 4 2 2" xfId="9139" xr:uid="{00000000-0005-0000-0000-0000C3450000}"/>
    <cellStyle name="Normal 16 2 2 4 2 2 2" xfId="40880" xr:uid="{00000000-0005-0000-0000-0000C4450000}"/>
    <cellStyle name="Normal 16 2 2 4 2 2 2 2" xfId="56980" xr:uid="{00000000-0005-0000-0000-0000C5450000}"/>
    <cellStyle name="Normal 16 2 2 4 2 2 3" xfId="47413" xr:uid="{00000000-0005-0000-0000-0000C6450000}"/>
    <cellStyle name="Normal 16 2 2 4 2 2 4" xfId="31313" xr:uid="{00000000-0005-0000-0000-0000C7450000}"/>
    <cellStyle name="Normal 16 2 2 4 2 2 5" xfId="21744" xr:uid="{00000000-0005-0000-0000-0000C8450000}"/>
    <cellStyle name="Normal 16 2 2 4 2 3" xfId="12175" xr:uid="{00000000-0005-0000-0000-0000C9450000}"/>
    <cellStyle name="Normal 16 2 2 4 2 3 2" xfId="50449" xr:uid="{00000000-0005-0000-0000-0000CA450000}"/>
    <cellStyle name="Normal 16 2 2 4 2 3 3" xfId="34349" xr:uid="{00000000-0005-0000-0000-0000CB450000}"/>
    <cellStyle name="Normal 16 2 2 4 2 3 4" xfId="24780" xr:uid="{00000000-0005-0000-0000-0000CC450000}"/>
    <cellStyle name="Normal 16 2 2 4 2 4" xfId="6103" xr:uid="{00000000-0005-0000-0000-0000CD450000}"/>
    <cellStyle name="Normal 16 2 2 4 2 4 2" xfId="53944" xr:uid="{00000000-0005-0000-0000-0000CE450000}"/>
    <cellStyle name="Normal 16 2 2 4 2 4 3" xfId="37844" xr:uid="{00000000-0005-0000-0000-0000CF450000}"/>
    <cellStyle name="Normal 16 2 2 4 2 4 4" xfId="18708" xr:uid="{00000000-0005-0000-0000-0000D0450000}"/>
    <cellStyle name="Normal 16 2 2 4 2 5" xfId="44377" xr:uid="{00000000-0005-0000-0000-0000D1450000}"/>
    <cellStyle name="Normal 16 2 2 4 2 6" xfId="28277" xr:uid="{00000000-0005-0000-0000-0000D2450000}"/>
    <cellStyle name="Normal 16 2 2 4 2 7" xfId="15213" xr:uid="{00000000-0005-0000-0000-0000D3450000}"/>
    <cellStyle name="Normal 16 2 2 4 3" xfId="1375" xr:uid="{00000000-0005-0000-0000-0000D4450000}"/>
    <cellStyle name="Normal 16 2 2 4 3 2" xfId="7909" xr:uid="{00000000-0005-0000-0000-0000D5450000}"/>
    <cellStyle name="Normal 16 2 2 4 3 2 2" xfId="39650" xr:uid="{00000000-0005-0000-0000-0000D6450000}"/>
    <cellStyle name="Normal 16 2 2 4 3 2 2 2" xfId="55750" xr:uid="{00000000-0005-0000-0000-0000D7450000}"/>
    <cellStyle name="Normal 16 2 2 4 3 2 3" xfId="46183" xr:uid="{00000000-0005-0000-0000-0000D8450000}"/>
    <cellStyle name="Normal 16 2 2 4 3 2 4" xfId="30083" xr:uid="{00000000-0005-0000-0000-0000D9450000}"/>
    <cellStyle name="Normal 16 2 2 4 3 2 5" xfId="20514" xr:uid="{00000000-0005-0000-0000-0000DA450000}"/>
    <cellStyle name="Normal 16 2 2 4 3 3" xfId="10945" xr:uid="{00000000-0005-0000-0000-0000DB450000}"/>
    <cellStyle name="Normal 16 2 2 4 3 3 2" xfId="49219" xr:uid="{00000000-0005-0000-0000-0000DC450000}"/>
    <cellStyle name="Normal 16 2 2 4 3 3 3" xfId="33119" xr:uid="{00000000-0005-0000-0000-0000DD450000}"/>
    <cellStyle name="Normal 16 2 2 4 3 3 4" xfId="23550" xr:uid="{00000000-0005-0000-0000-0000DE450000}"/>
    <cellStyle name="Normal 16 2 2 4 3 4" xfId="4873" xr:uid="{00000000-0005-0000-0000-0000DF450000}"/>
    <cellStyle name="Normal 16 2 2 4 3 4 2" xfId="52714" xr:uid="{00000000-0005-0000-0000-0000E0450000}"/>
    <cellStyle name="Normal 16 2 2 4 3 4 3" xfId="36614" xr:uid="{00000000-0005-0000-0000-0000E1450000}"/>
    <cellStyle name="Normal 16 2 2 4 3 4 4" xfId="17478" xr:uid="{00000000-0005-0000-0000-0000E2450000}"/>
    <cellStyle name="Normal 16 2 2 4 3 5" xfId="43147" xr:uid="{00000000-0005-0000-0000-0000E3450000}"/>
    <cellStyle name="Normal 16 2 2 4 3 6" xfId="27047" xr:uid="{00000000-0005-0000-0000-0000E4450000}"/>
    <cellStyle name="Normal 16 2 2 4 3 7" xfId="13983" xr:uid="{00000000-0005-0000-0000-0000E5450000}"/>
    <cellStyle name="Normal 16 2 2 4 4" xfId="6899" xr:uid="{00000000-0005-0000-0000-0000E6450000}"/>
    <cellStyle name="Normal 16 2 2 4 4 2" xfId="38640" xr:uid="{00000000-0005-0000-0000-0000E7450000}"/>
    <cellStyle name="Normal 16 2 2 4 4 2 2" xfId="54740" xr:uid="{00000000-0005-0000-0000-0000E8450000}"/>
    <cellStyle name="Normal 16 2 2 4 4 3" xfId="45173" xr:uid="{00000000-0005-0000-0000-0000E9450000}"/>
    <cellStyle name="Normal 16 2 2 4 4 4" xfId="29073" xr:uid="{00000000-0005-0000-0000-0000EA450000}"/>
    <cellStyle name="Normal 16 2 2 4 4 5" xfId="19504" xr:uid="{00000000-0005-0000-0000-0000EB450000}"/>
    <cellStyle name="Normal 16 2 2 4 5" xfId="9935" xr:uid="{00000000-0005-0000-0000-0000EC450000}"/>
    <cellStyle name="Normal 16 2 2 4 5 2" xfId="48209" xr:uid="{00000000-0005-0000-0000-0000ED450000}"/>
    <cellStyle name="Normal 16 2 2 4 5 3" xfId="32109" xr:uid="{00000000-0005-0000-0000-0000EE450000}"/>
    <cellStyle name="Normal 16 2 2 4 5 4" xfId="22540" xr:uid="{00000000-0005-0000-0000-0000EF450000}"/>
    <cellStyle name="Normal 16 2 2 4 6" xfId="3863" xr:uid="{00000000-0005-0000-0000-0000F0450000}"/>
    <cellStyle name="Normal 16 2 2 4 6 2" xfId="51704" xr:uid="{00000000-0005-0000-0000-0000F1450000}"/>
    <cellStyle name="Normal 16 2 2 4 6 3" xfId="35604" xr:uid="{00000000-0005-0000-0000-0000F2450000}"/>
    <cellStyle name="Normal 16 2 2 4 6 4" xfId="16468" xr:uid="{00000000-0005-0000-0000-0000F3450000}"/>
    <cellStyle name="Normal 16 2 2 4 7" xfId="42137" xr:uid="{00000000-0005-0000-0000-0000F4450000}"/>
    <cellStyle name="Normal 16 2 2 4 8" xfId="26037" xr:uid="{00000000-0005-0000-0000-0000F5450000}"/>
    <cellStyle name="Normal 16 2 2 4 9" xfId="12973" xr:uid="{00000000-0005-0000-0000-0000F6450000}"/>
    <cellStyle name="Normal 16 2 2 5" xfId="801" xr:uid="{00000000-0005-0000-0000-0000F7450000}"/>
    <cellStyle name="Normal 16 2 2 5 2" xfId="2829" xr:uid="{00000000-0005-0000-0000-0000F8450000}"/>
    <cellStyle name="Normal 16 2 2 5 2 2" xfId="9361" xr:uid="{00000000-0005-0000-0000-0000F9450000}"/>
    <cellStyle name="Normal 16 2 2 5 2 2 2" xfId="41102" xr:uid="{00000000-0005-0000-0000-0000FA450000}"/>
    <cellStyle name="Normal 16 2 2 5 2 2 2 2" xfId="57202" xr:uid="{00000000-0005-0000-0000-0000FB450000}"/>
    <cellStyle name="Normal 16 2 2 5 2 2 3" xfId="47635" xr:uid="{00000000-0005-0000-0000-0000FC450000}"/>
    <cellStyle name="Normal 16 2 2 5 2 2 4" xfId="31535" xr:uid="{00000000-0005-0000-0000-0000FD450000}"/>
    <cellStyle name="Normal 16 2 2 5 2 2 5" xfId="21966" xr:uid="{00000000-0005-0000-0000-0000FE450000}"/>
    <cellStyle name="Normal 16 2 2 5 2 3" xfId="12397" xr:uid="{00000000-0005-0000-0000-0000FF450000}"/>
    <cellStyle name="Normal 16 2 2 5 2 3 2" xfId="50671" xr:uid="{00000000-0005-0000-0000-000000460000}"/>
    <cellStyle name="Normal 16 2 2 5 2 3 3" xfId="34571" xr:uid="{00000000-0005-0000-0000-000001460000}"/>
    <cellStyle name="Normal 16 2 2 5 2 3 4" xfId="25002" xr:uid="{00000000-0005-0000-0000-000002460000}"/>
    <cellStyle name="Normal 16 2 2 5 2 4" xfId="6325" xr:uid="{00000000-0005-0000-0000-000003460000}"/>
    <cellStyle name="Normal 16 2 2 5 2 4 2" xfId="54166" xr:uid="{00000000-0005-0000-0000-000004460000}"/>
    <cellStyle name="Normal 16 2 2 5 2 4 3" xfId="38066" xr:uid="{00000000-0005-0000-0000-000005460000}"/>
    <cellStyle name="Normal 16 2 2 5 2 4 4" xfId="18930" xr:uid="{00000000-0005-0000-0000-000006460000}"/>
    <cellStyle name="Normal 16 2 2 5 2 5" xfId="44599" xr:uid="{00000000-0005-0000-0000-000007460000}"/>
    <cellStyle name="Normal 16 2 2 5 2 6" xfId="28499" xr:uid="{00000000-0005-0000-0000-000008460000}"/>
    <cellStyle name="Normal 16 2 2 5 2 7" xfId="15435" xr:uid="{00000000-0005-0000-0000-000009460000}"/>
    <cellStyle name="Normal 16 2 2 5 3" xfId="1811" xr:uid="{00000000-0005-0000-0000-00000A460000}"/>
    <cellStyle name="Normal 16 2 2 5 3 2" xfId="8345" xr:uid="{00000000-0005-0000-0000-00000B460000}"/>
    <cellStyle name="Normal 16 2 2 5 3 2 2" xfId="40086" xr:uid="{00000000-0005-0000-0000-00000C460000}"/>
    <cellStyle name="Normal 16 2 2 5 3 2 2 2" xfId="56186" xr:uid="{00000000-0005-0000-0000-00000D460000}"/>
    <cellStyle name="Normal 16 2 2 5 3 2 3" xfId="46619" xr:uid="{00000000-0005-0000-0000-00000E460000}"/>
    <cellStyle name="Normal 16 2 2 5 3 2 4" xfId="30519" xr:uid="{00000000-0005-0000-0000-00000F460000}"/>
    <cellStyle name="Normal 16 2 2 5 3 2 5" xfId="20950" xr:uid="{00000000-0005-0000-0000-000010460000}"/>
    <cellStyle name="Normal 16 2 2 5 3 3" xfId="11381" xr:uid="{00000000-0005-0000-0000-000011460000}"/>
    <cellStyle name="Normal 16 2 2 5 3 3 2" xfId="49655" xr:uid="{00000000-0005-0000-0000-000012460000}"/>
    <cellStyle name="Normal 16 2 2 5 3 3 3" xfId="33555" xr:uid="{00000000-0005-0000-0000-000013460000}"/>
    <cellStyle name="Normal 16 2 2 5 3 3 4" xfId="23986" xr:uid="{00000000-0005-0000-0000-000014460000}"/>
    <cellStyle name="Normal 16 2 2 5 3 4" xfId="5309" xr:uid="{00000000-0005-0000-0000-000015460000}"/>
    <cellStyle name="Normal 16 2 2 5 3 4 2" xfId="53150" xr:uid="{00000000-0005-0000-0000-000016460000}"/>
    <cellStyle name="Normal 16 2 2 5 3 4 3" xfId="37050" xr:uid="{00000000-0005-0000-0000-000017460000}"/>
    <cellStyle name="Normal 16 2 2 5 3 4 4" xfId="17914" xr:uid="{00000000-0005-0000-0000-000018460000}"/>
    <cellStyle name="Normal 16 2 2 5 3 5" xfId="43583" xr:uid="{00000000-0005-0000-0000-000019460000}"/>
    <cellStyle name="Normal 16 2 2 5 3 6" xfId="27483" xr:uid="{00000000-0005-0000-0000-00001A460000}"/>
    <cellStyle name="Normal 16 2 2 5 3 7" xfId="14419" xr:uid="{00000000-0005-0000-0000-00001B460000}"/>
    <cellStyle name="Normal 16 2 2 5 4" xfId="7335" xr:uid="{00000000-0005-0000-0000-00001C460000}"/>
    <cellStyle name="Normal 16 2 2 5 4 2" xfId="39076" xr:uid="{00000000-0005-0000-0000-00001D460000}"/>
    <cellStyle name="Normal 16 2 2 5 4 2 2" xfId="55176" xr:uid="{00000000-0005-0000-0000-00001E460000}"/>
    <cellStyle name="Normal 16 2 2 5 4 3" xfId="45609" xr:uid="{00000000-0005-0000-0000-00001F460000}"/>
    <cellStyle name="Normal 16 2 2 5 4 4" xfId="29509" xr:uid="{00000000-0005-0000-0000-000020460000}"/>
    <cellStyle name="Normal 16 2 2 5 4 5" xfId="19940" xr:uid="{00000000-0005-0000-0000-000021460000}"/>
    <cellStyle name="Normal 16 2 2 5 5" xfId="10371" xr:uid="{00000000-0005-0000-0000-000022460000}"/>
    <cellStyle name="Normal 16 2 2 5 5 2" xfId="48645" xr:uid="{00000000-0005-0000-0000-000023460000}"/>
    <cellStyle name="Normal 16 2 2 5 5 3" xfId="32545" xr:uid="{00000000-0005-0000-0000-000024460000}"/>
    <cellStyle name="Normal 16 2 2 5 5 4" xfId="22976" xr:uid="{00000000-0005-0000-0000-000025460000}"/>
    <cellStyle name="Normal 16 2 2 5 6" xfId="4299" xr:uid="{00000000-0005-0000-0000-000026460000}"/>
    <cellStyle name="Normal 16 2 2 5 6 2" xfId="52140" xr:uid="{00000000-0005-0000-0000-000027460000}"/>
    <cellStyle name="Normal 16 2 2 5 6 3" xfId="36040" xr:uid="{00000000-0005-0000-0000-000028460000}"/>
    <cellStyle name="Normal 16 2 2 5 6 4" xfId="16904" xr:uid="{00000000-0005-0000-0000-000029460000}"/>
    <cellStyle name="Normal 16 2 2 5 7" xfId="42573" xr:uid="{00000000-0005-0000-0000-00002A460000}"/>
    <cellStyle name="Normal 16 2 2 5 8" xfId="26473" xr:uid="{00000000-0005-0000-0000-00002B460000}"/>
    <cellStyle name="Normal 16 2 2 5 9" xfId="13409" xr:uid="{00000000-0005-0000-0000-00002C460000}"/>
    <cellStyle name="Normal 16 2 2 6" xfId="2163" xr:uid="{00000000-0005-0000-0000-00002D460000}"/>
    <cellStyle name="Normal 16 2 2 6 2" xfId="8697" xr:uid="{00000000-0005-0000-0000-00002E460000}"/>
    <cellStyle name="Normal 16 2 2 6 2 2" xfId="40438" xr:uid="{00000000-0005-0000-0000-00002F460000}"/>
    <cellStyle name="Normal 16 2 2 6 2 2 2" xfId="56538" xr:uid="{00000000-0005-0000-0000-000030460000}"/>
    <cellStyle name="Normal 16 2 2 6 2 3" xfId="46971" xr:uid="{00000000-0005-0000-0000-000031460000}"/>
    <cellStyle name="Normal 16 2 2 6 2 4" xfId="30871" xr:uid="{00000000-0005-0000-0000-000032460000}"/>
    <cellStyle name="Normal 16 2 2 6 2 5" xfId="21302" xr:uid="{00000000-0005-0000-0000-000033460000}"/>
    <cellStyle name="Normal 16 2 2 6 3" xfId="11733" xr:uid="{00000000-0005-0000-0000-000034460000}"/>
    <cellStyle name="Normal 16 2 2 6 3 2" xfId="50007" xr:uid="{00000000-0005-0000-0000-000035460000}"/>
    <cellStyle name="Normal 16 2 2 6 3 3" xfId="33907" xr:uid="{00000000-0005-0000-0000-000036460000}"/>
    <cellStyle name="Normal 16 2 2 6 3 4" xfId="24338" xr:uid="{00000000-0005-0000-0000-000037460000}"/>
    <cellStyle name="Normal 16 2 2 6 4" xfId="5661" xr:uid="{00000000-0005-0000-0000-000038460000}"/>
    <cellStyle name="Normal 16 2 2 6 4 2" xfId="53502" xr:uid="{00000000-0005-0000-0000-000039460000}"/>
    <cellStyle name="Normal 16 2 2 6 4 3" xfId="37402" xr:uid="{00000000-0005-0000-0000-00003A460000}"/>
    <cellStyle name="Normal 16 2 2 6 4 4" xfId="18266" xr:uid="{00000000-0005-0000-0000-00003B460000}"/>
    <cellStyle name="Normal 16 2 2 6 5" xfId="43935" xr:uid="{00000000-0005-0000-0000-00003C460000}"/>
    <cellStyle name="Normal 16 2 2 6 6" xfId="27835" xr:uid="{00000000-0005-0000-0000-00003D460000}"/>
    <cellStyle name="Normal 16 2 2 6 7" xfId="14771" xr:uid="{00000000-0005-0000-0000-00003E460000}"/>
    <cellStyle name="Normal 16 2 2 7" xfId="1128" xr:uid="{00000000-0005-0000-0000-00003F460000}"/>
    <cellStyle name="Normal 16 2 2 7 2" xfId="7662" xr:uid="{00000000-0005-0000-0000-000040460000}"/>
    <cellStyle name="Normal 16 2 2 7 2 2" xfId="39403" xr:uid="{00000000-0005-0000-0000-000041460000}"/>
    <cellStyle name="Normal 16 2 2 7 2 2 2" xfId="55503" xr:uid="{00000000-0005-0000-0000-000042460000}"/>
    <cellStyle name="Normal 16 2 2 7 2 3" xfId="45936" xr:uid="{00000000-0005-0000-0000-000043460000}"/>
    <cellStyle name="Normal 16 2 2 7 2 4" xfId="29836" xr:uid="{00000000-0005-0000-0000-000044460000}"/>
    <cellStyle name="Normal 16 2 2 7 2 5" xfId="20267" xr:uid="{00000000-0005-0000-0000-000045460000}"/>
    <cellStyle name="Normal 16 2 2 7 3" xfId="10698" xr:uid="{00000000-0005-0000-0000-000046460000}"/>
    <cellStyle name="Normal 16 2 2 7 3 2" xfId="48972" xr:uid="{00000000-0005-0000-0000-000047460000}"/>
    <cellStyle name="Normal 16 2 2 7 3 3" xfId="32872" xr:uid="{00000000-0005-0000-0000-000048460000}"/>
    <cellStyle name="Normal 16 2 2 7 3 4" xfId="23303" xr:uid="{00000000-0005-0000-0000-000049460000}"/>
    <cellStyle name="Normal 16 2 2 7 4" xfId="4626" xr:uid="{00000000-0005-0000-0000-00004A460000}"/>
    <cellStyle name="Normal 16 2 2 7 4 2" xfId="52467" xr:uid="{00000000-0005-0000-0000-00004B460000}"/>
    <cellStyle name="Normal 16 2 2 7 4 3" xfId="36367" xr:uid="{00000000-0005-0000-0000-00004C460000}"/>
    <cellStyle name="Normal 16 2 2 7 4 4" xfId="17231" xr:uid="{00000000-0005-0000-0000-00004D460000}"/>
    <cellStyle name="Normal 16 2 2 7 5" xfId="42900" xr:uid="{00000000-0005-0000-0000-00004E460000}"/>
    <cellStyle name="Normal 16 2 2 7 6" xfId="26800" xr:uid="{00000000-0005-0000-0000-00004F460000}"/>
    <cellStyle name="Normal 16 2 2 7 7" xfId="13736" xr:uid="{00000000-0005-0000-0000-000050460000}"/>
    <cellStyle name="Normal 16 2 2 8" xfId="3616" xr:uid="{00000000-0005-0000-0000-000051460000}"/>
    <cellStyle name="Normal 16 2 2 8 2" xfId="35357" xr:uid="{00000000-0005-0000-0000-000052460000}"/>
    <cellStyle name="Normal 16 2 2 8 2 2" xfId="51457" xr:uid="{00000000-0005-0000-0000-000053460000}"/>
    <cellStyle name="Normal 16 2 2 8 3" xfId="41890" xr:uid="{00000000-0005-0000-0000-000054460000}"/>
    <cellStyle name="Normal 16 2 2 8 4" xfId="25790" xr:uid="{00000000-0005-0000-0000-000055460000}"/>
    <cellStyle name="Normal 16 2 2 8 5" xfId="16221" xr:uid="{00000000-0005-0000-0000-000056460000}"/>
    <cellStyle name="Normal 16 2 2 9" xfId="6652" xr:uid="{00000000-0005-0000-0000-000057460000}"/>
    <cellStyle name="Normal 16 2 2 9 2" xfId="38393" xr:uid="{00000000-0005-0000-0000-000058460000}"/>
    <cellStyle name="Normal 16 2 2 9 2 2" xfId="54493" xr:uid="{00000000-0005-0000-0000-000059460000}"/>
    <cellStyle name="Normal 16 2 2 9 3" xfId="44926" xr:uid="{00000000-0005-0000-0000-00005A460000}"/>
    <cellStyle name="Normal 16 2 2 9 4" xfId="28826" xr:uid="{00000000-0005-0000-0000-00005B460000}"/>
    <cellStyle name="Normal 16 2 2 9 5" xfId="19257" xr:uid="{00000000-0005-0000-0000-00005C460000}"/>
    <cellStyle name="Normal 16 2 3" xfId="104" xr:uid="{00000000-0005-0000-0000-00005D460000}"/>
    <cellStyle name="Normal 16 2 3 10" xfId="41622" xr:uid="{00000000-0005-0000-0000-00005E460000}"/>
    <cellStyle name="Normal 16 2 3 11" xfId="25522" xr:uid="{00000000-0005-0000-0000-00005F460000}"/>
    <cellStyle name="Normal 16 2 3 12" xfId="12937" xr:uid="{00000000-0005-0000-0000-000060460000}"/>
    <cellStyle name="Normal 16 2 3 2" xfId="285" xr:uid="{00000000-0005-0000-0000-000061460000}"/>
    <cellStyle name="Normal 16 2 3 2 2" xfId="2304" xr:uid="{00000000-0005-0000-0000-000062460000}"/>
    <cellStyle name="Normal 16 2 3 2 2 2" xfId="8838" xr:uid="{00000000-0005-0000-0000-000063460000}"/>
    <cellStyle name="Normal 16 2 3 2 2 2 2" xfId="40579" xr:uid="{00000000-0005-0000-0000-000064460000}"/>
    <cellStyle name="Normal 16 2 3 2 2 2 2 2" xfId="56679" xr:uid="{00000000-0005-0000-0000-000065460000}"/>
    <cellStyle name="Normal 16 2 3 2 2 2 3" xfId="47112" xr:uid="{00000000-0005-0000-0000-000066460000}"/>
    <cellStyle name="Normal 16 2 3 2 2 2 4" xfId="31012" xr:uid="{00000000-0005-0000-0000-000067460000}"/>
    <cellStyle name="Normal 16 2 3 2 2 2 5" xfId="21443" xr:uid="{00000000-0005-0000-0000-000068460000}"/>
    <cellStyle name="Normal 16 2 3 2 2 3" xfId="11874" xr:uid="{00000000-0005-0000-0000-000069460000}"/>
    <cellStyle name="Normal 16 2 3 2 2 3 2" xfId="50148" xr:uid="{00000000-0005-0000-0000-00006A460000}"/>
    <cellStyle name="Normal 16 2 3 2 2 3 3" xfId="34048" xr:uid="{00000000-0005-0000-0000-00006B460000}"/>
    <cellStyle name="Normal 16 2 3 2 2 3 4" xfId="24479" xr:uid="{00000000-0005-0000-0000-00006C460000}"/>
    <cellStyle name="Normal 16 2 3 2 2 4" xfId="5802" xr:uid="{00000000-0005-0000-0000-00006D460000}"/>
    <cellStyle name="Normal 16 2 3 2 2 4 2" xfId="53643" xr:uid="{00000000-0005-0000-0000-00006E460000}"/>
    <cellStyle name="Normal 16 2 3 2 2 4 3" xfId="37543" xr:uid="{00000000-0005-0000-0000-00006F460000}"/>
    <cellStyle name="Normal 16 2 3 2 2 4 4" xfId="18407" xr:uid="{00000000-0005-0000-0000-000070460000}"/>
    <cellStyle name="Normal 16 2 3 2 2 5" xfId="44076" xr:uid="{00000000-0005-0000-0000-000071460000}"/>
    <cellStyle name="Normal 16 2 3 2 2 6" xfId="27976" xr:uid="{00000000-0005-0000-0000-000072460000}"/>
    <cellStyle name="Normal 16 2 3 2 2 7" xfId="14912" xr:uid="{00000000-0005-0000-0000-000073460000}"/>
    <cellStyle name="Normal 16 2 3 2 3" xfId="1516" xr:uid="{00000000-0005-0000-0000-000074460000}"/>
    <cellStyle name="Normal 16 2 3 2 3 2" xfId="8050" xr:uid="{00000000-0005-0000-0000-000075460000}"/>
    <cellStyle name="Normal 16 2 3 2 3 2 2" xfId="39791" xr:uid="{00000000-0005-0000-0000-000076460000}"/>
    <cellStyle name="Normal 16 2 3 2 3 2 2 2" xfId="55891" xr:uid="{00000000-0005-0000-0000-000077460000}"/>
    <cellStyle name="Normal 16 2 3 2 3 2 3" xfId="46324" xr:uid="{00000000-0005-0000-0000-000078460000}"/>
    <cellStyle name="Normal 16 2 3 2 3 2 4" xfId="30224" xr:uid="{00000000-0005-0000-0000-000079460000}"/>
    <cellStyle name="Normal 16 2 3 2 3 2 5" xfId="20655" xr:uid="{00000000-0005-0000-0000-00007A460000}"/>
    <cellStyle name="Normal 16 2 3 2 3 3" xfId="11086" xr:uid="{00000000-0005-0000-0000-00007B460000}"/>
    <cellStyle name="Normal 16 2 3 2 3 3 2" xfId="49360" xr:uid="{00000000-0005-0000-0000-00007C460000}"/>
    <cellStyle name="Normal 16 2 3 2 3 3 3" xfId="33260" xr:uid="{00000000-0005-0000-0000-00007D460000}"/>
    <cellStyle name="Normal 16 2 3 2 3 3 4" xfId="23691" xr:uid="{00000000-0005-0000-0000-00007E460000}"/>
    <cellStyle name="Normal 16 2 3 2 3 4" xfId="5014" xr:uid="{00000000-0005-0000-0000-00007F460000}"/>
    <cellStyle name="Normal 16 2 3 2 3 4 2" xfId="52855" xr:uid="{00000000-0005-0000-0000-000080460000}"/>
    <cellStyle name="Normal 16 2 3 2 3 4 3" xfId="36755" xr:uid="{00000000-0005-0000-0000-000081460000}"/>
    <cellStyle name="Normal 16 2 3 2 3 4 4" xfId="17619" xr:uid="{00000000-0005-0000-0000-000082460000}"/>
    <cellStyle name="Normal 16 2 3 2 3 5" xfId="43288" xr:uid="{00000000-0005-0000-0000-000083460000}"/>
    <cellStyle name="Normal 16 2 3 2 3 6" xfId="27188" xr:uid="{00000000-0005-0000-0000-000084460000}"/>
    <cellStyle name="Normal 16 2 3 2 3 7" xfId="14124" xr:uid="{00000000-0005-0000-0000-000085460000}"/>
    <cellStyle name="Normal 16 2 3 2 4" xfId="7040" xr:uid="{00000000-0005-0000-0000-000086460000}"/>
    <cellStyle name="Normal 16 2 3 2 4 2" xfId="38781" xr:uid="{00000000-0005-0000-0000-000087460000}"/>
    <cellStyle name="Normal 16 2 3 2 4 2 2" xfId="54881" xr:uid="{00000000-0005-0000-0000-000088460000}"/>
    <cellStyle name="Normal 16 2 3 2 4 3" xfId="45314" xr:uid="{00000000-0005-0000-0000-000089460000}"/>
    <cellStyle name="Normal 16 2 3 2 4 4" xfId="29214" xr:uid="{00000000-0005-0000-0000-00008A460000}"/>
    <cellStyle name="Normal 16 2 3 2 4 5" xfId="19645" xr:uid="{00000000-0005-0000-0000-00008B460000}"/>
    <cellStyle name="Normal 16 2 3 2 5" xfId="10076" xr:uid="{00000000-0005-0000-0000-00008C460000}"/>
    <cellStyle name="Normal 16 2 3 2 5 2" xfId="48350" xr:uid="{00000000-0005-0000-0000-00008D460000}"/>
    <cellStyle name="Normal 16 2 3 2 5 3" xfId="32250" xr:uid="{00000000-0005-0000-0000-00008E460000}"/>
    <cellStyle name="Normal 16 2 3 2 5 4" xfId="22681" xr:uid="{00000000-0005-0000-0000-00008F460000}"/>
    <cellStyle name="Normal 16 2 3 2 6" xfId="4004" xr:uid="{00000000-0005-0000-0000-000090460000}"/>
    <cellStyle name="Normal 16 2 3 2 6 2" xfId="51845" xr:uid="{00000000-0005-0000-0000-000091460000}"/>
    <cellStyle name="Normal 16 2 3 2 6 3" xfId="35745" xr:uid="{00000000-0005-0000-0000-000092460000}"/>
    <cellStyle name="Normal 16 2 3 2 6 4" xfId="16609" xr:uid="{00000000-0005-0000-0000-000093460000}"/>
    <cellStyle name="Normal 16 2 3 2 7" xfId="42278" xr:uid="{00000000-0005-0000-0000-000094460000}"/>
    <cellStyle name="Normal 16 2 3 2 8" xfId="26178" xr:uid="{00000000-0005-0000-0000-000095460000}"/>
    <cellStyle name="Normal 16 2 3 2 9" xfId="13114" xr:uid="{00000000-0005-0000-0000-000096460000}"/>
    <cellStyle name="Normal 16 2 3 3" xfId="977" xr:uid="{00000000-0005-0000-0000-000097460000}"/>
    <cellStyle name="Normal 16 2 3 3 2" xfId="3005" xr:uid="{00000000-0005-0000-0000-000098460000}"/>
    <cellStyle name="Normal 16 2 3 3 2 2" xfId="9537" xr:uid="{00000000-0005-0000-0000-000099460000}"/>
    <cellStyle name="Normal 16 2 3 3 2 2 2" xfId="41278" xr:uid="{00000000-0005-0000-0000-00009A460000}"/>
    <cellStyle name="Normal 16 2 3 3 2 2 2 2" xfId="57378" xr:uid="{00000000-0005-0000-0000-00009B460000}"/>
    <cellStyle name="Normal 16 2 3 3 2 2 3" xfId="47811" xr:uid="{00000000-0005-0000-0000-00009C460000}"/>
    <cellStyle name="Normal 16 2 3 3 2 2 4" xfId="31711" xr:uid="{00000000-0005-0000-0000-00009D460000}"/>
    <cellStyle name="Normal 16 2 3 3 2 2 5" xfId="22142" xr:uid="{00000000-0005-0000-0000-00009E460000}"/>
    <cellStyle name="Normal 16 2 3 3 2 3" xfId="12573" xr:uid="{00000000-0005-0000-0000-00009F460000}"/>
    <cellStyle name="Normal 16 2 3 3 2 3 2" xfId="50847" xr:uid="{00000000-0005-0000-0000-0000A0460000}"/>
    <cellStyle name="Normal 16 2 3 3 2 3 3" xfId="34747" xr:uid="{00000000-0005-0000-0000-0000A1460000}"/>
    <cellStyle name="Normal 16 2 3 3 2 3 4" xfId="25178" xr:uid="{00000000-0005-0000-0000-0000A2460000}"/>
    <cellStyle name="Normal 16 2 3 3 2 4" xfId="6501" xr:uid="{00000000-0005-0000-0000-0000A3460000}"/>
    <cellStyle name="Normal 16 2 3 3 2 4 2" xfId="54342" xr:uid="{00000000-0005-0000-0000-0000A4460000}"/>
    <cellStyle name="Normal 16 2 3 3 2 4 3" xfId="38242" xr:uid="{00000000-0005-0000-0000-0000A5460000}"/>
    <cellStyle name="Normal 16 2 3 3 2 4 4" xfId="19106" xr:uid="{00000000-0005-0000-0000-0000A6460000}"/>
    <cellStyle name="Normal 16 2 3 3 2 5" xfId="44775" xr:uid="{00000000-0005-0000-0000-0000A7460000}"/>
    <cellStyle name="Normal 16 2 3 3 2 6" xfId="28675" xr:uid="{00000000-0005-0000-0000-0000A8460000}"/>
    <cellStyle name="Normal 16 2 3 3 2 7" xfId="15611" xr:uid="{00000000-0005-0000-0000-0000A9460000}"/>
    <cellStyle name="Normal 16 2 3 3 3" xfId="1987" xr:uid="{00000000-0005-0000-0000-0000AA460000}"/>
    <cellStyle name="Normal 16 2 3 3 3 2" xfId="8521" xr:uid="{00000000-0005-0000-0000-0000AB460000}"/>
    <cellStyle name="Normal 16 2 3 3 3 2 2" xfId="40262" xr:uid="{00000000-0005-0000-0000-0000AC460000}"/>
    <cellStyle name="Normal 16 2 3 3 3 2 2 2" xfId="56362" xr:uid="{00000000-0005-0000-0000-0000AD460000}"/>
    <cellStyle name="Normal 16 2 3 3 3 2 3" xfId="46795" xr:uid="{00000000-0005-0000-0000-0000AE460000}"/>
    <cellStyle name="Normal 16 2 3 3 3 2 4" xfId="30695" xr:uid="{00000000-0005-0000-0000-0000AF460000}"/>
    <cellStyle name="Normal 16 2 3 3 3 2 5" xfId="21126" xr:uid="{00000000-0005-0000-0000-0000B0460000}"/>
    <cellStyle name="Normal 16 2 3 3 3 3" xfId="11557" xr:uid="{00000000-0005-0000-0000-0000B1460000}"/>
    <cellStyle name="Normal 16 2 3 3 3 3 2" xfId="49831" xr:uid="{00000000-0005-0000-0000-0000B2460000}"/>
    <cellStyle name="Normal 16 2 3 3 3 3 3" xfId="33731" xr:uid="{00000000-0005-0000-0000-0000B3460000}"/>
    <cellStyle name="Normal 16 2 3 3 3 3 4" xfId="24162" xr:uid="{00000000-0005-0000-0000-0000B4460000}"/>
    <cellStyle name="Normal 16 2 3 3 3 4" xfId="5485" xr:uid="{00000000-0005-0000-0000-0000B5460000}"/>
    <cellStyle name="Normal 16 2 3 3 3 4 2" xfId="53326" xr:uid="{00000000-0005-0000-0000-0000B6460000}"/>
    <cellStyle name="Normal 16 2 3 3 3 4 3" xfId="37226" xr:uid="{00000000-0005-0000-0000-0000B7460000}"/>
    <cellStyle name="Normal 16 2 3 3 3 4 4" xfId="18090" xr:uid="{00000000-0005-0000-0000-0000B8460000}"/>
    <cellStyle name="Normal 16 2 3 3 3 5" xfId="43759" xr:uid="{00000000-0005-0000-0000-0000B9460000}"/>
    <cellStyle name="Normal 16 2 3 3 3 6" xfId="27659" xr:uid="{00000000-0005-0000-0000-0000BA460000}"/>
    <cellStyle name="Normal 16 2 3 3 3 7" xfId="14595" xr:uid="{00000000-0005-0000-0000-0000BB460000}"/>
    <cellStyle name="Normal 16 2 3 3 4" xfId="7511" xr:uid="{00000000-0005-0000-0000-0000BC460000}"/>
    <cellStyle name="Normal 16 2 3 3 4 2" xfId="39252" xr:uid="{00000000-0005-0000-0000-0000BD460000}"/>
    <cellStyle name="Normal 16 2 3 3 4 2 2" xfId="55352" xr:uid="{00000000-0005-0000-0000-0000BE460000}"/>
    <cellStyle name="Normal 16 2 3 3 4 3" xfId="45785" xr:uid="{00000000-0005-0000-0000-0000BF460000}"/>
    <cellStyle name="Normal 16 2 3 3 4 4" xfId="29685" xr:uid="{00000000-0005-0000-0000-0000C0460000}"/>
    <cellStyle name="Normal 16 2 3 3 4 5" xfId="20116" xr:uid="{00000000-0005-0000-0000-0000C1460000}"/>
    <cellStyle name="Normal 16 2 3 3 5" xfId="10547" xr:uid="{00000000-0005-0000-0000-0000C2460000}"/>
    <cellStyle name="Normal 16 2 3 3 5 2" xfId="48821" xr:uid="{00000000-0005-0000-0000-0000C3460000}"/>
    <cellStyle name="Normal 16 2 3 3 5 3" xfId="32721" xr:uid="{00000000-0005-0000-0000-0000C4460000}"/>
    <cellStyle name="Normal 16 2 3 3 5 4" xfId="23152" xr:uid="{00000000-0005-0000-0000-0000C5460000}"/>
    <cellStyle name="Normal 16 2 3 3 6" xfId="4475" xr:uid="{00000000-0005-0000-0000-0000C6460000}"/>
    <cellStyle name="Normal 16 2 3 3 6 2" xfId="52316" xr:uid="{00000000-0005-0000-0000-0000C7460000}"/>
    <cellStyle name="Normal 16 2 3 3 6 3" xfId="36216" xr:uid="{00000000-0005-0000-0000-0000C8460000}"/>
    <cellStyle name="Normal 16 2 3 3 6 4" xfId="17080" xr:uid="{00000000-0005-0000-0000-0000C9460000}"/>
    <cellStyle name="Normal 16 2 3 3 7" xfId="42749" xr:uid="{00000000-0005-0000-0000-0000CA460000}"/>
    <cellStyle name="Normal 16 2 3 3 8" xfId="26649" xr:uid="{00000000-0005-0000-0000-0000CB460000}"/>
    <cellStyle name="Normal 16 2 3 3 9" xfId="13585" xr:uid="{00000000-0005-0000-0000-0000CC460000}"/>
    <cellStyle name="Normal 16 2 3 4" xfId="2127" xr:uid="{00000000-0005-0000-0000-0000CD460000}"/>
    <cellStyle name="Normal 16 2 3 4 2" xfId="8661" xr:uid="{00000000-0005-0000-0000-0000CE460000}"/>
    <cellStyle name="Normal 16 2 3 4 2 2" xfId="40402" xr:uid="{00000000-0005-0000-0000-0000CF460000}"/>
    <cellStyle name="Normal 16 2 3 4 2 2 2" xfId="56502" xr:uid="{00000000-0005-0000-0000-0000D0460000}"/>
    <cellStyle name="Normal 16 2 3 4 2 3" xfId="46935" xr:uid="{00000000-0005-0000-0000-0000D1460000}"/>
    <cellStyle name="Normal 16 2 3 4 2 4" xfId="30835" xr:uid="{00000000-0005-0000-0000-0000D2460000}"/>
    <cellStyle name="Normal 16 2 3 4 2 5" xfId="21266" xr:uid="{00000000-0005-0000-0000-0000D3460000}"/>
    <cellStyle name="Normal 16 2 3 4 3" xfId="11697" xr:uid="{00000000-0005-0000-0000-0000D4460000}"/>
    <cellStyle name="Normal 16 2 3 4 3 2" xfId="49971" xr:uid="{00000000-0005-0000-0000-0000D5460000}"/>
    <cellStyle name="Normal 16 2 3 4 3 3" xfId="33871" xr:uid="{00000000-0005-0000-0000-0000D6460000}"/>
    <cellStyle name="Normal 16 2 3 4 3 4" xfId="24302" xr:uid="{00000000-0005-0000-0000-0000D7460000}"/>
    <cellStyle name="Normal 16 2 3 4 4" xfId="5625" xr:uid="{00000000-0005-0000-0000-0000D8460000}"/>
    <cellStyle name="Normal 16 2 3 4 4 2" xfId="53466" xr:uid="{00000000-0005-0000-0000-0000D9460000}"/>
    <cellStyle name="Normal 16 2 3 4 4 3" xfId="37366" xr:uid="{00000000-0005-0000-0000-0000DA460000}"/>
    <cellStyle name="Normal 16 2 3 4 4 4" xfId="18230" xr:uid="{00000000-0005-0000-0000-0000DB460000}"/>
    <cellStyle name="Normal 16 2 3 4 5" xfId="43899" xr:uid="{00000000-0005-0000-0000-0000DC460000}"/>
    <cellStyle name="Normal 16 2 3 4 6" xfId="27799" xr:uid="{00000000-0005-0000-0000-0000DD460000}"/>
    <cellStyle name="Normal 16 2 3 4 7" xfId="14735" xr:uid="{00000000-0005-0000-0000-0000DE460000}"/>
    <cellStyle name="Normal 16 2 3 5" xfId="1339" xr:uid="{00000000-0005-0000-0000-0000DF460000}"/>
    <cellStyle name="Normal 16 2 3 5 2" xfId="7873" xr:uid="{00000000-0005-0000-0000-0000E0460000}"/>
    <cellStyle name="Normal 16 2 3 5 2 2" xfId="39614" xr:uid="{00000000-0005-0000-0000-0000E1460000}"/>
    <cellStyle name="Normal 16 2 3 5 2 2 2" xfId="55714" xr:uid="{00000000-0005-0000-0000-0000E2460000}"/>
    <cellStyle name="Normal 16 2 3 5 2 3" xfId="46147" xr:uid="{00000000-0005-0000-0000-0000E3460000}"/>
    <cellStyle name="Normal 16 2 3 5 2 4" xfId="30047" xr:uid="{00000000-0005-0000-0000-0000E4460000}"/>
    <cellStyle name="Normal 16 2 3 5 2 5" xfId="20478" xr:uid="{00000000-0005-0000-0000-0000E5460000}"/>
    <cellStyle name="Normal 16 2 3 5 3" xfId="10909" xr:uid="{00000000-0005-0000-0000-0000E6460000}"/>
    <cellStyle name="Normal 16 2 3 5 3 2" xfId="49183" xr:uid="{00000000-0005-0000-0000-0000E7460000}"/>
    <cellStyle name="Normal 16 2 3 5 3 3" xfId="33083" xr:uid="{00000000-0005-0000-0000-0000E8460000}"/>
    <cellStyle name="Normal 16 2 3 5 3 4" xfId="23514" xr:uid="{00000000-0005-0000-0000-0000E9460000}"/>
    <cellStyle name="Normal 16 2 3 5 4" xfId="4837" xr:uid="{00000000-0005-0000-0000-0000EA460000}"/>
    <cellStyle name="Normal 16 2 3 5 4 2" xfId="52678" xr:uid="{00000000-0005-0000-0000-0000EB460000}"/>
    <cellStyle name="Normal 16 2 3 5 4 3" xfId="36578" xr:uid="{00000000-0005-0000-0000-0000EC460000}"/>
    <cellStyle name="Normal 16 2 3 5 4 4" xfId="17442" xr:uid="{00000000-0005-0000-0000-0000ED460000}"/>
    <cellStyle name="Normal 16 2 3 5 5" xfId="43111" xr:uid="{00000000-0005-0000-0000-0000EE460000}"/>
    <cellStyle name="Normal 16 2 3 5 6" xfId="27011" xr:uid="{00000000-0005-0000-0000-0000EF460000}"/>
    <cellStyle name="Normal 16 2 3 5 7" xfId="13947" xr:uid="{00000000-0005-0000-0000-0000F0460000}"/>
    <cellStyle name="Normal 16 2 3 6" xfId="3827" xr:uid="{00000000-0005-0000-0000-0000F1460000}"/>
    <cellStyle name="Normal 16 2 3 6 2" xfId="35568" xr:uid="{00000000-0005-0000-0000-0000F2460000}"/>
    <cellStyle name="Normal 16 2 3 6 2 2" xfId="51668" xr:uid="{00000000-0005-0000-0000-0000F3460000}"/>
    <cellStyle name="Normal 16 2 3 6 3" xfId="42101" xr:uid="{00000000-0005-0000-0000-0000F4460000}"/>
    <cellStyle name="Normal 16 2 3 6 4" xfId="26001" xr:uid="{00000000-0005-0000-0000-0000F5460000}"/>
    <cellStyle name="Normal 16 2 3 6 5" xfId="16432" xr:uid="{00000000-0005-0000-0000-0000F6460000}"/>
    <cellStyle name="Normal 16 2 3 7" xfId="6863" xr:uid="{00000000-0005-0000-0000-0000F7460000}"/>
    <cellStyle name="Normal 16 2 3 7 2" xfId="38604" xr:uid="{00000000-0005-0000-0000-0000F8460000}"/>
    <cellStyle name="Normal 16 2 3 7 2 2" xfId="54704" xr:uid="{00000000-0005-0000-0000-0000F9460000}"/>
    <cellStyle name="Normal 16 2 3 7 3" xfId="45137" xr:uid="{00000000-0005-0000-0000-0000FA460000}"/>
    <cellStyle name="Normal 16 2 3 7 4" xfId="29037" xr:uid="{00000000-0005-0000-0000-0000FB460000}"/>
    <cellStyle name="Normal 16 2 3 7 5" xfId="19468" xr:uid="{00000000-0005-0000-0000-0000FC460000}"/>
    <cellStyle name="Normal 16 2 3 8" xfId="9899" xr:uid="{00000000-0005-0000-0000-0000FD460000}"/>
    <cellStyle name="Normal 16 2 3 8 2" xfId="48173" xr:uid="{00000000-0005-0000-0000-0000FE460000}"/>
    <cellStyle name="Normal 16 2 3 8 3" xfId="32073" xr:uid="{00000000-0005-0000-0000-0000FF460000}"/>
    <cellStyle name="Normal 16 2 3 8 4" xfId="22504" xr:uid="{00000000-0005-0000-0000-000000470000}"/>
    <cellStyle name="Normal 16 2 3 9" xfId="3348" xr:uid="{00000000-0005-0000-0000-000001470000}"/>
    <cellStyle name="Normal 16 2 3 9 2" xfId="51189" xr:uid="{00000000-0005-0000-0000-000002470000}"/>
    <cellStyle name="Normal 16 2 3 9 3" xfId="35089" xr:uid="{00000000-0005-0000-0000-000003470000}"/>
    <cellStyle name="Normal 16 2 3 9 4" xfId="15953" xr:uid="{00000000-0005-0000-0000-000004470000}"/>
    <cellStyle name="Normal 16 2 4" xfId="179" xr:uid="{00000000-0005-0000-0000-000005470000}"/>
    <cellStyle name="Normal 16 2 4 10" xfId="26072" xr:uid="{00000000-0005-0000-0000-000006470000}"/>
    <cellStyle name="Normal 16 2 4 11" xfId="13008" xr:uid="{00000000-0005-0000-0000-000007470000}"/>
    <cellStyle name="Normal 16 2 4 2" xfId="356" xr:uid="{00000000-0005-0000-0000-000008470000}"/>
    <cellStyle name="Normal 16 2 4 2 2" xfId="2375" xr:uid="{00000000-0005-0000-0000-000009470000}"/>
    <cellStyle name="Normal 16 2 4 2 2 2" xfId="8909" xr:uid="{00000000-0005-0000-0000-00000A470000}"/>
    <cellStyle name="Normal 16 2 4 2 2 2 2" xfId="40650" xr:uid="{00000000-0005-0000-0000-00000B470000}"/>
    <cellStyle name="Normal 16 2 4 2 2 2 2 2" xfId="56750" xr:uid="{00000000-0005-0000-0000-00000C470000}"/>
    <cellStyle name="Normal 16 2 4 2 2 2 3" xfId="47183" xr:uid="{00000000-0005-0000-0000-00000D470000}"/>
    <cellStyle name="Normal 16 2 4 2 2 2 4" xfId="31083" xr:uid="{00000000-0005-0000-0000-00000E470000}"/>
    <cellStyle name="Normal 16 2 4 2 2 2 5" xfId="21514" xr:uid="{00000000-0005-0000-0000-00000F470000}"/>
    <cellStyle name="Normal 16 2 4 2 2 3" xfId="11945" xr:uid="{00000000-0005-0000-0000-000010470000}"/>
    <cellStyle name="Normal 16 2 4 2 2 3 2" xfId="50219" xr:uid="{00000000-0005-0000-0000-000011470000}"/>
    <cellStyle name="Normal 16 2 4 2 2 3 3" xfId="34119" xr:uid="{00000000-0005-0000-0000-000012470000}"/>
    <cellStyle name="Normal 16 2 4 2 2 3 4" xfId="24550" xr:uid="{00000000-0005-0000-0000-000013470000}"/>
    <cellStyle name="Normal 16 2 4 2 2 4" xfId="5873" xr:uid="{00000000-0005-0000-0000-000014470000}"/>
    <cellStyle name="Normal 16 2 4 2 2 4 2" xfId="53714" xr:uid="{00000000-0005-0000-0000-000015470000}"/>
    <cellStyle name="Normal 16 2 4 2 2 4 3" xfId="37614" xr:uid="{00000000-0005-0000-0000-000016470000}"/>
    <cellStyle name="Normal 16 2 4 2 2 4 4" xfId="18478" xr:uid="{00000000-0005-0000-0000-000017470000}"/>
    <cellStyle name="Normal 16 2 4 2 2 5" xfId="44147" xr:uid="{00000000-0005-0000-0000-000018470000}"/>
    <cellStyle name="Normal 16 2 4 2 2 6" xfId="28047" xr:uid="{00000000-0005-0000-0000-000019470000}"/>
    <cellStyle name="Normal 16 2 4 2 2 7" xfId="14983" xr:uid="{00000000-0005-0000-0000-00001A470000}"/>
    <cellStyle name="Normal 16 2 4 2 3" xfId="1587" xr:uid="{00000000-0005-0000-0000-00001B470000}"/>
    <cellStyle name="Normal 16 2 4 2 3 2" xfId="8121" xr:uid="{00000000-0005-0000-0000-00001C470000}"/>
    <cellStyle name="Normal 16 2 4 2 3 2 2" xfId="39862" xr:uid="{00000000-0005-0000-0000-00001D470000}"/>
    <cellStyle name="Normal 16 2 4 2 3 2 2 2" xfId="55962" xr:uid="{00000000-0005-0000-0000-00001E470000}"/>
    <cellStyle name="Normal 16 2 4 2 3 2 3" xfId="46395" xr:uid="{00000000-0005-0000-0000-00001F470000}"/>
    <cellStyle name="Normal 16 2 4 2 3 2 4" xfId="30295" xr:uid="{00000000-0005-0000-0000-000020470000}"/>
    <cellStyle name="Normal 16 2 4 2 3 2 5" xfId="20726" xr:uid="{00000000-0005-0000-0000-000021470000}"/>
    <cellStyle name="Normal 16 2 4 2 3 3" xfId="11157" xr:uid="{00000000-0005-0000-0000-000022470000}"/>
    <cellStyle name="Normal 16 2 4 2 3 3 2" xfId="49431" xr:uid="{00000000-0005-0000-0000-000023470000}"/>
    <cellStyle name="Normal 16 2 4 2 3 3 3" xfId="33331" xr:uid="{00000000-0005-0000-0000-000024470000}"/>
    <cellStyle name="Normal 16 2 4 2 3 3 4" xfId="23762" xr:uid="{00000000-0005-0000-0000-000025470000}"/>
    <cellStyle name="Normal 16 2 4 2 3 4" xfId="5085" xr:uid="{00000000-0005-0000-0000-000026470000}"/>
    <cellStyle name="Normal 16 2 4 2 3 4 2" xfId="52926" xr:uid="{00000000-0005-0000-0000-000027470000}"/>
    <cellStyle name="Normal 16 2 4 2 3 4 3" xfId="36826" xr:uid="{00000000-0005-0000-0000-000028470000}"/>
    <cellStyle name="Normal 16 2 4 2 3 4 4" xfId="17690" xr:uid="{00000000-0005-0000-0000-000029470000}"/>
    <cellStyle name="Normal 16 2 4 2 3 5" xfId="43359" xr:uid="{00000000-0005-0000-0000-00002A470000}"/>
    <cellStyle name="Normal 16 2 4 2 3 6" xfId="27259" xr:uid="{00000000-0005-0000-0000-00002B470000}"/>
    <cellStyle name="Normal 16 2 4 2 3 7" xfId="14195" xr:uid="{00000000-0005-0000-0000-00002C470000}"/>
    <cellStyle name="Normal 16 2 4 2 4" xfId="7111" xr:uid="{00000000-0005-0000-0000-00002D470000}"/>
    <cellStyle name="Normal 16 2 4 2 4 2" xfId="38852" xr:uid="{00000000-0005-0000-0000-00002E470000}"/>
    <cellStyle name="Normal 16 2 4 2 4 2 2" xfId="54952" xr:uid="{00000000-0005-0000-0000-00002F470000}"/>
    <cellStyle name="Normal 16 2 4 2 4 3" xfId="45385" xr:uid="{00000000-0005-0000-0000-000030470000}"/>
    <cellStyle name="Normal 16 2 4 2 4 4" xfId="29285" xr:uid="{00000000-0005-0000-0000-000031470000}"/>
    <cellStyle name="Normal 16 2 4 2 4 5" xfId="19716" xr:uid="{00000000-0005-0000-0000-000032470000}"/>
    <cellStyle name="Normal 16 2 4 2 5" xfId="10147" xr:uid="{00000000-0005-0000-0000-000033470000}"/>
    <cellStyle name="Normal 16 2 4 2 5 2" xfId="48421" xr:uid="{00000000-0005-0000-0000-000034470000}"/>
    <cellStyle name="Normal 16 2 4 2 5 3" xfId="32321" xr:uid="{00000000-0005-0000-0000-000035470000}"/>
    <cellStyle name="Normal 16 2 4 2 5 4" xfId="22752" xr:uid="{00000000-0005-0000-0000-000036470000}"/>
    <cellStyle name="Normal 16 2 4 2 6" xfId="4075" xr:uid="{00000000-0005-0000-0000-000037470000}"/>
    <cellStyle name="Normal 16 2 4 2 6 2" xfId="51916" xr:uid="{00000000-0005-0000-0000-000038470000}"/>
    <cellStyle name="Normal 16 2 4 2 6 3" xfId="35816" xr:uid="{00000000-0005-0000-0000-000039470000}"/>
    <cellStyle name="Normal 16 2 4 2 6 4" xfId="16680" xr:uid="{00000000-0005-0000-0000-00003A470000}"/>
    <cellStyle name="Normal 16 2 4 2 7" xfId="42349" xr:uid="{00000000-0005-0000-0000-00003B470000}"/>
    <cellStyle name="Normal 16 2 4 2 8" xfId="26249" xr:uid="{00000000-0005-0000-0000-00003C470000}"/>
    <cellStyle name="Normal 16 2 4 2 9" xfId="13185" xr:uid="{00000000-0005-0000-0000-00003D470000}"/>
    <cellStyle name="Normal 16 2 4 3" xfId="996" xr:uid="{00000000-0005-0000-0000-00003E470000}"/>
    <cellStyle name="Normal 16 2 4 3 2" xfId="3024" xr:uid="{00000000-0005-0000-0000-00003F470000}"/>
    <cellStyle name="Normal 16 2 4 3 2 2" xfId="9556" xr:uid="{00000000-0005-0000-0000-000040470000}"/>
    <cellStyle name="Normal 16 2 4 3 2 2 2" xfId="41297" xr:uid="{00000000-0005-0000-0000-000041470000}"/>
    <cellStyle name="Normal 16 2 4 3 2 2 2 2" xfId="57397" xr:uid="{00000000-0005-0000-0000-000042470000}"/>
    <cellStyle name="Normal 16 2 4 3 2 2 3" xfId="47830" xr:uid="{00000000-0005-0000-0000-000043470000}"/>
    <cellStyle name="Normal 16 2 4 3 2 2 4" xfId="31730" xr:uid="{00000000-0005-0000-0000-000044470000}"/>
    <cellStyle name="Normal 16 2 4 3 2 2 5" xfId="22161" xr:uid="{00000000-0005-0000-0000-000045470000}"/>
    <cellStyle name="Normal 16 2 4 3 2 3" xfId="12592" xr:uid="{00000000-0005-0000-0000-000046470000}"/>
    <cellStyle name="Normal 16 2 4 3 2 3 2" xfId="50866" xr:uid="{00000000-0005-0000-0000-000047470000}"/>
    <cellStyle name="Normal 16 2 4 3 2 3 3" xfId="34766" xr:uid="{00000000-0005-0000-0000-000048470000}"/>
    <cellStyle name="Normal 16 2 4 3 2 3 4" xfId="25197" xr:uid="{00000000-0005-0000-0000-000049470000}"/>
    <cellStyle name="Normal 16 2 4 3 2 4" xfId="6520" xr:uid="{00000000-0005-0000-0000-00004A470000}"/>
    <cellStyle name="Normal 16 2 4 3 2 4 2" xfId="54361" xr:uid="{00000000-0005-0000-0000-00004B470000}"/>
    <cellStyle name="Normal 16 2 4 3 2 4 3" xfId="38261" xr:uid="{00000000-0005-0000-0000-00004C470000}"/>
    <cellStyle name="Normal 16 2 4 3 2 4 4" xfId="19125" xr:uid="{00000000-0005-0000-0000-00004D470000}"/>
    <cellStyle name="Normal 16 2 4 3 2 5" xfId="44794" xr:uid="{00000000-0005-0000-0000-00004E470000}"/>
    <cellStyle name="Normal 16 2 4 3 2 6" xfId="28694" xr:uid="{00000000-0005-0000-0000-00004F470000}"/>
    <cellStyle name="Normal 16 2 4 3 2 7" xfId="15630" xr:uid="{00000000-0005-0000-0000-000050470000}"/>
    <cellStyle name="Normal 16 2 4 3 3" xfId="2006" xr:uid="{00000000-0005-0000-0000-000051470000}"/>
    <cellStyle name="Normal 16 2 4 3 3 2" xfId="8540" xr:uid="{00000000-0005-0000-0000-000052470000}"/>
    <cellStyle name="Normal 16 2 4 3 3 2 2" xfId="40281" xr:uid="{00000000-0005-0000-0000-000053470000}"/>
    <cellStyle name="Normal 16 2 4 3 3 2 2 2" xfId="56381" xr:uid="{00000000-0005-0000-0000-000054470000}"/>
    <cellStyle name="Normal 16 2 4 3 3 2 3" xfId="46814" xr:uid="{00000000-0005-0000-0000-000055470000}"/>
    <cellStyle name="Normal 16 2 4 3 3 2 4" xfId="30714" xr:uid="{00000000-0005-0000-0000-000056470000}"/>
    <cellStyle name="Normal 16 2 4 3 3 2 5" xfId="21145" xr:uid="{00000000-0005-0000-0000-000057470000}"/>
    <cellStyle name="Normal 16 2 4 3 3 3" xfId="11576" xr:uid="{00000000-0005-0000-0000-000058470000}"/>
    <cellStyle name="Normal 16 2 4 3 3 3 2" xfId="49850" xr:uid="{00000000-0005-0000-0000-000059470000}"/>
    <cellStyle name="Normal 16 2 4 3 3 3 3" xfId="33750" xr:uid="{00000000-0005-0000-0000-00005A470000}"/>
    <cellStyle name="Normal 16 2 4 3 3 3 4" xfId="24181" xr:uid="{00000000-0005-0000-0000-00005B470000}"/>
    <cellStyle name="Normal 16 2 4 3 3 4" xfId="5504" xr:uid="{00000000-0005-0000-0000-00005C470000}"/>
    <cellStyle name="Normal 16 2 4 3 3 4 2" xfId="53345" xr:uid="{00000000-0005-0000-0000-00005D470000}"/>
    <cellStyle name="Normal 16 2 4 3 3 4 3" xfId="37245" xr:uid="{00000000-0005-0000-0000-00005E470000}"/>
    <cellStyle name="Normal 16 2 4 3 3 4 4" xfId="18109" xr:uid="{00000000-0005-0000-0000-00005F470000}"/>
    <cellStyle name="Normal 16 2 4 3 3 5" xfId="43778" xr:uid="{00000000-0005-0000-0000-000060470000}"/>
    <cellStyle name="Normal 16 2 4 3 3 6" xfId="27678" xr:uid="{00000000-0005-0000-0000-000061470000}"/>
    <cellStyle name="Normal 16 2 4 3 3 7" xfId="14614" xr:uid="{00000000-0005-0000-0000-000062470000}"/>
    <cellStyle name="Normal 16 2 4 3 4" xfId="7530" xr:uid="{00000000-0005-0000-0000-000063470000}"/>
    <cellStyle name="Normal 16 2 4 3 4 2" xfId="39271" xr:uid="{00000000-0005-0000-0000-000064470000}"/>
    <cellStyle name="Normal 16 2 4 3 4 2 2" xfId="55371" xr:uid="{00000000-0005-0000-0000-000065470000}"/>
    <cellStyle name="Normal 16 2 4 3 4 3" xfId="45804" xr:uid="{00000000-0005-0000-0000-000066470000}"/>
    <cellStyle name="Normal 16 2 4 3 4 4" xfId="29704" xr:uid="{00000000-0005-0000-0000-000067470000}"/>
    <cellStyle name="Normal 16 2 4 3 4 5" xfId="20135" xr:uid="{00000000-0005-0000-0000-000068470000}"/>
    <cellStyle name="Normal 16 2 4 3 5" xfId="10566" xr:uid="{00000000-0005-0000-0000-000069470000}"/>
    <cellStyle name="Normal 16 2 4 3 5 2" xfId="48840" xr:uid="{00000000-0005-0000-0000-00006A470000}"/>
    <cellStyle name="Normal 16 2 4 3 5 3" xfId="32740" xr:uid="{00000000-0005-0000-0000-00006B470000}"/>
    <cellStyle name="Normal 16 2 4 3 5 4" xfId="23171" xr:uid="{00000000-0005-0000-0000-00006C470000}"/>
    <cellStyle name="Normal 16 2 4 3 6" xfId="4494" xr:uid="{00000000-0005-0000-0000-00006D470000}"/>
    <cellStyle name="Normal 16 2 4 3 6 2" xfId="52335" xr:uid="{00000000-0005-0000-0000-00006E470000}"/>
    <cellStyle name="Normal 16 2 4 3 6 3" xfId="36235" xr:uid="{00000000-0005-0000-0000-00006F470000}"/>
    <cellStyle name="Normal 16 2 4 3 6 4" xfId="17099" xr:uid="{00000000-0005-0000-0000-000070470000}"/>
    <cellStyle name="Normal 16 2 4 3 7" xfId="42768" xr:uid="{00000000-0005-0000-0000-000071470000}"/>
    <cellStyle name="Normal 16 2 4 3 8" xfId="26668" xr:uid="{00000000-0005-0000-0000-000072470000}"/>
    <cellStyle name="Normal 16 2 4 3 9" xfId="13604" xr:uid="{00000000-0005-0000-0000-000073470000}"/>
    <cellStyle name="Normal 16 2 4 4" xfId="2198" xr:uid="{00000000-0005-0000-0000-000074470000}"/>
    <cellStyle name="Normal 16 2 4 4 2" xfId="8732" xr:uid="{00000000-0005-0000-0000-000075470000}"/>
    <cellStyle name="Normal 16 2 4 4 2 2" xfId="40473" xr:uid="{00000000-0005-0000-0000-000076470000}"/>
    <cellStyle name="Normal 16 2 4 4 2 2 2" xfId="56573" xr:uid="{00000000-0005-0000-0000-000077470000}"/>
    <cellStyle name="Normal 16 2 4 4 2 3" xfId="47006" xr:uid="{00000000-0005-0000-0000-000078470000}"/>
    <cellStyle name="Normal 16 2 4 4 2 4" xfId="30906" xr:uid="{00000000-0005-0000-0000-000079470000}"/>
    <cellStyle name="Normal 16 2 4 4 2 5" xfId="21337" xr:uid="{00000000-0005-0000-0000-00007A470000}"/>
    <cellStyle name="Normal 16 2 4 4 3" xfId="11768" xr:uid="{00000000-0005-0000-0000-00007B470000}"/>
    <cellStyle name="Normal 16 2 4 4 3 2" xfId="50042" xr:uid="{00000000-0005-0000-0000-00007C470000}"/>
    <cellStyle name="Normal 16 2 4 4 3 3" xfId="33942" xr:uid="{00000000-0005-0000-0000-00007D470000}"/>
    <cellStyle name="Normal 16 2 4 4 3 4" xfId="24373" xr:uid="{00000000-0005-0000-0000-00007E470000}"/>
    <cellStyle name="Normal 16 2 4 4 4" xfId="5696" xr:uid="{00000000-0005-0000-0000-00007F470000}"/>
    <cellStyle name="Normal 16 2 4 4 4 2" xfId="53537" xr:uid="{00000000-0005-0000-0000-000080470000}"/>
    <cellStyle name="Normal 16 2 4 4 4 3" xfId="37437" xr:uid="{00000000-0005-0000-0000-000081470000}"/>
    <cellStyle name="Normal 16 2 4 4 4 4" xfId="18301" xr:uid="{00000000-0005-0000-0000-000082470000}"/>
    <cellStyle name="Normal 16 2 4 4 5" xfId="43970" xr:uid="{00000000-0005-0000-0000-000083470000}"/>
    <cellStyle name="Normal 16 2 4 4 6" xfId="27870" xr:uid="{00000000-0005-0000-0000-000084470000}"/>
    <cellStyle name="Normal 16 2 4 4 7" xfId="14806" xr:uid="{00000000-0005-0000-0000-000085470000}"/>
    <cellStyle name="Normal 16 2 4 5" xfId="1410" xr:uid="{00000000-0005-0000-0000-000086470000}"/>
    <cellStyle name="Normal 16 2 4 5 2" xfId="7944" xr:uid="{00000000-0005-0000-0000-000087470000}"/>
    <cellStyle name="Normal 16 2 4 5 2 2" xfId="39685" xr:uid="{00000000-0005-0000-0000-000088470000}"/>
    <cellStyle name="Normal 16 2 4 5 2 2 2" xfId="55785" xr:uid="{00000000-0005-0000-0000-000089470000}"/>
    <cellStyle name="Normal 16 2 4 5 2 3" xfId="46218" xr:uid="{00000000-0005-0000-0000-00008A470000}"/>
    <cellStyle name="Normal 16 2 4 5 2 4" xfId="30118" xr:uid="{00000000-0005-0000-0000-00008B470000}"/>
    <cellStyle name="Normal 16 2 4 5 2 5" xfId="20549" xr:uid="{00000000-0005-0000-0000-00008C470000}"/>
    <cellStyle name="Normal 16 2 4 5 3" xfId="10980" xr:uid="{00000000-0005-0000-0000-00008D470000}"/>
    <cellStyle name="Normal 16 2 4 5 3 2" xfId="49254" xr:uid="{00000000-0005-0000-0000-00008E470000}"/>
    <cellStyle name="Normal 16 2 4 5 3 3" xfId="33154" xr:uid="{00000000-0005-0000-0000-00008F470000}"/>
    <cellStyle name="Normal 16 2 4 5 3 4" xfId="23585" xr:uid="{00000000-0005-0000-0000-000090470000}"/>
    <cellStyle name="Normal 16 2 4 5 4" xfId="4908" xr:uid="{00000000-0005-0000-0000-000091470000}"/>
    <cellStyle name="Normal 16 2 4 5 4 2" xfId="52749" xr:uid="{00000000-0005-0000-0000-000092470000}"/>
    <cellStyle name="Normal 16 2 4 5 4 3" xfId="36649" xr:uid="{00000000-0005-0000-0000-000093470000}"/>
    <cellStyle name="Normal 16 2 4 5 4 4" xfId="17513" xr:uid="{00000000-0005-0000-0000-000094470000}"/>
    <cellStyle name="Normal 16 2 4 5 5" xfId="43182" xr:uid="{00000000-0005-0000-0000-000095470000}"/>
    <cellStyle name="Normal 16 2 4 5 6" xfId="27082" xr:uid="{00000000-0005-0000-0000-000096470000}"/>
    <cellStyle name="Normal 16 2 4 5 7" xfId="14018" xr:uid="{00000000-0005-0000-0000-000097470000}"/>
    <cellStyle name="Normal 16 2 4 6" xfId="6934" xr:uid="{00000000-0005-0000-0000-000098470000}"/>
    <cellStyle name="Normal 16 2 4 6 2" xfId="38675" xr:uid="{00000000-0005-0000-0000-000099470000}"/>
    <cellStyle name="Normal 16 2 4 6 2 2" xfId="54775" xr:uid="{00000000-0005-0000-0000-00009A470000}"/>
    <cellStyle name="Normal 16 2 4 6 3" xfId="45208" xr:uid="{00000000-0005-0000-0000-00009B470000}"/>
    <cellStyle name="Normal 16 2 4 6 4" xfId="29108" xr:uid="{00000000-0005-0000-0000-00009C470000}"/>
    <cellStyle name="Normal 16 2 4 6 5" xfId="19539" xr:uid="{00000000-0005-0000-0000-00009D470000}"/>
    <cellStyle name="Normal 16 2 4 7" xfId="9970" xr:uid="{00000000-0005-0000-0000-00009E470000}"/>
    <cellStyle name="Normal 16 2 4 7 2" xfId="48244" xr:uid="{00000000-0005-0000-0000-00009F470000}"/>
    <cellStyle name="Normal 16 2 4 7 3" xfId="32144" xr:uid="{00000000-0005-0000-0000-0000A0470000}"/>
    <cellStyle name="Normal 16 2 4 7 4" xfId="22575" xr:uid="{00000000-0005-0000-0000-0000A1470000}"/>
    <cellStyle name="Normal 16 2 4 8" xfId="3898" xr:uid="{00000000-0005-0000-0000-0000A2470000}"/>
    <cellStyle name="Normal 16 2 4 8 2" xfId="51739" xr:uid="{00000000-0005-0000-0000-0000A3470000}"/>
    <cellStyle name="Normal 16 2 4 8 3" xfId="35639" xr:uid="{00000000-0005-0000-0000-0000A4470000}"/>
    <cellStyle name="Normal 16 2 4 8 4" xfId="16503" xr:uid="{00000000-0005-0000-0000-0000A5470000}"/>
    <cellStyle name="Normal 16 2 4 9" xfId="42172" xr:uid="{00000000-0005-0000-0000-0000A6470000}"/>
    <cellStyle name="Normal 16 2 5" xfId="250" xr:uid="{00000000-0005-0000-0000-0000A7470000}"/>
    <cellStyle name="Normal 16 2 5 2" xfId="2269" xr:uid="{00000000-0005-0000-0000-0000A8470000}"/>
    <cellStyle name="Normal 16 2 5 2 2" xfId="8803" xr:uid="{00000000-0005-0000-0000-0000A9470000}"/>
    <cellStyle name="Normal 16 2 5 2 2 2" xfId="40544" xr:uid="{00000000-0005-0000-0000-0000AA470000}"/>
    <cellStyle name="Normal 16 2 5 2 2 2 2" xfId="56644" xr:uid="{00000000-0005-0000-0000-0000AB470000}"/>
    <cellStyle name="Normal 16 2 5 2 2 3" xfId="47077" xr:uid="{00000000-0005-0000-0000-0000AC470000}"/>
    <cellStyle name="Normal 16 2 5 2 2 4" xfId="30977" xr:uid="{00000000-0005-0000-0000-0000AD470000}"/>
    <cellStyle name="Normal 16 2 5 2 2 5" xfId="21408" xr:uid="{00000000-0005-0000-0000-0000AE470000}"/>
    <cellStyle name="Normal 16 2 5 2 3" xfId="11839" xr:uid="{00000000-0005-0000-0000-0000AF470000}"/>
    <cellStyle name="Normal 16 2 5 2 3 2" xfId="50113" xr:uid="{00000000-0005-0000-0000-0000B0470000}"/>
    <cellStyle name="Normal 16 2 5 2 3 3" xfId="34013" xr:uid="{00000000-0005-0000-0000-0000B1470000}"/>
    <cellStyle name="Normal 16 2 5 2 3 4" xfId="24444" xr:uid="{00000000-0005-0000-0000-0000B2470000}"/>
    <cellStyle name="Normal 16 2 5 2 4" xfId="5767" xr:uid="{00000000-0005-0000-0000-0000B3470000}"/>
    <cellStyle name="Normal 16 2 5 2 4 2" xfId="53608" xr:uid="{00000000-0005-0000-0000-0000B4470000}"/>
    <cellStyle name="Normal 16 2 5 2 4 3" xfId="37508" xr:uid="{00000000-0005-0000-0000-0000B5470000}"/>
    <cellStyle name="Normal 16 2 5 2 4 4" xfId="18372" xr:uid="{00000000-0005-0000-0000-0000B6470000}"/>
    <cellStyle name="Normal 16 2 5 2 5" xfId="44041" xr:uid="{00000000-0005-0000-0000-0000B7470000}"/>
    <cellStyle name="Normal 16 2 5 2 6" xfId="27941" xr:uid="{00000000-0005-0000-0000-0000B8470000}"/>
    <cellStyle name="Normal 16 2 5 2 7" xfId="14877" xr:uid="{00000000-0005-0000-0000-0000B9470000}"/>
    <cellStyle name="Normal 16 2 5 3" xfId="1481" xr:uid="{00000000-0005-0000-0000-0000BA470000}"/>
    <cellStyle name="Normal 16 2 5 3 2" xfId="8015" xr:uid="{00000000-0005-0000-0000-0000BB470000}"/>
    <cellStyle name="Normal 16 2 5 3 2 2" xfId="39756" xr:uid="{00000000-0005-0000-0000-0000BC470000}"/>
    <cellStyle name="Normal 16 2 5 3 2 2 2" xfId="55856" xr:uid="{00000000-0005-0000-0000-0000BD470000}"/>
    <cellStyle name="Normal 16 2 5 3 2 3" xfId="46289" xr:uid="{00000000-0005-0000-0000-0000BE470000}"/>
    <cellStyle name="Normal 16 2 5 3 2 4" xfId="30189" xr:uid="{00000000-0005-0000-0000-0000BF470000}"/>
    <cellStyle name="Normal 16 2 5 3 2 5" xfId="20620" xr:uid="{00000000-0005-0000-0000-0000C0470000}"/>
    <cellStyle name="Normal 16 2 5 3 3" xfId="11051" xr:uid="{00000000-0005-0000-0000-0000C1470000}"/>
    <cellStyle name="Normal 16 2 5 3 3 2" xfId="49325" xr:uid="{00000000-0005-0000-0000-0000C2470000}"/>
    <cellStyle name="Normal 16 2 5 3 3 3" xfId="33225" xr:uid="{00000000-0005-0000-0000-0000C3470000}"/>
    <cellStyle name="Normal 16 2 5 3 3 4" xfId="23656" xr:uid="{00000000-0005-0000-0000-0000C4470000}"/>
    <cellStyle name="Normal 16 2 5 3 4" xfId="4979" xr:uid="{00000000-0005-0000-0000-0000C5470000}"/>
    <cellStyle name="Normal 16 2 5 3 4 2" xfId="52820" xr:uid="{00000000-0005-0000-0000-0000C6470000}"/>
    <cellStyle name="Normal 16 2 5 3 4 3" xfId="36720" xr:uid="{00000000-0005-0000-0000-0000C7470000}"/>
    <cellStyle name="Normal 16 2 5 3 4 4" xfId="17584" xr:uid="{00000000-0005-0000-0000-0000C8470000}"/>
    <cellStyle name="Normal 16 2 5 3 5" xfId="43253" xr:uid="{00000000-0005-0000-0000-0000C9470000}"/>
    <cellStyle name="Normal 16 2 5 3 6" xfId="27153" xr:uid="{00000000-0005-0000-0000-0000CA470000}"/>
    <cellStyle name="Normal 16 2 5 3 7" xfId="14089" xr:uid="{00000000-0005-0000-0000-0000CB470000}"/>
    <cellStyle name="Normal 16 2 5 4" xfId="7005" xr:uid="{00000000-0005-0000-0000-0000CC470000}"/>
    <cellStyle name="Normal 16 2 5 4 2" xfId="38746" xr:uid="{00000000-0005-0000-0000-0000CD470000}"/>
    <cellStyle name="Normal 16 2 5 4 2 2" xfId="54846" xr:uid="{00000000-0005-0000-0000-0000CE470000}"/>
    <cellStyle name="Normal 16 2 5 4 3" xfId="45279" xr:uid="{00000000-0005-0000-0000-0000CF470000}"/>
    <cellStyle name="Normal 16 2 5 4 4" xfId="29179" xr:uid="{00000000-0005-0000-0000-0000D0470000}"/>
    <cellStyle name="Normal 16 2 5 4 5" xfId="19610" xr:uid="{00000000-0005-0000-0000-0000D1470000}"/>
    <cellStyle name="Normal 16 2 5 5" xfId="10041" xr:uid="{00000000-0005-0000-0000-0000D2470000}"/>
    <cellStyle name="Normal 16 2 5 5 2" xfId="48315" xr:uid="{00000000-0005-0000-0000-0000D3470000}"/>
    <cellStyle name="Normal 16 2 5 5 3" xfId="32215" xr:uid="{00000000-0005-0000-0000-0000D4470000}"/>
    <cellStyle name="Normal 16 2 5 5 4" xfId="22646" xr:uid="{00000000-0005-0000-0000-0000D5470000}"/>
    <cellStyle name="Normal 16 2 5 6" xfId="3969" xr:uid="{00000000-0005-0000-0000-0000D6470000}"/>
    <cellStyle name="Normal 16 2 5 6 2" xfId="51810" xr:uid="{00000000-0005-0000-0000-0000D7470000}"/>
    <cellStyle name="Normal 16 2 5 6 3" xfId="35710" xr:uid="{00000000-0005-0000-0000-0000D8470000}"/>
    <cellStyle name="Normal 16 2 5 6 4" xfId="16574" xr:uid="{00000000-0005-0000-0000-0000D9470000}"/>
    <cellStyle name="Normal 16 2 5 7" xfId="42243" xr:uid="{00000000-0005-0000-0000-0000DA470000}"/>
    <cellStyle name="Normal 16 2 5 8" xfId="26143" xr:uid="{00000000-0005-0000-0000-0000DB470000}"/>
    <cellStyle name="Normal 16 2 5 9" xfId="13079" xr:uid="{00000000-0005-0000-0000-0000DC470000}"/>
    <cellStyle name="Normal 16 2 6" xfId="525" xr:uid="{00000000-0005-0000-0000-0000DD470000}"/>
    <cellStyle name="Normal 16 2 6 2" xfId="2555" xr:uid="{00000000-0005-0000-0000-0000DE470000}"/>
    <cellStyle name="Normal 16 2 6 2 2" xfId="9087" xr:uid="{00000000-0005-0000-0000-0000DF470000}"/>
    <cellStyle name="Normal 16 2 6 2 2 2" xfId="40828" xr:uid="{00000000-0005-0000-0000-0000E0470000}"/>
    <cellStyle name="Normal 16 2 6 2 2 2 2" xfId="56928" xr:uid="{00000000-0005-0000-0000-0000E1470000}"/>
    <cellStyle name="Normal 16 2 6 2 2 3" xfId="47361" xr:uid="{00000000-0005-0000-0000-0000E2470000}"/>
    <cellStyle name="Normal 16 2 6 2 2 4" xfId="31261" xr:uid="{00000000-0005-0000-0000-0000E3470000}"/>
    <cellStyle name="Normal 16 2 6 2 2 5" xfId="21692" xr:uid="{00000000-0005-0000-0000-0000E4470000}"/>
    <cellStyle name="Normal 16 2 6 2 3" xfId="12123" xr:uid="{00000000-0005-0000-0000-0000E5470000}"/>
    <cellStyle name="Normal 16 2 6 2 3 2" xfId="50397" xr:uid="{00000000-0005-0000-0000-0000E6470000}"/>
    <cellStyle name="Normal 16 2 6 2 3 3" xfId="34297" xr:uid="{00000000-0005-0000-0000-0000E7470000}"/>
    <cellStyle name="Normal 16 2 6 2 3 4" xfId="24728" xr:uid="{00000000-0005-0000-0000-0000E8470000}"/>
    <cellStyle name="Normal 16 2 6 2 4" xfId="6051" xr:uid="{00000000-0005-0000-0000-0000E9470000}"/>
    <cellStyle name="Normal 16 2 6 2 4 2" xfId="53892" xr:uid="{00000000-0005-0000-0000-0000EA470000}"/>
    <cellStyle name="Normal 16 2 6 2 4 3" xfId="37792" xr:uid="{00000000-0005-0000-0000-0000EB470000}"/>
    <cellStyle name="Normal 16 2 6 2 4 4" xfId="18656" xr:uid="{00000000-0005-0000-0000-0000EC470000}"/>
    <cellStyle name="Normal 16 2 6 2 5" xfId="44325" xr:uid="{00000000-0005-0000-0000-0000ED470000}"/>
    <cellStyle name="Normal 16 2 6 2 6" xfId="28225" xr:uid="{00000000-0005-0000-0000-0000EE470000}"/>
    <cellStyle name="Normal 16 2 6 2 7" xfId="15161" xr:uid="{00000000-0005-0000-0000-0000EF470000}"/>
    <cellStyle name="Normal 16 2 6 3" xfId="1304" xr:uid="{00000000-0005-0000-0000-0000F0470000}"/>
    <cellStyle name="Normal 16 2 6 3 2" xfId="7838" xr:uid="{00000000-0005-0000-0000-0000F1470000}"/>
    <cellStyle name="Normal 16 2 6 3 2 2" xfId="39579" xr:uid="{00000000-0005-0000-0000-0000F2470000}"/>
    <cellStyle name="Normal 16 2 6 3 2 2 2" xfId="55679" xr:uid="{00000000-0005-0000-0000-0000F3470000}"/>
    <cellStyle name="Normal 16 2 6 3 2 3" xfId="46112" xr:uid="{00000000-0005-0000-0000-0000F4470000}"/>
    <cellStyle name="Normal 16 2 6 3 2 4" xfId="30012" xr:uid="{00000000-0005-0000-0000-0000F5470000}"/>
    <cellStyle name="Normal 16 2 6 3 2 5" xfId="20443" xr:uid="{00000000-0005-0000-0000-0000F6470000}"/>
    <cellStyle name="Normal 16 2 6 3 3" xfId="10874" xr:uid="{00000000-0005-0000-0000-0000F7470000}"/>
    <cellStyle name="Normal 16 2 6 3 3 2" xfId="49148" xr:uid="{00000000-0005-0000-0000-0000F8470000}"/>
    <cellStyle name="Normal 16 2 6 3 3 3" xfId="33048" xr:uid="{00000000-0005-0000-0000-0000F9470000}"/>
    <cellStyle name="Normal 16 2 6 3 3 4" xfId="23479" xr:uid="{00000000-0005-0000-0000-0000FA470000}"/>
    <cellStyle name="Normal 16 2 6 3 4" xfId="4802" xr:uid="{00000000-0005-0000-0000-0000FB470000}"/>
    <cellStyle name="Normal 16 2 6 3 4 2" xfId="52643" xr:uid="{00000000-0005-0000-0000-0000FC470000}"/>
    <cellStyle name="Normal 16 2 6 3 4 3" xfId="36543" xr:uid="{00000000-0005-0000-0000-0000FD470000}"/>
    <cellStyle name="Normal 16 2 6 3 4 4" xfId="17407" xr:uid="{00000000-0005-0000-0000-0000FE470000}"/>
    <cellStyle name="Normal 16 2 6 3 5" xfId="43076" xr:uid="{00000000-0005-0000-0000-0000FF470000}"/>
    <cellStyle name="Normal 16 2 6 3 6" xfId="26976" xr:uid="{00000000-0005-0000-0000-000000480000}"/>
    <cellStyle name="Normal 16 2 6 3 7" xfId="13912" xr:uid="{00000000-0005-0000-0000-000001480000}"/>
    <cellStyle name="Normal 16 2 6 4" xfId="6828" xr:uid="{00000000-0005-0000-0000-000002480000}"/>
    <cellStyle name="Normal 16 2 6 4 2" xfId="38569" xr:uid="{00000000-0005-0000-0000-000003480000}"/>
    <cellStyle name="Normal 16 2 6 4 2 2" xfId="54669" xr:uid="{00000000-0005-0000-0000-000004480000}"/>
    <cellStyle name="Normal 16 2 6 4 3" xfId="45102" xr:uid="{00000000-0005-0000-0000-000005480000}"/>
    <cellStyle name="Normal 16 2 6 4 4" xfId="29002" xr:uid="{00000000-0005-0000-0000-000006480000}"/>
    <cellStyle name="Normal 16 2 6 4 5" xfId="19433" xr:uid="{00000000-0005-0000-0000-000007480000}"/>
    <cellStyle name="Normal 16 2 6 5" xfId="9864" xr:uid="{00000000-0005-0000-0000-000008480000}"/>
    <cellStyle name="Normal 16 2 6 5 2" xfId="48138" xr:uid="{00000000-0005-0000-0000-000009480000}"/>
    <cellStyle name="Normal 16 2 6 5 3" xfId="32038" xr:uid="{00000000-0005-0000-0000-00000A480000}"/>
    <cellStyle name="Normal 16 2 6 5 4" xfId="22469" xr:uid="{00000000-0005-0000-0000-00000B480000}"/>
    <cellStyle name="Normal 16 2 6 6" xfId="3792" xr:uid="{00000000-0005-0000-0000-00000C480000}"/>
    <cellStyle name="Normal 16 2 6 6 2" xfId="51633" xr:uid="{00000000-0005-0000-0000-00000D480000}"/>
    <cellStyle name="Normal 16 2 6 6 3" xfId="35533" xr:uid="{00000000-0005-0000-0000-00000E480000}"/>
    <cellStyle name="Normal 16 2 6 6 4" xfId="16397" xr:uid="{00000000-0005-0000-0000-00000F480000}"/>
    <cellStyle name="Normal 16 2 6 7" xfId="42066" xr:uid="{00000000-0005-0000-0000-000010480000}"/>
    <cellStyle name="Normal 16 2 6 8" xfId="25966" xr:uid="{00000000-0005-0000-0000-000011480000}"/>
    <cellStyle name="Normal 16 2 6 9" xfId="12902" xr:uid="{00000000-0005-0000-0000-000012480000}"/>
    <cellStyle name="Normal 16 2 7" xfId="755" xr:uid="{00000000-0005-0000-0000-000013480000}"/>
    <cellStyle name="Normal 16 2 7 2" xfId="2783" xr:uid="{00000000-0005-0000-0000-000014480000}"/>
    <cellStyle name="Normal 16 2 7 2 2" xfId="9315" xr:uid="{00000000-0005-0000-0000-000015480000}"/>
    <cellStyle name="Normal 16 2 7 2 2 2" xfId="41056" xr:uid="{00000000-0005-0000-0000-000016480000}"/>
    <cellStyle name="Normal 16 2 7 2 2 2 2" xfId="57156" xr:uid="{00000000-0005-0000-0000-000017480000}"/>
    <cellStyle name="Normal 16 2 7 2 2 3" xfId="47589" xr:uid="{00000000-0005-0000-0000-000018480000}"/>
    <cellStyle name="Normal 16 2 7 2 2 4" xfId="31489" xr:uid="{00000000-0005-0000-0000-000019480000}"/>
    <cellStyle name="Normal 16 2 7 2 2 5" xfId="21920" xr:uid="{00000000-0005-0000-0000-00001A480000}"/>
    <cellStyle name="Normal 16 2 7 2 3" xfId="12351" xr:uid="{00000000-0005-0000-0000-00001B480000}"/>
    <cellStyle name="Normal 16 2 7 2 3 2" xfId="50625" xr:uid="{00000000-0005-0000-0000-00001C480000}"/>
    <cellStyle name="Normal 16 2 7 2 3 3" xfId="34525" xr:uid="{00000000-0005-0000-0000-00001D480000}"/>
    <cellStyle name="Normal 16 2 7 2 3 4" xfId="24956" xr:uid="{00000000-0005-0000-0000-00001E480000}"/>
    <cellStyle name="Normal 16 2 7 2 4" xfId="6279" xr:uid="{00000000-0005-0000-0000-00001F480000}"/>
    <cellStyle name="Normal 16 2 7 2 4 2" xfId="54120" xr:uid="{00000000-0005-0000-0000-000020480000}"/>
    <cellStyle name="Normal 16 2 7 2 4 3" xfId="38020" xr:uid="{00000000-0005-0000-0000-000021480000}"/>
    <cellStyle name="Normal 16 2 7 2 4 4" xfId="18884" xr:uid="{00000000-0005-0000-0000-000022480000}"/>
    <cellStyle name="Normal 16 2 7 2 5" xfId="44553" xr:uid="{00000000-0005-0000-0000-000023480000}"/>
    <cellStyle name="Normal 16 2 7 2 6" xfId="28453" xr:uid="{00000000-0005-0000-0000-000024480000}"/>
    <cellStyle name="Normal 16 2 7 2 7" xfId="15389" xr:uid="{00000000-0005-0000-0000-000025480000}"/>
    <cellStyle name="Normal 16 2 7 3" xfId="1765" xr:uid="{00000000-0005-0000-0000-000026480000}"/>
    <cellStyle name="Normal 16 2 7 3 2" xfId="8299" xr:uid="{00000000-0005-0000-0000-000027480000}"/>
    <cellStyle name="Normal 16 2 7 3 2 2" xfId="40040" xr:uid="{00000000-0005-0000-0000-000028480000}"/>
    <cellStyle name="Normal 16 2 7 3 2 2 2" xfId="56140" xr:uid="{00000000-0005-0000-0000-000029480000}"/>
    <cellStyle name="Normal 16 2 7 3 2 3" xfId="46573" xr:uid="{00000000-0005-0000-0000-00002A480000}"/>
    <cellStyle name="Normal 16 2 7 3 2 4" xfId="30473" xr:uid="{00000000-0005-0000-0000-00002B480000}"/>
    <cellStyle name="Normal 16 2 7 3 2 5" xfId="20904" xr:uid="{00000000-0005-0000-0000-00002C480000}"/>
    <cellStyle name="Normal 16 2 7 3 3" xfId="11335" xr:uid="{00000000-0005-0000-0000-00002D480000}"/>
    <cellStyle name="Normal 16 2 7 3 3 2" xfId="49609" xr:uid="{00000000-0005-0000-0000-00002E480000}"/>
    <cellStyle name="Normal 16 2 7 3 3 3" xfId="33509" xr:uid="{00000000-0005-0000-0000-00002F480000}"/>
    <cellStyle name="Normal 16 2 7 3 3 4" xfId="23940" xr:uid="{00000000-0005-0000-0000-000030480000}"/>
    <cellStyle name="Normal 16 2 7 3 4" xfId="5263" xr:uid="{00000000-0005-0000-0000-000031480000}"/>
    <cellStyle name="Normal 16 2 7 3 4 2" xfId="53104" xr:uid="{00000000-0005-0000-0000-000032480000}"/>
    <cellStyle name="Normal 16 2 7 3 4 3" xfId="37004" xr:uid="{00000000-0005-0000-0000-000033480000}"/>
    <cellStyle name="Normal 16 2 7 3 4 4" xfId="17868" xr:uid="{00000000-0005-0000-0000-000034480000}"/>
    <cellStyle name="Normal 16 2 7 3 5" xfId="43537" xr:uid="{00000000-0005-0000-0000-000035480000}"/>
    <cellStyle name="Normal 16 2 7 3 6" xfId="27437" xr:uid="{00000000-0005-0000-0000-000036480000}"/>
    <cellStyle name="Normal 16 2 7 3 7" xfId="14373" xr:uid="{00000000-0005-0000-0000-000037480000}"/>
    <cellStyle name="Normal 16 2 7 4" xfId="7289" xr:uid="{00000000-0005-0000-0000-000038480000}"/>
    <cellStyle name="Normal 16 2 7 4 2" xfId="39030" xr:uid="{00000000-0005-0000-0000-000039480000}"/>
    <cellStyle name="Normal 16 2 7 4 2 2" xfId="55130" xr:uid="{00000000-0005-0000-0000-00003A480000}"/>
    <cellStyle name="Normal 16 2 7 4 3" xfId="45563" xr:uid="{00000000-0005-0000-0000-00003B480000}"/>
    <cellStyle name="Normal 16 2 7 4 4" xfId="29463" xr:uid="{00000000-0005-0000-0000-00003C480000}"/>
    <cellStyle name="Normal 16 2 7 4 5" xfId="19894" xr:uid="{00000000-0005-0000-0000-00003D480000}"/>
    <cellStyle name="Normal 16 2 7 5" xfId="10325" xr:uid="{00000000-0005-0000-0000-00003E480000}"/>
    <cellStyle name="Normal 16 2 7 5 2" xfId="48599" xr:uid="{00000000-0005-0000-0000-00003F480000}"/>
    <cellStyle name="Normal 16 2 7 5 3" xfId="32499" xr:uid="{00000000-0005-0000-0000-000040480000}"/>
    <cellStyle name="Normal 16 2 7 5 4" xfId="22930" xr:uid="{00000000-0005-0000-0000-000041480000}"/>
    <cellStyle name="Normal 16 2 7 6" xfId="4253" xr:uid="{00000000-0005-0000-0000-000042480000}"/>
    <cellStyle name="Normal 16 2 7 6 2" xfId="52094" xr:uid="{00000000-0005-0000-0000-000043480000}"/>
    <cellStyle name="Normal 16 2 7 6 3" xfId="35994" xr:uid="{00000000-0005-0000-0000-000044480000}"/>
    <cellStyle name="Normal 16 2 7 6 4" xfId="16858" xr:uid="{00000000-0005-0000-0000-000045480000}"/>
    <cellStyle name="Normal 16 2 7 7" xfId="42527" xr:uid="{00000000-0005-0000-0000-000046480000}"/>
    <cellStyle name="Normal 16 2 7 8" xfId="26427" xr:uid="{00000000-0005-0000-0000-000047480000}"/>
    <cellStyle name="Normal 16 2 7 9" xfId="13363" xr:uid="{00000000-0005-0000-0000-000048480000}"/>
    <cellStyle name="Normal 16 2 8" xfId="2092" xr:uid="{00000000-0005-0000-0000-000049480000}"/>
    <cellStyle name="Normal 16 2 8 2" xfId="8626" xr:uid="{00000000-0005-0000-0000-00004A480000}"/>
    <cellStyle name="Normal 16 2 8 2 2" xfId="40367" xr:uid="{00000000-0005-0000-0000-00004B480000}"/>
    <cellStyle name="Normal 16 2 8 2 2 2" xfId="56467" xr:uid="{00000000-0005-0000-0000-00004C480000}"/>
    <cellStyle name="Normal 16 2 8 2 3" xfId="46900" xr:uid="{00000000-0005-0000-0000-00004D480000}"/>
    <cellStyle name="Normal 16 2 8 2 4" xfId="30800" xr:uid="{00000000-0005-0000-0000-00004E480000}"/>
    <cellStyle name="Normal 16 2 8 2 5" xfId="21231" xr:uid="{00000000-0005-0000-0000-00004F480000}"/>
    <cellStyle name="Normal 16 2 8 3" xfId="11662" xr:uid="{00000000-0005-0000-0000-000050480000}"/>
    <cellStyle name="Normal 16 2 8 3 2" xfId="49936" xr:uid="{00000000-0005-0000-0000-000051480000}"/>
    <cellStyle name="Normal 16 2 8 3 3" xfId="33836" xr:uid="{00000000-0005-0000-0000-000052480000}"/>
    <cellStyle name="Normal 16 2 8 3 4" xfId="24267" xr:uid="{00000000-0005-0000-0000-000053480000}"/>
    <cellStyle name="Normal 16 2 8 4" xfId="5590" xr:uid="{00000000-0005-0000-0000-000054480000}"/>
    <cellStyle name="Normal 16 2 8 4 2" xfId="53431" xr:uid="{00000000-0005-0000-0000-000055480000}"/>
    <cellStyle name="Normal 16 2 8 4 3" xfId="37331" xr:uid="{00000000-0005-0000-0000-000056480000}"/>
    <cellStyle name="Normal 16 2 8 4 4" xfId="18195" xr:uid="{00000000-0005-0000-0000-000057480000}"/>
    <cellStyle name="Normal 16 2 8 5" xfId="43864" xr:uid="{00000000-0005-0000-0000-000058480000}"/>
    <cellStyle name="Normal 16 2 8 6" xfId="27764" xr:uid="{00000000-0005-0000-0000-000059480000}"/>
    <cellStyle name="Normal 16 2 8 7" xfId="14700" xr:uid="{00000000-0005-0000-0000-00005A480000}"/>
    <cellStyle name="Normal 16 2 9" xfId="1082" xr:uid="{00000000-0005-0000-0000-00005B480000}"/>
    <cellStyle name="Normal 16 2 9 2" xfId="7616" xr:uid="{00000000-0005-0000-0000-00005C480000}"/>
    <cellStyle name="Normal 16 2 9 2 2" xfId="39357" xr:uid="{00000000-0005-0000-0000-00005D480000}"/>
    <cellStyle name="Normal 16 2 9 2 2 2" xfId="55457" xr:uid="{00000000-0005-0000-0000-00005E480000}"/>
    <cellStyle name="Normal 16 2 9 2 3" xfId="45890" xr:uid="{00000000-0005-0000-0000-00005F480000}"/>
    <cellStyle name="Normal 16 2 9 2 4" xfId="29790" xr:uid="{00000000-0005-0000-0000-000060480000}"/>
    <cellStyle name="Normal 16 2 9 2 5" xfId="20221" xr:uid="{00000000-0005-0000-0000-000061480000}"/>
    <cellStyle name="Normal 16 2 9 3" xfId="10652" xr:uid="{00000000-0005-0000-0000-000062480000}"/>
    <cellStyle name="Normal 16 2 9 3 2" xfId="48926" xr:uid="{00000000-0005-0000-0000-000063480000}"/>
    <cellStyle name="Normal 16 2 9 3 3" xfId="32826" xr:uid="{00000000-0005-0000-0000-000064480000}"/>
    <cellStyle name="Normal 16 2 9 3 4" xfId="23257" xr:uid="{00000000-0005-0000-0000-000065480000}"/>
    <cellStyle name="Normal 16 2 9 4" xfId="4580" xr:uid="{00000000-0005-0000-0000-000066480000}"/>
    <cellStyle name="Normal 16 2 9 4 2" xfId="52421" xr:uid="{00000000-0005-0000-0000-000067480000}"/>
    <cellStyle name="Normal 16 2 9 4 3" xfId="36321" xr:uid="{00000000-0005-0000-0000-000068480000}"/>
    <cellStyle name="Normal 16 2 9 4 4" xfId="17185" xr:uid="{00000000-0005-0000-0000-000069480000}"/>
    <cellStyle name="Normal 16 2 9 5" xfId="42854" xr:uid="{00000000-0005-0000-0000-00006A480000}"/>
    <cellStyle name="Normal 16 2 9 6" xfId="26754" xr:uid="{00000000-0005-0000-0000-00006B480000}"/>
    <cellStyle name="Normal 16 2 9 7" xfId="13690" xr:uid="{00000000-0005-0000-0000-00006C480000}"/>
    <cellStyle name="Normal 16 20" xfId="3092" xr:uid="{00000000-0005-0000-0000-00006D480000}"/>
    <cellStyle name="Normal 16 20 2" xfId="50934" xr:uid="{00000000-0005-0000-0000-00006E480000}"/>
    <cellStyle name="Normal 16 20 3" xfId="34834" xr:uid="{00000000-0005-0000-0000-00006F480000}"/>
    <cellStyle name="Normal 16 20 4" xfId="15698" xr:uid="{00000000-0005-0000-0000-000070480000}"/>
    <cellStyle name="Normal 16 21" xfId="41367" xr:uid="{00000000-0005-0000-0000-000071480000}"/>
    <cellStyle name="Normal 16 22" xfId="25267" xr:uid="{00000000-0005-0000-0000-000072480000}"/>
    <cellStyle name="Normal 16 23" xfId="12662" xr:uid="{00000000-0005-0000-0000-000073480000}"/>
    <cellStyle name="Normal 16 3" xfId="122" xr:uid="{00000000-0005-0000-0000-000074480000}"/>
    <cellStyle name="Normal 16 3 10" xfId="9705" xr:uid="{00000000-0005-0000-0000-000075480000}"/>
    <cellStyle name="Normal 16 3 10 2" xfId="47979" xr:uid="{00000000-0005-0000-0000-000076480000}"/>
    <cellStyle name="Normal 16 3 10 3" xfId="31879" xr:uid="{00000000-0005-0000-0000-000077480000}"/>
    <cellStyle name="Normal 16 3 10 4" xfId="22310" xr:uid="{00000000-0005-0000-0000-000078480000}"/>
    <cellStyle name="Normal 16 3 11" xfId="3173" xr:uid="{00000000-0005-0000-0000-000079480000}"/>
    <cellStyle name="Normal 16 3 11 2" xfId="51015" xr:uid="{00000000-0005-0000-0000-00007A480000}"/>
    <cellStyle name="Normal 16 3 11 3" xfId="34915" xr:uid="{00000000-0005-0000-0000-00007B480000}"/>
    <cellStyle name="Normal 16 3 11 4" xfId="15779" xr:uid="{00000000-0005-0000-0000-00007C480000}"/>
    <cellStyle name="Normal 16 3 12" xfId="41448" xr:uid="{00000000-0005-0000-0000-00007D480000}"/>
    <cellStyle name="Normal 16 3 13" xfId="25348" xr:uid="{00000000-0005-0000-0000-00007E480000}"/>
    <cellStyle name="Normal 16 3 14" xfId="12743" xr:uid="{00000000-0005-0000-0000-00007F480000}"/>
    <cellStyle name="Normal 16 3 2" xfId="197" xr:uid="{00000000-0005-0000-0000-000080480000}"/>
    <cellStyle name="Normal 16 3 2 10" xfId="41685" xr:uid="{00000000-0005-0000-0000-000081480000}"/>
    <cellStyle name="Normal 16 3 2 11" xfId="25585" xr:uid="{00000000-0005-0000-0000-000082480000}"/>
    <cellStyle name="Normal 16 3 2 12" xfId="13026" xr:uid="{00000000-0005-0000-0000-000083480000}"/>
    <cellStyle name="Normal 16 3 2 2" xfId="374" xr:uid="{00000000-0005-0000-0000-000084480000}"/>
    <cellStyle name="Normal 16 3 2 2 2" xfId="2393" xr:uid="{00000000-0005-0000-0000-000085480000}"/>
    <cellStyle name="Normal 16 3 2 2 2 2" xfId="8927" xr:uid="{00000000-0005-0000-0000-000086480000}"/>
    <cellStyle name="Normal 16 3 2 2 2 2 2" xfId="40668" xr:uid="{00000000-0005-0000-0000-000087480000}"/>
    <cellStyle name="Normal 16 3 2 2 2 2 2 2" xfId="56768" xr:uid="{00000000-0005-0000-0000-000088480000}"/>
    <cellStyle name="Normal 16 3 2 2 2 2 3" xfId="47201" xr:uid="{00000000-0005-0000-0000-000089480000}"/>
    <cellStyle name="Normal 16 3 2 2 2 2 4" xfId="31101" xr:uid="{00000000-0005-0000-0000-00008A480000}"/>
    <cellStyle name="Normal 16 3 2 2 2 2 5" xfId="21532" xr:uid="{00000000-0005-0000-0000-00008B480000}"/>
    <cellStyle name="Normal 16 3 2 2 2 3" xfId="11963" xr:uid="{00000000-0005-0000-0000-00008C480000}"/>
    <cellStyle name="Normal 16 3 2 2 2 3 2" xfId="50237" xr:uid="{00000000-0005-0000-0000-00008D480000}"/>
    <cellStyle name="Normal 16 3 2 2 2 3 3" xfId="34137" xr:uid="{00000000-0005-0000-0000-00008E480000}"/>
    <cellStyle name="Normal 16 3 2 2 2 3 4" xfId="24568" xr:uid="{00000000-0005-0000-0000-00008F480000}"/>
    <cellStyle name="Normal 16 3 2 2 2 4" xfId="5891" xr:uid="{00000000-0005-0000-0000-000090480000}"/>
    <cellStyle name="Normal 16 3 2 2 2 4 2" xfId="53732" xr:uid="{00000000-0005-0000-0000-000091480000}"/>
    <cellStyle name="Normal 16 3 2 2 2 4 3" xfId="37632" xr:uid="{00000000-0005-0000-0000-000092480000}"/>
    <cellStyle name="Normal 16 3 2 2 2 4 4" xfId="18496" xr:uid="{00000000-0005-0000-0000-000093480000}"/>
    <cellStyle name="Normal 16 3 2 2 2 5" xfId="44165" xr:uid="{00000000-0005-0000-0000-000094480000}"/>
    <cellStyle name="Normal 16 3 2 2 2 6" xfId="28065" xr:uid="{00000000-0005-0000-0000-000095480000}"/>
    <cellStyle name="Normal 16 3 2 2 2 7" xfId="15001" xr:uid="{00000000-0005-0000-0000-000096480000}"/>
    <cellStyle name="Normal 16 3 2 2 3" xfId="1605" xr:uid="{00000000-0005-0000-0000-000097480000}"/>
    <cellStyle name="Normal 16 3 2 2 3 2" xfId="8139" xr:uid="{00000000-0005-0000-0000-000098480000}"/>
    <cellStyle name="Normal 16 3 2 2 3 2 2" xfId="39880" xr:uid="{00000000-0005-0000-0000-000099480000}"/>
    <cellStyle name="Normal 16 3 2 2 3 2 2 2" xfId="55980" xr:uid="{00000000-0005-0000-0000-00009A480000}"/>
    <cellStyle name="Normal 16 3 2 2 3 2 3" xfId="46413" xr:uid="{00000000-0005-0000-0000-00009B480000}"/>
    <cellStyle name="Normal 16 3 2 2 3 2 4" xfId="30313" xr:uid="{00000000-0005-0000-0000-00009C480000}"/>
    <cellStyle name="Normal 16 3 2 2 3 2 5" xfId="20744" xr:uid="{00000000-0005-0000-0000-00009D480000}"/>
    <cellStyle name="Normal 16 3 2 2 3 3" xfId="11175" xr:uid="{00000000-0005-0000-0000-00009E480000}"/>
    <cellStyle name="Normal 16 3 2 2 3 3 2" xfId="49449" xr:uid="{00000000-0005-0000-0000-00009F480000}"/>
    <cellStyle name="Normal 16 3 2 2 3 3 3" xfId="33349" xr:uid="{00000000-0005-0000-0000-0000A0480000}"/>
    <cellStyle name="Normal 16 3 2 2 3 3 4" xfId="23780" xr:uid="{00000000-0005-0000-0000-0000A1480000}"/>
    <cellStyle name="Normal 16 3 2 2 3 4" xfId="5103" xr:uid="{00000000-0005-0000-0000-0000A2480000}"/>
    <cellStyle name="Normal 16 3 2 2 3 4 2" xfId="52944" xr:uid="{00000000-0005-0000-0000-0000A3480000}"/>
    <cellStyle name="Normal 16 3 2 2 3 4 3" xfId="36844" xr:uid="{00000000-0005-0000-0000-0000A4480000}"/>
    <cellStyle name="Normal 16 3 2 2 3 4 4" xfId="17708" xr:uid="{00000000-0005-0000-0000-0000A5480000}"/>
    <cellStyle name="Normal 16 3 2 2 3 5" xfId="43377" xr:uid="{00000000-0005-0000-0000-0000A6480000}"/>
    <cellStyle name="Normal 16 3 2 2 3 6" xfId="27277" xr:uid="{00000000-0005-0000-0000-0000A7480000}"/>
    <cellStyle name="Normal 16 3 2 2 3 7" xfId="14213" xr:uid="{00000000-0005-0000-0000-0000A8480000}"/>
    <cellStyle name="Normal 16 3 2 2 4" xfId="7129" xr:uid="{00000000-0005-0000-0000-0000A9480000}"/>
    <cellStyle name="Normal 16 3 2 2 4 2" xfId="38870" xr:uid="{00000000-0005-0000-0000-0000AA480000}"/>
    <cellStyle name="Normal 16 3 2 2 4 2 2" xfId="54970" xr:uid="{00000000-0005-0000-0000-0000AB480000}"/>
    <cellStyle name="Normal 16 3 2 2 4 3" xfId="45403" xr:uid="{00000000-0005-0000-0000-0000AC480000}"/>
    <cellStyle name="Normal 16 3 2 2 4 4" xfId="29303" xr:uid="{00000000-0005-0000-0000-0000AD480000}"/>
    <cellStyle name="Normal 16 3 2 2 4 5" xfId="19734" xr:uid="{00000000-0005-0000-0000-0000AE480000}"/>
    <cellStyle name="Normal 16 3 2 2 5" xfId="10165" xr:uid="{00000000-0005-0000-0000-0000AF480000}"/>
    <cellStyle name="Normal 16 3 2 2 5 2" xfId="48439" xr:uid="{00000000-0005-0000-0000-0000B0480000}"/>
    <cellStyle name="Normal 16 3 2 2 5 3" xfId="32339" xr:uid="{00000000-0005-0000-0000-0000B1480000}"/>
    <cellStyle name="Normal 16 3 2 2 5 4" xfId="22770" xr:uid="{00000000-0005-0000-0000-0000B2480000}"/>
    <cellStyle name="Normal 16 3 2 2 6" xfId="4093" xr:uid="{00000000-0005-0000-0000-0000B3480000}"/>
    <cellStyle name="Normal 16 3 2 2 6 2" xfId="51934" xr:uid="{00000000-0005-0000-0000-0000B4480000}"/>
    <cellStyle name="Normal 16 3 2 2 6 3" xfId="35834" xr:uid="{00000000-0005-0000-0000-0000B5480000}"/>
    <cellStyle name="Normal 16 3 2 2 6 4" xfId="16698" xr:uid="{00000000-0005-0000-0000-0000B6480000}"/>
    <cellStyle name="Normal 16 3 2 2 7" xfId="42367" xr:uid="{00000000-0005-0000-0000-0000B7480000}"/>
    <cellStyle name="Normal 16 3 2 2 8" xfId="26267" xr:uid="{00000000-0005-0000-0000-0000B8480000}"/>
    <cellStyle name="Normal 16 3 2 2 9" xfId="13203" xr:uid="{00000000-0005-0000-0000-0000B9480000}"/>
    <cellStyle name="Normal 16 3 2 3" xfId="1013" xr:uid="{00000000-0005-0000-0000-0000BA480000}"/>
    <cellStyle name="Normal 16 3 2 3 2" xfId="3041" xr:uid="{00000000-0005-0000-0000-0000BB480000}"/>
    <cellStyle name="Normal 16 3 2 3 2 2" xfId="9573" xr:uid="{00000000-0005-0000-0000-0000BC480000}"/>
    <cellStyle name="Normal 16 3 2 3 2 2 2" xfId="41314" xr:uid="{00000000-0005-0000-0000-0000BD480000}"/>
    <cellStyle name="Normal 16 3 2 3 2 2 2 2" xfId="57414" xr:uid="{00000000-0005-0000-0000-0000BE480000}"/>
    <cellStyle name="Normal 16 3 2 3 2 2 3" xfId="47847" xr:uid="{00000000-0005-0000-0000-0000BF480000}"/>
    <cellStyle name="Normal 16 3 2 3 2 2 4" xfId="31747" xr:uid="{00000000-0005-0000-0000-0000C0480000}"/>
    <cellStyle name="Normal 16 3 2 3 2 2 5" xfId="22178" xr:uid="{00000000-0005-0000-0000-0000C1480000}"/>
    <cellStyle name="Normal 16 3 2 3 2 3" xfId="12609" xr:uid="{00000000-0005-0000-0000-0000C2480000}"/>
    <cellStyle name="Normal 16 3 2 3 2 3 2" xfId="50883" xr:uid="{00000000-0005-0000-0000-0000C3480000}"/>
    <cellStyle name="Normal 16 3 2 3 2 3 3" xfId="34783" xr:uid="{00000000-0005-0000-0000-0000C4480000}"/>
    <cellStyle name="Normal 16 3 2 3 2 3 4" xfId="25214" xr:uid="{00000000-0005-0000-0000-0000C5480000}"/>
    <cellStyle name="Normal 16 3 2 3 2 4" xfId="6537" xr:uid="{00000000-0005-0000-0000-0000C6480000}"/>
    <cellStyle name="Normal 16 3 2 3 2 4 2" xfId="54378" xr:uid="{00000000-0005-0000-0000-0000C7480000}"/>
    <cellStyle name="Normal 16 3 2 3 2 4 3" xfId="38278" xr:uid="{00000000-0005-0000-0000-0000C8480000}"/>
    <cellStyle name="Normal 16 3 2 3 2 4 4" xfId="19142" xr:uid="{00000000-0005-0000-0000-0000C9480000}"/>
    <cellStyle name="Normal 16 3 2 3 2 5" xfId="44811" xr:uid="{00000000-0005-0000-0000-0000CA480000}"/>
    <cellStyle name="Normal 16 3 2 3 2 6" xfId="28711" xr:uid="{00000000-0005-0000-0000-0000CB480000}"/>
    <cellStyle name="Normal 16 3 2 3 2 7" xfId="15647" xr:uid="{00000000-0005-0000-0000-0000CC480000}"/>
    <cellStyle name="Normal 16 3 2 3 3" xfId="2023" xr:uid="{00000000-0005-0000-0000-0000CD480000}"/>
    <cellStyle name="Normal 16 3 2 3 3 2" xfId="8557" xr:uid="{00000000-0005-0000-0000-0000CE480000}"/>
    <cellStyle name="Normal 16 3 2 3 3 2 2" xfId="40298" xr:uid="{00000000-0005-0000-0000-0000CF480000}"/>
    <cellStyle name="Normal 16 3 2 3 3 2 2 2" xfId="56398" xr:uid="{00000000-0005-0000-0000-0000D0480000}"/>
    <cellStyle name="Normal 16 3 2 3 3 2 3" xfId="46831" xr:uid="{00000000-0005-0000-0000-0000D1480000}"/>
    <cellStyle name="Normal 16 3 2 3 3 2 4" xfId="30731" xr:uid="{00000000-0005-0000-0000-0000D2480000}"/>
    <cellStyle name="Normal 16 3 2 3 3 2 5" xfId="21162" xr:uid="{00000000-0005-0000-0000-0000D3480000}"/>
    <cellStyle name="Normal 16 3 2 3 3 3" xfId="11593" xr:uid="{00000000-0005-0000-0000-0000D4480000}"/>
    <cellStyle name="Normal 16 3 2 3 3 3 2" xfId="49867" xr:uid="{00000000-0005-0000-0000-0000D5480000}"/>
    <cellStyle name="Normal 16 3 2 3 3 3 3" xfId="33767" xr:uid="{00000000-0005-0000-0000-0000D6480000}"/>
    <cellStyle name="Normal 16 3 2 3 3 3 4" xfId="24198" xr:uid="{00000000-0005-0000-0000-0000D7480000}"/>
    <cellStyle name="Normal 16 3 2 3 3 4" xfId="5521" xr:uid="{00000000-0005-0000-0000-0000D8480000}"/>
    <cellStyle name="Normal 16 3 2 3 3 4 2" xfId="53362" xr:uid="{00000000-0005-0000-0000-0000D9480000}"/>
    <cellStyle name="Normal 16 3 2 3 3 4 3" xfId="37262" xr:uid="{00000000-0005-0000-0000-0000DA480000}"/>
    <cellStyle name="Normal 16 3 2 3 3 4 4" xfId="18126" xr:uid="{00000000-0005-0000-0000-0000DB480000}"/>
    <cellStyle name="Normal 16 3 2 3 3 5" xfId="43795" xr:uid="{00000000-0005-0000-0000-0000DC480000}"/>
    <cellStyle name="Normal 16 3 2 3 3 6" xfId="27695" xr:uid="{00000000-0005-0000-0000-0000DD480000}"/>
    <cellStyle name="Normal 16 3 2 3 3 7" xfId="14631" xr:uid="{00000000-0005-0000-0000-0000DE480000}"/>
    <cellStyle name="Normal 16 3 2 3 4" xfId="7547" xr:uid="{00000000-0005-0000-0000-0000DF480000}"/>
    <cellStyle name="Normal 16 3 2 3 4 2" xfId="39288" xr:uid="{00000000-0005-0000-0000-0000E0480000}"/>
    <cellStyle name="Normal 16 3 2 3 4 2 2" xfId="55388" xr:uid="{00000000-0005-0000-0000-0000E1480000}"/>
    <cellStyle name="Normal 16 3 2 3 4 3" xfId="45821" xr:uid="{00000000-0005-0000-0000-0000E2480000}"/>
    <cellStyle name="Normal 16 3 2 3 4 4" xfId="29721" xr:uid="{00000000-0005-0000-0000-0000E3480000}"/>
    <cellStyle name="Normal 16 3 2 3 4 5" xfId="20152" xr:uid="{00000000-0005-0000-0000-0000E4480000}"/>
    <cellStyle name="Normal 16 3 2 3 5" xfId="10583" xr:uid="{00000000-0005-0000-0000-0000E5480000}"/>
    <cellStyle name="Normal 16 3 2 3 5 2" xfId="48857" xr:uid="{00000000-0005-0000-0000-0000E6480000}"/>
    <cellStyle name="Normal 16 3 2 3 5 3" xfId="32757" xr:uid="{00000000-0005-0000-0000-0000E7480000}"/>
    <cellStyle name="Normal 16 3 2 3 5 4" xfId="23188" xr:uid="{00000000-0005-0000-0000-0000E8480000}"/>
    <cellStyle name="Normal 16 3 2 3 6" xfId="4511" xr:uid="{00000000-0005-0000-0000-0000E9480000}"/>
    <cellStyle name="Normal 16 3 2 3 6 2" xfId="52352" xr:uid="{00000000-0005-0000-0000-0000EA480000}"/>
    <cellStyle name="Normal 16 3 2 3 6 3" xfId="36252" xr:uid="{00000000-0005-0000-0000-0000EB480000}"/>
    <cellStyle name="Normal 16 3 2 3 6 4" xfId="17116" xr:uid="{00000000-0005-0000-0000-0000EC480000}"/>
    <cellStyle name="Normal 16 3 2 3 7" xfId="42785" xr:uid="{00000000-0005-0000-0000-0000ED480000}"/>
    <cellStyle name="Normal 16 3 2 3 8" xfId="26685" xr:uid="{00000000-0005-0000-0000-0000EE480000}"/>
    <cellStyle name="Normal 16 3 2 3 9" xfId="13621" xr:uid="{00000000-0005-0000-0000-0000EF480000}"/>
    <cellStyle name="Normal 16 3 2 4" xfId="2216" xr:uid="{00000000-0005-0000-0000-0000F0480000}"/>
    <cellStyle name="Normal 16 3 2 4 2" xfId="8750" xr:uid="{00000000-0005-0000-0000-0000F1480000}"/>
    <cellStyle name="Normal 16 3 2 4 2 2" xfId="40491" xr:uid="{00000000-0005-0000-0000-0000F2480000}"/>
    <cellStyle name="Normal 16 3 2 4 2 2 2" xfId="56591" xr:uid="{00000000-0005-0000-0000-0000F3480000}"/>
    <cellStyle name="Normal 16 3 2 4 2 3" xfId="47024" xr:uid="{00000000-0005-0000-0000-0000F4480000}"/>
    <cellStyle name="Normal 16 3 2 4 2 4" xfId="30924" xr:uid="{00000000-0005-0000-0000-0000F5480000}"/>
    <cellStyle name="Normal 16 3 2 4 2 5" xfId="21355" xr:uid="{00000000-0005-0000-0000-0000F6480000}"/>
    <cellStyle name="Normal 16 3 2 4 3" xfId="11786" xr:uid="{00000000-0005-0000-0000-0000F7480000}"/>
    <cellStyle name="Normal 16 3 2 4 3 2" xfId="50060" xr:uid="{00000000-0005-0000-0000-0000F8480000}"/>
    <cellStyle name="Normal 16 3 2 4 3 3" xfId="33960" xr:uid="{00000000-0005-0000-0000-0000F9480000}"/>
    <cellStyle name="Normal 16 3 2 4 3 4" xfId="24391" xr:uid="{00000000-0005-0000-0000-0000FA480000}"/>
    <cellStyle name="Normal 16 3 2 4 4" xfId="5714" xr:uid="{00000000-0005-0000-0000-0000FB480000}"/>
    <cellStyle name="Normal 16 3 2 4 4 2" xfId="53555" xr:uid="{00000000-0005-0000-0000-0000FC480000}"/>
    <cellStyle name="Normal 16 3 2 4 4 3" xfId="37455" xr:uid="{00000000-0005-0000-0000-0000FD480000}"/>
    <cellStyle name="Normal 16 3 2 4 4 4" xfId="18319" xr:uid="{00000000-0005-0000-0000-0000FE480000}"/>
    <cellStyle name="Normal 16 3 2 4 5" xfId="43988" xr:uid="{00000000-0005-0000-0000-0000FF480000}"/>
    <cellStyle name="Normal 16 3 2 4 6" xfId="27888" xr:uid="{00000000-0005-0000-0000-000000490000}"/>
    <cellStyle name="Normal 16 3 2 4 7" xfId="14824" xr:uid="{00000000-0005-0000-0000-000001490000}"/>
    <cellStyle name="Normal 16 3 2 5" xfId="1428" xr:uid="{00000000-0005-0000-0000-000002490000}"/>
    <cellStyle name="Normal 16 3 2 5 2" xfId="7962" xr:uid="{00000000-0005-0000-0000-000003490000}"/>
    <cellStyle name="Normal 16 3 2 5 2 2" xfId="39703" xr:uid="{00000000-0005-0000-0000-000004490000}"/>
    <cellStyle name="Normal 16 3 2 5 2 2 2" xfId="55803" xr:uid="{00000000-0005-0000-0000-000005490000}"/>
    <cellStyle name="Normal 16 3 2 5 2 3" xfId="46236" xr:uid="{00000000-0005-0000-0000-000006490000}"/>
    <cellStyle name="Normal 16 3 2 5 2 4" xfId="30136" xr:uid="{00000000-0005-0000-0000-000007490000}"/>
    <cellStyle name="Normal 16 3 2 5 2 5" xfId="20567" xr:uid="{00000000-0005-0000-0000-000008490000}"/>
    <cellStyle name="Normal 16 3 2 5 3" xfId="10998" xr:uid="{00000000-0005-0000-0000-000009490000}"/>
    <cellStyle name="Normal 16 3 2 5 3 2" xfId="49272" xr:uid="{00000000-0005-0000-0000-00000A490000}"/>
    <cellStyle name="Normal 16 3 2 5 3 3" xfId="33172" xr:uid="{00000000-0005-0000-0000-00000B490000}"/>
    <cellStyle name="Normal 16 3 2 5 3 4" xfId="23603" xr:uid="{00000000-0005-0000-0000-00000C490000}"/>
    <cellStyle name="Normal 16 3 2 5 4" xfId="4926" xr:uid="{00000000-0005-0000-0000-00000D490000}"/>
    <cellStyle name="Normal 16 3 2 5 4 2" xfId="52767" xr:uid="{00000000-0005-0000-0000-00000E490000}"/>
    <cellStyle name="Normal 16 3 2 5 4 3" xfId="36667" xr:uid="{00000000-0005-0000-0000-00000F490000}"/>
    <cellStyle name="Normal 16 3 2 5 4 4" xfId="17531" xr:uid="{00000000-0005-0000-0000-000010490000}"/>
    <cellStyle name="Normal 16 3 2 5 5" xfId="43200" xr:uid="{00000000-0005-0000-0000-000011490000}"/>
    <cellStyle name="Normal 16 3 2 5 6" xfId="27100" xr:uid="{00000000-0005-0000-0000-000012490000}"/>
    <cellStyle name="Normal 16 3 2 5 7" xfId="14036" xr:uid="{00000000-0005-0000-0000-000013490000}"/>
    <cellStyle name="Normal 16 3 2 6" xfId="3916" xr:uid="{00000000-0005-0000-0000-000014490000}"/>
    <cellStyle name="Normal 16 3 2 6 2" xfId="35657" xr:uid="{00000000-0005-0000-0000-000015490000}"/>
    <cellStyle name="Normal 16 3 2 6 2 2" xfId="51757" xr:uid="{00000000-0005-0000-0000-000016490000}"/>
    <cellStyle name="Normal 16 3 2 6 3" xfId="42190" xr:uid="{00000000-0005-0000-0000-000017490000}"/>
    <cellStyle name="Normal 16 3 2 6 4" xfId="26090" xr:uid="{00000000-0005-0000-0000-000018490000}"/>
    <cellStyle name="Normal 16 3 2 6 5" xfId="16521" xr:uid="{00000000-0005-0000-0000-000019490000}"/>
    <cellStyle name="Normal 16 3 2 7" xfId="6952" xr:uid="{00000000-0005-0000-0000-00001A490000}"/>
    <cellStyle name="Normal 16 3 2 7 2" xfId="38693" xr:uid="{00000000-0005-0000-0000-00001B490000}"/>
    <cellStyle name="Normal 16 3 2 7 2 2" xfId="54793" xr:uid="{00000000-0005-0000-0000-00001C490000}"/>
    <cellStyle name="Normal 16 3 2 7 3" xfId="45226" xr:uid="{00000000-0005-0000-0000-00001D490000}"/>
    <cellStyle name="Normal 16 3 2 7 4" xfId="29126" xr:uid="{00000000-0005-0000-0000-00001E490000}"/>
    <cellStyle name="Normal 16 3 2 7 5" xfId="19557" xr:uid="{00000000-0005-0000-0000-00001F490000}"/>
    <cellStyle name="Normal 16 3 2 8" xfId="9988" xr:uid="{00000000-0005-0000-0000-000020490000}"/>
    <cellStyle name="Normal 16 3 2 8 2" xfId="48262" xr:uid="{00000000-0005-0000-0000-000021490000}"/>
    <cellStyle name="Normal 16 3 2 8 3" xfId="32162" xr:uid="{00000000-0005-0000-0000-000022490000}"/>
    <cellStyle name="Normal 16 3 2 8 4" xfId="22593" xr:uid="{00000000-0005-0000-0000-000023490000}"/>
    <cellStyle name="Normal 16 3 2 9" xfId="3411" xr:uid="{00000000-0005-0000-0000-000024490000}"/>
    <cellStyle name="Normal 16 3 2 9 2" xfId="51252" xr:uid="{00000000-0005-0000-0000-000025490000}"/>
    <cellStyle name="Normal 16 3 2 9 3" xfId="35152" xr:uid="{00000000-0005-0000-0000-000026490000}"/>
    <cellStyle name="Normal 16 3 2 9 4" xfId="16016" xr:uid="{00000000-0005-0000-0000-000027490000}"/>
    <cellStyle name="Normal 16 3 3" xfId="303" xr:uid="{00000000-0005-0000-0000-000028490000}"/>
    <cellStyle name="Normal 16 3 3 2" xfId="2322" xr:uid="{00000000-0005-0000-0000-000029490000}"/>
    <cellStyle name="Normal 16 3 3 2 2" xfId="8856" xr:uid="{00000000-0005-0000-0000-00002A490000}"/>
    <cellStyle name="Normal 16 3 3 2 2 2" xfId="40597" xr:uid="{00000000-0005-0000-0000-00002B490000}"/>
    <cellStyle name="Normal 16 3 3 2 2 2 2" xfId="56697" xr:uid="{00000000-0005-0000-0000-00002C490000}"/>
    <cellStyle name="Normal 16 3 3 2 2 3" xfId="47130" xr:uid="{00000000-0005-0000-0000-00002D490000}"/>
    <cellStyle name="Normal 16 3 3 2 2 4" xfId="31030" xr:uid="{00000000-0005-0000-0000-00002E490000}"/>
    <cellStyle name="Normal 16 3 3 2 2 5" xfId="21461" xr:uid="{00000000-0005-0000-0000-00002F490000}"/>
    <cellStyle name="Normal 16 3 3 2 3" xfId="11892" xr:uid="{00000000-0005-0000-0000-000030490000}"/>
    <cellStyle name="Normal 16 3 3 2 3 2" xfId="50166" xr:uid="{00000000-0005-0000-0000-000031490000}"/>
    <cellStyle name="Normal 16 3 3 2 3 3" xfId="34066" xr:uid="{00000000-0005-0000-0000-000032490000}"/>
    <cellStyle name="Normal 16 3 3 2 3 4" xfId="24497" xr:uid="{00000000-0005-0000-0000-000033490000}"/>
    <cellStyle name="Normal 16 3 3 2 4" xfId="5820" xr:uid="{00000000-0005-0000-0000-000034490000}"/>
    <cellStyle name="Normal 16 3 3 2 4 2" xfId="53661" xr:uid="{00000000-0005-0000-0000-000035490000}"/>
    <cellStyle name="Normal 16 3 3 2 4 3" xfId="37561" xr:uid="{00000000-0005-0000-0000-000036490000}"/>
    <cellStyle name="Normal 16 3 3 2 4 4" xfId="18425" xr:uid="{00000000-0005-0000-0000-000037490000}"/>
    <cellStyle name="Normal 16 3 3 2 5" xfId="44094" xr:uid="{00000000-0005-0000-0000-000038490000}"/>
    <cellStyle name="Normal 16 3 3 2 6" xfId="27994" xr:uid="{00000000-0005-0000-0000-000039490000}"/>
    <cellStyle name="Normal 16 3 3 2 7" xfId="14930" xr:uid="{00000000-0005-0000-0000-00003A490000}"/>
    <cellStyle name="Normal 16 3 3 3" xfId="1534" xr:uid="{00000000-0005-0000-0000-00003B490000}"/>
    <cellStyle name="Normal 16 3 3 3 2" xfId="8068" xr:uid="{00000000-0005-0000-0000-00003C490000}"/>
    <cellStyle name="Normal 16 3 3 3 2 2" xfId="39809" xr:uid="{00000000-0005-0000-0000-00003D490000}"/>
    <cellStyle name="Normal 16 3 3 3 2 2 2" xfId="55909" xr:uid="{00000000-0005-0000-0000-00003E490000}"/>
    <cellStyle name="Normal 16 3 3 3 2 3" xfId="46342" xr:uid="{00000000-0005-0000-0000-00003F490000}"/>
    <cellStyle name="Normal 16 3 3 3 2 4" xfId="30242" xr:uid="{00000000-0005-0000-0000-000040490000}"/>
    <cellStyle name="Normal 16 3 3 3 2 5" xfId="20673" xr:uid="{00000000-0005-0000-0000-000041490000}"/>
    <cellStyle name="Normal 16 3 3 3 3" xfId="11104" xr:uid="{00000000-0005-0000-0000-000042490000}"/>
    <cellStyle name="Normal 16 3 3 3 3 2" xfId="49378" xr:uid="{00000000-0005-0000-0000-000043490000}"/>
    <cellStyle name="Normal 16 3 3 3 3 3" xfId="33278" xr:uid="{00000000-0005-0000-0000-000044490000}"/>
    <cellStyle name="Normal 16 3 3 3 3 4" xfId="23709" xr:uid="{00000000-0005-0000-0000-000045490000}"/>
    <cellStyle name="Normal 16 3 3 3 4" xfId="5032" xr:uid="{00000000-0005-0000-0000-000046490000}"/>
    <cellStyle name="Normal 16 3 3 3 4 2" xfId="52873" xr:uid="{00000000-0005-0000-0000-000047490000}"/>
    <cellStyle name="Normal 16 3 3 3 4 3" xfId="36773" xr:uid="{00000000-0005-0000-0000-000048490000}"/>
    <cellStyle name="Normal 16 3 3 3 4 4" xfId="17637" xr:uid="{00000000-0005-0000-0000-000049490000}"/>
    <cellStyle name="Normal 16 3 3 3 5" xfId="43306" xr:uid="{00000000-0005-0000-0000-00004A490000}"/>
    <cellStyle name="Normal 16 3 3 3 6" xfId="27206" xr:uid="{00000000-0005-0000-0000-00004B490000}"/>
    <cellStyle name="Normal 16 3 3 3 7" xfId="14142" xr:uid="{00000000-0005-0000-0000-00004C490000}"/>
    <cellStyle name="Normal 16 3 3 4" xfId="7058" xr:uid="{00000000-0005-0000-0000-00004D490000}"/>
    <cellStyle name="Normal 16 3 3 4 2" xfId="38799" xr:uid="{00000000-0005-0000-0000-00004E490000}"/>
    <cellStyle name="Normal 16 3 3 4 2 2" xfId="54899" xr:uid="{00000000-0005-0000-0000-00004F490000}"/>
    <cellStyle name="Normal 16 3 3 4 3" xfId="45332" xr:uid="{00000000-0005-0000-0000-000050490000}"/>
    <cellStyle name="Normal 16 3 3 4 4" xfId="29232" xr:uid="{00000000-0005-0000-0000-000051490000}"/>
    <cellStyle name="Normal 16 3 3 4 5" xfId="19663" xr:uid="{00000000-0005-0000-0000-000052490000}"/>
    <cellStyle name="Normal 16 3 3 5" xfId="10094" xr:uid="{00000000-0005-0000-0000-000053490000}"/>
    <cellStyle name="Normal 16 3 3 5 2" xfId="48368" xr:uid="{00000000-0005-0000-0000-000054490000}"/>
    <cellStyle name="Normal 16 3 3 5 3" xfId="32268" xr:uid="{00000000-0005-0000-0000-000055490000}"/>
    <cellStyle name="Normal 16 3 3 5 4" xfId="22699" xr:uid="{00000000-0005-0000-0000-000056490000}"/>
    <cellStyle name="Normal 16 3 3 6" xfId="4022" xr:uid="{00000000-0005-0000-0000-000057490000}"/>
    <cellStyle name="Normal 16 3 3 6 2" xfId="51863" xr:uid="{00000000-0005-0000-0000-000058490000}"/>
    <cellStyle name="Normal 16 3 3 6 3" xfId="35763" xr:uid="{00000000-0005-0000-0000-000059490000}"/>
    <cellStyle name="Normal 16 3 3 6 4" xfId="16627" xr:uid="{00000000-0005-0000-0000-00005A490000}"/>
    <cellStyle name="Normal 16 3 3 7" xfId="42296" xr:uid="{00000000-0005-0000-0000-00005B490000}"/>
    <cellStyle name="Normal 16 3 3 8" xfId="26196" xr:uid="{00000000-0005-0000-0000-00005C490000}"/>
    <cellStyle name="Normal 16 3 3 9" xfId="13132" xr:uid="{00000000-0005-0000-0000-00005D490000}"/>
    <cellStyle name="Normal 16 3 4" xfId="561" xr:uid="{00000000-0005-0000-0000-00005E490000}"/>
    <cellStyle name="Normal 16 3 4 2" xfId="2590" xr:uid="{00000000-0005-0000-0000-00005F490000}"/>
    <cellStyle name="Normal 16 3 4 2 2" xfId="9122" xr:uid="{00000000-0005-0000-0000-000060490000}"/>
    <cellStyle name="Normal 16 3 4 2 2 2" xfId="40863" xr:uid="{00000000-0005-0000-0000-000061490000}"/>
    <cellStyle name="Normal 16 3 4 2 2 2 2" xfId="56963" xr:uid="{00000000-0005-0000-0000-000062490000}"/>
    <cellStyle name="Normal 16 3 4 2 2 3" xfId="47396" xr:uid="{00000000-0005-0000-0000-000063490000}"/>
    <cellStyle name="Normal 16 3 4 2 2 4" xfId="31296" xr:uid="{00000000-0005-0000-0000-000064490000}"/>
    <cellStyle name="Normal 16 3 4 2 2 5" xfId="21727" xr:uid="{00000000-0005-0000-0000-000065490000}"/>
    <cellStyle name="Normal 16 3 4 2 3" xfId="12158" xr:uid="{00000000-0005-0000-0000-000066490000}"/>
    <cellStyle name="Normal 16 3 4 2 3 2" xfId="50432" xr:uid="{00000000-0005-0000-0000-000067490000}"/>
    <cellStyle name="Normal 16 3 4 2 3 3" xfId="34332" xr:uid="{00000000-0005-0000-0000-000068490000}"/>
    <cellStyle name="Normal 16 3 4 2 3 4" xfId="24763" xr:uid="{00000000-0005-0000-0000-000069490000}"/>
    <cellStyle name="Normal 16 3 4 2 4" xfId="6086" xr:uid="{00000000-0005-0000-0000-00006A490000}"/>
    <cellStyle name="Normal 16 3 4 2 4 2" xfId="53927" xr:uid="{00000000-0005-0000-0000-00006B490000}"/>
    <cellStyle name="Normal 16 3 4 2 4 3" xfId="37827" xr:uid="{00000000-0005-0000-0000-00006C490000}"/>
    <cellStyle name="Normal 16 3 4 2 4 4" xfId="18691" xr:uid="{00000000-0005-0000-0000-00006D490000}"/>
    <cellStyle name="Normal 16 3 4 2 5" xfId="44360" xr:uid="{00000000-0005-0000-0000-00006E490000}"/>
    <cellStyle name="Normal 16 3 4 2 6" xfId="28260" xr:uid="{00000000-0005-0000-0000-00006F490000}"/>
    <cellStyle name="Normal 16 3 4 2 7" xfId="15196" xr:uid="{00000000-0005-0000-0000-000070490000}"/>
    <cellStyle name="Normal 16 3 4 3" xfId="1357" xr:uid="{00000000-0005-0000-0000-000071490000}"/>
    <cellStyle name="Normal 16 3 4 3 2" xfId="7891" xr:uid="{00000000-0005-0000-0000-000072490000}"/>
    <cellStyle name="Normal 16 3 4 3 2 2" xfId="39632" xr:uid="{00000000-0005-0000-0000-000073490000}"/>
    <cellStyle name="Normal 16 3 4 3 2 2 2" xfId="55732" xr:uid="{00000000-0005-0000-0000-000074490000}"/>
    <cellStyle name="Normal 16 3 4 3 2 3" xfId="46165" xr:uid="{00000000-0005-0000-0000-000075490000}"/>
    <cellStyle name="Normal 16 3 4 3 2 4" xfId="30065" xr:uid="{00000000-0005-0000-0000-000076490000}"/>
    <cellStyle name="Normal 16 3 4 3 2 5" xfId="20496" xr:uid="{00000000-0005-0000-0000-000077490000}"/>
    <cellStyle name="Normal 16 3 4 3 3" xfId="10927" xr:uid="{00000000-0005-0000-0000-000078490000}"/>
    <cellStyle name="Normal 16 3 4 3 3 2" xfId="49201" xr:uid="{00000000-0005-0000-0000-000079490000}"/>
    <cellStyle name="Normal 16 3 4 3 3 3" xfId="33101" xr:uid="{00000000-0005-0000-0000-00007A490000}"/>
    <cellStyle name="Normal 16 3 4 3 3 4" xfId="23532" xr:uid="{00000000-0005-0000-0000-00007B490000}"/>
    <cellStyle name="Normal 16 3 4 3 4" xfId="4855" xr:uid="{00000000-0005-0000-0000-00007C490000}"/>
    <cellStyle name="Normal 16 3 4 3 4 2" xfId="52696" xr:uid="{00000000-0005-0000-0000-00007D490000}"/>
    <cellStyle name="Normal 16 3 4 3 4 3" xfId="36596" xr:uid="{00000000-0005-0000-0000-00007E490000}"/>
    <cellStyle name="Normal 16 3 4 3 4 4" xfId="17460" xr:uid="{00000000-0005-0000-0000-00007F490000}"/>
    <cellStyle name="Normal 16 3 4 3 5" xfId="43129" xr:uid="{00000000-0005-0000-0000-000080490000}"/>
    <cellStyle name="Normal 16 3 4 3 6" xfId="27029" xr:uid="{00000000-0005-0000-0000-000081490000}"/>
    <cellStyle name="Normal 16 3 4 3 7" xfId="13965" xr:uid="{00000000-0005-0000-0000-000082490000}"/>
    <cellStyle name="Normal 16 3 4 4" xfId="6881" xr:uid="{00000000-0005-0000-0000-000083490000}"/>
    <cellStyle name="Normal 16 3 4 4 2" xfId="38622" xr:uid="{00000000-0005-0000-0000-000084490000}"/>
    <cellStyle name="Normal 16 3 4 4 2 2" xfId="54722" xr:uid="{00000000-0005-0000-0000-000085490000}"/>
    <cellStyle name="Normal 16 3 4 4 3" xfId="45155" xr:uid="{00000000-0005-0000-0000-000086490000}"/>
    <cellStyle name="Normal 16 3 4 4 4" xfId="29055" xr:uid="{00000000-0005-0000-0000-000087490000}"/>
    <cellStyle name="Normal 16 3 4 4 5" xfId="19486" xr:uid="{00000000-0005-0000-0000-000088490000}"/>
    <cellStyle name="Normal 16 3 4 5" xfId="9917" xr:uid="{00000000-0005-0000-0000-000089490000}"/>
    <cellStyle name="Normal 16 3 4 5 2" xfId="48191" xr:uid="{00000000-0005-0000-0000-00008A490000}"/>
    <cellStyle name="Normal 16 3 4 5 3" xfId="32091" xr:uid="{00000000-0005-0000-0000-00008B490000}"/>
    <cellStyle name="Normal 16 3 4 5 4" xfId="22522" xr:uid="{00000000-0005-0000-0000-00008C490000}"/>
    <cellStyle name="Normal 16 3 4 6" xfId="3845" xr:uid="{00000000-0005-0000-0000-00008D490000}"/>
    <cellStyle name="Normal 16 3 4 6 2" xfId="51686" xr:uid="{00000000-0005-0000-0000-00008E490000}"/>
    <cellStyle name="Normal 16 3 4 6 3" xfId="35586" xr:uid="{00000000-0005-0000-0000-00008F490000}"/>
    <cellStyle name="Normal 16 3 4 6 4" xfId="16450" xr:uid="{00000000-0005-0000-0000-000090490000}"/>
    <cellStyle name="Normal 16 3 4 7" xfId="42119" xr:uid="{00000000-0005-0000-0000-000091490000}"/>
    <cellStyle name="Normal 16 3 4 8" xfId="26019" xr:uid="{00000000-0005-0000-0000-000092490000}"/>
    <cellStyle name="Normal 16 3 4 9" xfId="12955" xr:uid="{00000000-0005-0000-0000-000093490000}"/>
    <cellStyle name="Normal 16 3 5" xfId="818" xr:uid="{00000000-0005-0000-0000-000094490000}"/>
    <cellStyle name="Normal 16 3 5 2" xfId="2846" xr:uid="{00000000-0005-0000-0000-000095490000}"/>
    <cellStyle name="Normal 16 3 5 2 2" xfId="9378" xr:uid="{00000000-0005-0000-0000-000096490000}"/>
    <cellStyle name="Normal 16 3 5 2 2 2" xfId="41119" xr:uid="{00000000-0005-0000-0000-000097490000}"/>
    <cellStyle name="Normal 16 3 5 2 2 2 2" xfId="57219" xr:uid="{00000000-0005-0000-0000-000098490000}"/>
    <cellStyle name="Normal 16 3 5 2 2 3" xfId="47652" xr:uid="{00000000-0005-0000-0000-000099490000}"/>
    <cellStyle name="Normal 16 3 5 2 2 4" xfId="31552" xr:uid="{00000000-0005-0000-0000-00009A490000}"/>
    <cellStyle name="Normal 16 3 5 2 2 5" xfId="21983" xr:uid="{00000000-0005-0000-0000-00009B490000}"/>
    <cellStyle name="Normal 16 3 5 2 3" xfId="12414" xr:uid="{00000000-0005-0000-0000-00009C490000}"/>
    <cellStyle name="Normal 16 3 5 2 3 2" xfId="50688" xr:uid="{00000000-0005-0000-0000-00009D490000}"/>
    <cellStyle name="Normal 16 3 5 2 3 3" xfId="34588" xr:uid="{00000000-0005-0000-0000-00009E490000}"/>
    <cellStyle name="Normal 16 3 5 2 3 4" xfId="25019" xr:uid="{00000000-0005-0000-0000-00009F490000}"/>
    <cellStyle name="Normal 16 3 5 2 4" xfId="6342" xr:uid="{00000000-0005-0000-0000-0000A0490000}"/>
    <cellStyle name="Normal 16 3 5 2 4 2" xfId="54183" xr:uid="{00000000-0005-0000-0000-0000A1490000}"/>
    <cellStyle name="Normal 16 3 5 2 4 3" xfId="38083" xr:uid="{00000000-0005-0000-0000-0000A2490000}"/>
    <cellStyle name="Normal 16 3 5 2 4 4" xfId="18947" xr:uid="{00000000-0005-0000-0000-0000A3490000}"/>
    <cellStyle name="Normal 16 3 5 2 5" xfId="44616" xr:uid="{00000000-0005-0000-0000-0000A4490000}"/>
    <cellStyle name="Normal 16 3 5 2 6" xfId="28516" xr:uid="{00000000-0005-0000-0000-0000A5490000}"/>
    <cellStyle name="Normal 16 3 5 2 7" xfId="15452" xr:uid="{00000000-0005-0000-0000-0000A6490000}"/>
    <cellStyle name="Normal 16 3 5 3" xfId="1828" xr:uid="{00000000-0005-0000-0000-0000A7490000}"/>
    <cellStyle name="Normal 16 3 5 3 2" xfId="8362" xr:uid="{00000000-0005-0000-0000-0000A8490000}"/>
    <cellStyle name="Normal 16 3 5 3 2 2" xfId="40103" xr:uid="{00000000-0005-0000-0000-0000A9490000}"/>
    <cellStyle name="Normal 16 3 5 3 2 2 2" xfId="56203" xr:uid="{00000000-0005-0000-0000-0000AA490000}"/>
    <cellStyle name="Normal 16 3 5 3 2 3" xfId="46636" xr:uid="{00000000-0005-0000-0000-0000AB490000}"/>
    <cellStyle name="Normal 16 3 5 3 2 4" xfId="30536" xr:uid="{00000000-0005-0000-0000-0000AC490000}"/>
    <cellStyle name="Normal 16 3 5 3 2 5" xfId="20967" xr:uid="{00000000-0005-0000-0000-0000AD490000}"/>
    <cellStyle name="Normal 16 3 5 3 3" xfId="11398" xr:uid="{00000000-0005-0000-0000-0000AE490000}"/>
    <cellStyle name="Normal 16 3 5 3 3 2" xfId="49672" xr:uid="{00000000-0005-0000-0000-0000AF490000}"/>
    <cellStyle name="Normal 16 3 5 3 3 3" xfId="33572" xr:uid="{00000000-0005-0000-0000-0000B0490000}"/>
    <cellStyle name="Normal 16 3 5 3 3 4" xfId="24003" xr:uid="{00000000-0005-0000-0000-0000B1490000}"/>
    <cellStyle name="Normal 16 3 5 3 4" xfId="5326" xr:uid="{00000000-0005-0000-0000-0000B2490000}"/>
    <cellStyle name="Normal 16 3 5 3 4 2" xfId="53167" xr:uid="{00000000-0005-0000-0000-0000B3490000}"/>
    <cellStyle name="Normal 16 3 5 3 4 3" xfId="37067" xr:uid="{00000000-0005-0000-0000-0000B4490000}"/>
    <cellStyle name="Normal 16 3 5 3 4 4" xfId="17931" xr:uid="{00000000-0005-0000-0000-0000B5490000}"/>
    <cellStyle name="Normal 16 3 5 3 5" xfId="43600" xr:uid="{00000000-0005-0000-0000-0000B6490000}"/>
    <cellStyle name="Normal 16 3 5 3 6" xfId="27500" xr:uid="{00000000-0005-0000-0000-0000B7490000}"/>
    <cellStyle name="Normal 16 3 5 3 7" xfId="14436" xr:uid="{00000000-0005-0000-0000-0000B8490000}"/>
    <cellStyle name="Normal 16 3 5 4" xfId="7352" xr:uid="{00000000-0005-0000-0000-0000B9490000}"/>
    <cellStyle name="Normal 16 3 5 4 2" xfId="39093" xr:uid="{00000000-0005-0000-0000-0000BA490000}"/>
    <cellStyle name="Normal 16 3 5 4 2 2" xfId="55193" xr:uid="{00000000-0005-0000-0000-0000BB490000}"/>
    <cellStyle name="Normal 16 3 5 4 3" xfId="45626" xr:uid="{00000000-0005-0000-0000-0000BC490000}"/>
    <cellStyle name="Normal 16 3 5 4 4" xfId="29526" xr:uid="{00000000-0005-0000-0000-0000BD490000}"/>
    <cellStyle name="Normal 16 3 5 4 5" xfId="19957" xr:uid="{00000000-0005-0000-0000-0000BE490000}"/>
    <cellStyle name="Normal 16 3 5 5" xfId="10388" xr:uid="{00000000-0005-0000-0000-0000BF490000}"/>
    <cellStyle name="Normal 16 3 5 5 2" xfId="48662" xr:uid="{00000000-0005-0000-0000-0000C0490000}"/>
    <cellStyle name="Normal 16 3 5 5 3" xfId="32562" xr:uid="{00000000-0005-0000-0000-0000C1490000}"/>
    <cellStyle name="Normal 16 3 5 5 4" xfId="22993" xr:uid="{00000000-0005-0000-0000-0000C2490000}"/>
    <cellStyle name="Normal 16 3 5 6" xfId="4316" xr:uid="{00000000-0005-0000-0000-0000C3490000}"/>
    <cellStyle name="Normal 16 3 5 6 2" xfId="52157" xr:uid="{00000000-0005-0000-0000-0000C4490000}"/>
    <cellStyle name="Normal 16 3 5 6 3" xfId="36057" xr:uid="{00000000-0005-0000-0000-0000C5490000}"/>
    <cellStyle name="Normal 16 3 5 6 4" xfId="16921" xr:uid="{00000000-0005-0000-0000-0000C6490000}"/>
    <cellStyle name="Normal 16 3 5 7" xfId="42590" xr:uid="{00000000-0005-0000-0000-0000C7490000}"/>
    <cellStyle name="Normal 16 3 5 8" xfId="26490" xr:uid="{00000000-0005-0000-0000-0000C8490000}"/>
    <cellStyle name="Normal 16 3 5 9" xfId="13426" xr:uid="{00000000-0005-0000-0000-0000C9490000}"/>
    <cellStyle name="Normal 16 3 6" xfId="2145" xr:uid="{00000000-0005-0000-0000-0000CA490000}"/>
    <cellStyle name="Normal 16 3 6 2" xfId="8679" xr:uid="{00000000-0005-0000-0000-0000CB490000}"/>
    <cellStyle name="Normal 16 3 6 2 2" xfId="40420" xr:uid="{00000000-0005-0000-0000-0000CC490000}"/>
    <cellStyle name="Normal 16 3 6 2 2 2" xfId="56520" xr:uid="{00000000-0005-0000-0000-0000CD490000}"/>
    <cellStyle name="Normal 16 3 6 2 3" xfId="46953" xr:uid="{00000000-0005-0000-0000-0000CE490000}"/>
    <cellStyle name="Normal 16 3 6 2 4" xfId="30853" xr:uid="{00000000-0005-0000-0000-0000CF490000}"/>
    <cellStyle name="Normal 16 3 6 2 5" xfId="21284" xr:uid="{00000000-0005-0000-0000-0000D0490000}"/>
    <cellStyle name="Normal 16 3 6 3" xfId="11715" xr:uid="{00000000-0005-0000-0000-0000D1490000}"/>
    <cellStyle name="Normal 16 3 6 3 2" xfId="49989" xr:uid="{00000000-0005-0000-0000-0000D2490000}"/>
    <cellStyle name="Normal 16 3 6 3 3" xfId="33889" xr:uid="{00000000-0005-0000-0000-0000D3490000}"/>
    <cellStyle name="Normal 16 3 6 3 4" xfId="24320" xr:uid="{00000000-0005-0000-0000-0000D4490000}"/>
    <cellStyle name="Normal 16 3 6 4" xfId="5643" xr:uid="{00000000-0005-0000-0000-0000D5490000}"/>
    <cellStyle name="Normal 16 3 6 4 2" xfId="53484" xr:uid="{00000000-0005-0000-0000-0000D6490000}"/>
    <cellStyle name="Normal 16 3 6 4 3" xfId="37384" xr:uid="{00000000-0005-0000-0000-0000D7490000}"/>
    <cellStyle name="Normal 16 3 6 4 4" xfId="18248" xr:uid="{00000000-0005-0000-0000-0000D8490000}"/>
    <cellStyle name="Normal 16 3 6 5" xfId="43917" xr:uid="{00000000-0005-0000-0000-0000D9490000}"/>
    <cellStyle name="Normal 16 3 6 6" xfId="27817" xr:uid="{00000000-0005-0000-0000-0000DA490000}"/>
    <cellStyle name="Normal 16 3 6 7" xfId="14753" xr:uid="{00000000-0005-0000-0000-0000DB490000}"/>
    <cellStyle name="Normal 16 3 7" xfId="1145" xr:uid="{00000000-0005-0000-0000-0000DC490000}"/>
    <cellStyle name="Normal 16 3 7 2" xfId="7679" xr:uid="{00000000-0005-0000-0000-0000DD490000}"/>
    <cellStyle name="Normal 16 3 7 2 2" xfId="39420" xr:uid="{00000000-0005-0000-0000-0000DE490000}"/>
    <cellStyle name="Normal 16 3 7 2 2 2" xfId="55520" xr:uid="{00000000-0005-0000-0000-0000DF490000}"/>
    <cellStyle name="Normal 16 3 7 2 3" xfId="45953" xr:uid="{00000000-0005-0000-0000-0000E0490000}"/>
    <cellStyle name="Normal 16 3 7 2 4" xfId="29853" xr:uid="{00000000-0005-0000-0000-0000E1490000}"/>
    <cellStyle name="Normal 16 3 7 2 5" xfId="20284" xr:uid="{00000000-0005-0000-0000-0000E2490000}"/>
    <cellStyle name="Normal 16 3 7 3" xfId="10715" xr:uid="{00000000-0005-0000-0000-0000E3490000}"/>
    <cellStyle name="Normal 16 3 7 3 2" xfId="48989" xr:uid="{00000000-0005-0000-0000-0000E4490000}"/>
    <cellStyle name="Normal 16 3 7 3 3" xfId="32889" xr:uid="{00000000-0005-0000-0000-0000E5490000}"/>
    <cellStyle name="Normal 16 3 7 3 4" xfId="23320" xr:uid="{00000000-0005-0000-0000-0000E6490000}"/>
    <cellStyle name="Normal 16 3 7 4" xfId="4643" xr:uid="{00000000-0005-0000-0000-0000E7490000}"/>
    <cellStyle name="Normal 16 3 7 4 2" xfId="52484" xr:uid="{00000000-0005-0000-0000-0000E8490000}"/>
    <cellStyle name="Normal 16 3 7 4 3" xfId="36384" xr:uid="{00000000-0005-0000-0000-0000E9490000}"/>
    <cellStyle name="Normal 16 3 7 4 4" xfId="17248" xr:uid="{00000000-0005-0000-0000-0000EA490000}"/>
    <cellStyle name="Normal 16 3 7 5" xfId="42917" xr:uid="{00000000-0005-0000-0000-0000EB490000}"/>
    <cellStyle name="Normal 16 3 7 6" xfId="26817" xr:uid="{00000000-0005-0000-0000-0000EC490000}"/>
    <cellStyle name="Normal 16 3 7 7" xfId="13753" xr:uid="{00000000-0005-0000-0000-0000ED490000}"/>
    <cellStyle name="Normal 16 3 8" xfId="3633" xr:uid="{00000000-0005-0000-0000-0000EE490000}"/>
    <cellStyle name="Normal 16 3 8 2" xfId="35374" xr:uid="{00000000-0005-0000-0000-0000EF490000}"/>
    <cellStyle name="Normal 16 3 8 2 2" xfId="51474" xr:uid="{00000000-0005-0000-0000-0000F0490000}"/>
    <cellStyle name="Normal 16 3 8 3" xfId="41907" xr:uid="{00000000-0005-0000-0000-0000F1490000}"/>
    <cellStyle name="Normal 16 3 8 4" xfId="25807" xr:uid="{00000000-0005-0000-0000-0000F2490000}"/>
    <cellStyle name="Normal 16 3 8 5" xfId="16238" xr:uid="{00000000-0005-0000-0000-0000F3490000}"/>
    <cellStyle name="Normal 16 3 9" xfId="6669" xr:uid="{00000000-0005-0000-0000-0000F4490000}"/>
    <cellStyle name="Normal 16 3 9 2" xfId="38410" xr:uid="{00000000-0005-0000-0000-0000F5490000}"/>
    <cellStyle name="Normal 16 3 9 2 2" xfId="54510" xr:uid="{00000000-0005-0000-0000-0000F6490000}"/>
    <cellStyle name="Normal 16 3 9 3" xfId="44943" xr:uid="{00000000-0005-0000-0000-0000F7490000}"/>
    <cellStyle name="Normal 16 3 9 4" xfId="28843" xr:uid="{00000000-0005-0000-0000-0000F8490000}"/>
    <cellStyle name="Normal 16 3 9 5" xfId="19274" xr:uid="{00000000-0005-0000-0000-0000F9490000}"/>
    <cellStyle name="Normal 16 4" xfId="86" xr:uid="{00000000-0005-0000-0000-0000FA490000}"/>
    <cellStyle name="Normal 16 4 10" xfId="3190" xr:uid="{00000000-0005-0000-0000-0000FB490000}"/>
    <cellStyle name="Normal 16 4 10 2" xfId="51032" xr:uid="{00000000-0005-0000-0000-0000FC490000}"/>
    <cellStyle name="Normal 16 4 10 3" xfId="34932" xr:uid="{00000000-0005-0000-0000-0000FD490000}"/>
    <cellStyle name="Normal 16 4 10 4" xfId="15796" xr:uid="{00000000-0005-0000-0000-0000FE490000}"/>
    <cellStyle name="Normal 16 4 11" xfId="41465" xr:uid="{00000000-0005-0000-0000-0000FF490000}"/>
    <cellStyle name="Normal 16 4 12" xfId="25365" xr:uid="{00000000-0005-0000-0000-0000004A0000}"/>
    <cellStyle name="Normal 16 4 13" xfId="12760" xr:uid="{00000000-0005-0000-0000-0000014A0000}"/>
    <cellStyle name="Normal 16 4 2" xfId="267" xr:uid="{00000000-0005-0000-0000-0000024A0000}"/>
    <cellStyle name="Normal 16 4 2 10" xfId="25602" xr:uid="{00000000-0005-0000-0000-0000034A0000}"/>
    <cellStyle name="Normal 16 4 2 11" xfId="13096" xr:uid="{00000000-0005-0000-0000-0000044A0000}"/>
    <cellStyle name="Normal 16 4 2 2" xfId="1047" xr:uid="{00000000-0005-0000-0000-0000054A0000}"/>
    <cellStyle name="Normal 16 4 2 2 2" xfId="3075" xr:uid="{00000000-0005-0000-0000-0000064A0000}"/>
    <cellStyle name="Normal 16 4 2 2 2 2" xfId="9607" xr:uid="{00000000-0005-0000-0000-0000074A0000}"/>
    <cellStyle name="Normal 16 4 2 2 2 2 2" xfId="41348" xr:uid="{00000000-0005-0000-0000-0000084A0000}"/>
    <cellStyle name="Normal 16 4 2 2 2 2 2 2" xfId="57448" xr:uid="{00000000-0005-0000-0000-0000094A0000}"/>
    <cellStyle name="Normal 16 4 2 2 2 2 3" xfId="47881" xr:uid="{00000000-0005-0000-0000-00000A4A0000}"/>
    <cellStyle name="Normal 16 4 2 2 2 2 4" xfId="31781" xr:uid="{00000000-0005-0000-0000-00000B4A0000}"/>
    <cellStyle name="Normal 16 4 2 2 2 2 5" xfId="22212" xr:uid="{00000000-0005-0000-0000-00000C4A0000}"/>
    <cellStyle name="Normal 16 4 2 2 2 3" xfId="12643" xr:uid="{00000000-0005-0000-0000-00000D4A0000}"/>
    <cellStyle name="Normal 16 4 2 2 2 3 2" xfId="50917" xr:uid="{00000000-0005-0000-0000-00000E4A0000}"/>
    <cellStyle name="Normal 16 4 2 2 2 3 3" xfId="34817" xr:uid="{00000000-0005-0000-0000-00000F4A0000}"/>
    <cellStyle name="Normal 16 4 2 2 2 3 4" xfId="25248" xr:uid="{00000000-0005-0000-0000-0000104A0000}"/>
    <cellStyle name="Normal 16 4 2 2 2 4" xfId="6571" xr:uid="{00000000-0005-0000-0000-0000114A0000}"/>
    <cellStyle name="Normal 16 4 2 2 2 4 2" xfId="54412" xr:uid="{00000000-0005-0000-0000-0000124A0000}"/>
    <cellStyle name="Normal 16 4 2 2 2 4 3" xfId="38312" xr:uid="{00000000-0005-0000-0000-0000134A0000}"/>
    <cellStyle name="Normal 16 4 2 2 2 4 4" xfId="19176" xr:uid="{00000000-0005-0000-0000-0000144A0000}"/>
    <cellStyle name="Normal 16 4 2 2 2 5" xfId="44845" xr:uid="{00000000-0005-0000-0000-0000154A0000}"/>
    <cellStyle name="Normal 16 4 2 2 2 6" xfId="28745" xr:uid="{00000000-0005-0000-0000-0000164A0000}"/>
    <cellStyle name="Normal 16 4 2 2 2 7" xfId="15681" xr:uid="{00000000-0005-0000-0000-0000174A0000}"/>
    <cellStyle name="Normal 16 4 2 2 3" xfId="2057" xr:uid="{00000000-0005-0000-0000-0000184A0000}"/>
    <cellStyle name="Normal 16 4 2 2 3 2" xfId="8591" xr:uid="{00000000-0005-0000-0000-0000194A0000}"/>
    <cellStyle name="Normal 16 4 2 2 3 2 2" xfId="40332" xr:uid="{00000000-0005-0000-0000-00001A4A0000}"/>
    <cellStyle name="Normal 16 4 2 2 3 2 2 2" xfId="56432" xr:uid="{00000000-0005-0000-0000-00001B4A0000}"/>
    <cellStyle name="Normal 16 4 2 2 3 2 3" xfId="46865" xr:uid="{00000000-0005-0000-0000-00001C4A0000}"/>
    <cellStyle name="Normal 16 4 2 2 3 2 4" xfId="30765" xr:uid="{00000000-0005-0000-0000-00001D4A0000}"/>
    <cellStyle name="Normal 16 4 2 2 3 2 5" xfId="21196" xr:uid="{00000000-0005-0000-0000-00001E4A0000}"/>
    <cellStyle name="Normal 16 4 2 2 3 3" xfId="11627" xr:uid="{00000000-0005-0000-0000-00001F4A0000}"/>
    <cellStyle name="Normal 16 4 2 2 3 3 2" xfId="49901" xr:uid="{00000000-0005-0000-0000-0000204A0000}"/>
    <cellStyle name="Normal 16 4 2 2 3 3 3" xfId="33801" xr:uid="{00000000-0005-0000-0000-0000214A0000}"/>
    <cellStyle name="Normal 16 4 2 2 3 3 4" xfId="24232" xr:uid="{00000000-0005-0000-0000-0000224A0000}"/>
    <cellStyle name="Normal 16 4 2 2 3 4" xfId="5555" xr:uid="{00000000-0005-0000-0000-0000234A0000}"/>
    <cellStyle name="Normal 16 4 2 2 3 4 2" xfId="53396" xr:uid="{00000000-0005-0000-0000-0000244A0000}"/>
    <cellStyle name="Normal 16 4 2 2 3 4 3" xfId="37296" xr:uid="{00000000-0005-0000-0000-0000254A0000}"/>
    <cellStyle name="Normal 16 4 2 2 3 4 4" xfId="18160" xr:uid="{00000000-0005-0000-0000-0000264A0000}"/>
    <cellStyle name="Normal 16 4 2 2 3 5" xfId="43829" xr:uid="{00000000-0005-0000-0000-0000274A0000}"/>
    <cellStyle name="Normal 16 4 2 2 3 6" xfId="27729" xr:uid="{00000000-0005-0000-0000-0000284A0000}"/>
    <cellStyle name="Normal 16 4 2 2 3 7" xfId="14665" xr:uid="{00000000-0005-0000-0000-0000294A0000}"/>
    <cellStyle name="Normal 16 4 2 2 4" xfId="7581" xr:uid="{00000000-0005-0000-0000-00002A4A0000}"/>
    <cellStyle name="Normal 16 4 2 2 4 2" xfId="39322" xr:uid="{00000000-0005-0000-0000-00002B4A0000}"/>
    <cellStyle name="Normal 16 4 2 2 4 2 2" xfId="55422" xr:uid="{00000000-0005-0000-0000-00002C4A0000}"/>
    <cellStyle name="Normal 16 4 2 2 4 3" xfId="45855" xr:uid="{00000000-0005-0000-0000-00002D4A0000}"/>
    <cellStyle name="Normal 16 4 2 2 4 4" xfId="29755" xr:uid="{00000000-0005-0000-0000-00002E4A0000}"/>
    <cellStyle name="Normal 16 4 2 2 4 5" xfId="20186" xr:uid="{00000000-0005-0000-0000-00002F4A0000}"/>
    <cellStyle name="Normal 16 4 2 2 5" xfId="10617" xr:uid="{00000000-0005-0000-0000-0000304A0000}"/>
    <cellStyle name="Normal 16 4 2 2 5 2" xfId="48891" xr:uid="{00000000-0005-0000-0000-0000314A0000}"/>
    <cellStyle name="Normal 16 4 2 2 5 3" xfId="32791" xr:uid="{00000000-0005-0000-0000-0000324A0000}"/>
    <cellStyle name="Normal 16 4 2 2 5 4" xfId="23222" xr:uid="{00000000-0005-0000-0000-0000334A0000}"/>
    <cellStyle name="Normal 16 4 2 2 6" xfId="4545" xr:uid="{00000000-0005-0000-0000-0000344A0000}"/>
    <cellStyle name="Normal 16 4 2 2 6 2" xfId="52386" xr:uid="{00000000-0005-0000-0000-0000354A0000}"/>
    <cellStyle name="Normal 16 4 2 2 6 3" xfId="36286" xr:uid="{00000000-0005-0000-0000-0000364A0000}"/>
    <cellStyle name="Normal 16 4 2 2 6 4" xfId="17150" xr:uid="{00000000-0005-0000-0000-0000374A0000}"/>
    <cellStyle name="Normal 16 4 2 2 7" xfId="42819" xr:uid="{00000000-0005-0000-0000-0000384A0000}"/>
    <cellStyle name="Normal 16 4 2 2 8" xfId="26719" xr:uid="{00000000-0005-0000-0000-0000394A0000}"/>
    <cellStyle name="Normal 16 4 2 2 9" xfId="13655" xr:uid="{00000000-0005-0000-0000-00003A4A0000}"/>
    <cellStyle name="Normal 16 4 2 3" xfId="2286" xr:uid="{00000000-0005-0000-0000-00003B4A0000}"/>
    <cellStyle name="Normal 16 4 2 3 2" xfId="8820" xr:uid="{00000000-0005-0000-0000-00003C4A0000}"/>
    <cellStyle name="Normal 16 4 2 3 2 2" xfId="40561" xr:uid="{00000000-0005-0000-0000-00003D4A0000}"/>
    <cellStyle name="Normal 16 4 2 3 2 2 2" xfId="56661" xr:uid="{00000000-0005-0000-0000-00003E4A0000}"/>
    <cellStyle name="Normal 16 4 2 3 2 3" xfId="47094" xr:uid="{00000000-0005-0000-0000-00003F4A0000}"/>
    <cellStyle name="Normal 16 4 2 3 2 4" xfId="30994" xr:uid="{00000000-0005-0000-0000-0000404A0000}"/>
    <cellStyle name="Normal 16 4 2 3 2 5" xfId="21425" xr:uid="{00000000-0005-0000-0000-0000414A0000}"/>
    <cellStyle name="Normal 16 4 2 3 3" xfId="11856" xr:uid="{00000000-0005-0000-0000-0000424A0000}"/>
    <cellStyle name="Normal 16 4 2 3 3 2" xfId="50130" xr:uid="{00000000-0005-0000-0000-0000434A0000}"/>
    <cellStyle name="Normal 16 4 2 3 3 3" xfId="34030" xr:uid="{00000000-0005-0000-0000-0000444A0000}"/>
    <cellStyle name="Normal 16 4 2 3 3 4" xfId="24461" xr:uid="{00000000-0005-0000-0000-0000454A0000}"/>
    <cellStyle name="Normal 16 4 2 3 4" xfId="5784" xr:uid="{00000000-0005-0000-0000-0000464A0000}"/>
    <cellStyle name="Normal 16 4 2 3 4 2" xfId="53625" xr:uid="{00000000-0005-0000-0000-0000474A0000}"/>
    <cellStyle name="Normal 16 4 2 3 4 3" xfId="37525" xr:uid="{00000000-0005-0000-0000-0000484A0000}"/>
    <cellStyle name="Normal 16 4 2 3 4 4" xfId="18389" xr:uid="{00000000-0005-0000-0000-0000494A0000}"/>
    <cellStyle name="Normal 16 4 2 3 5" xfId="44058" xr:uid="{00000000-0005-0000-0000-00004A4A0000}"/>
    <cellStyle name="Normal 16 4 2 3 6" xfId="27958" xr:uid="{00000000-0005-0000-0000-00004B4A0000}"/>
    <cellStyle name="Normal 16 4 2 3 7" xfId="14894" xr:uid="{00000000-0005-0000-0000-00004C4A0000}"/>
    <cellStyle name="Normal 16 4 2 4" xfId="1498" xr:uid="{00000000-0005-0000-0000-00004D4A0000}"/>
    <cellStyle name="Normal 16 4 2 4 2" xfId="8032" xr:uid="{00000000-0005-0000-0000-00004E4A0000}"/>
    <cellStyle name="Normal 16 4 2 4 2 2" xfId="39773" xr:uid="{00000000-0005-0000-0000-00004F4A0000}"/>
    <cellStyle name="Normal 16 4 2 4 2 2 2" xfId="55873" xr:uid="{00000000-0005-0000-0000-0000504A0000}"/>
    <cellStyle name="Normal 16 4 2 4 2 3" xfId="46306" xr:uid="{00000000-0005-0000-0000-0000514A0000}"/>
    <cellStyle name="Normal 16 4 2 4 2 4" xfId="30206" xr:uid="{00000000-0005-0000-0000-0000524A0000}"/>
    <cellStyle name="Normal 16 4 2 4 2 5" xfId="20637" xr:uid="{00000000-0005-0000-0000-0000534A0000}"/>
    <cellStyle name="Normal 16 4 2 4 3" xfId="11068" xr:uid="{00000000-0005-0000-0000-0000544A0000}"/>
    <cellStyle name="Normal 16 4 2 4 3 2" xfId="49342" xr:uid="{00000000-0005-0000-0000-0000554A0000}"/>
    <cellStyle name="Normal 16 4 2 4 3 3" xfId="33242" xr:uid="{00000000-0005-0000-0000-0000564A0000}"/>
    <cellStyle name="Normal 16 4 2 4 3 4" xfId="23673" xr:uid="{00000000-0005-0000-0000-0000574A0000}"/>
    <cellStyle name="Normal 16 4 2 4 4" xfId="4996" xr:uid="{00000000-0005-0000-0000-0000584A0000}"/>
    <cellStyle name="Normal 16 4 2 4 4 2" xfId="52837" xr:uid="{00000000-0005-0000-0000-0000594A0000}"/>
    <cellStyle name="Normal 16 4 2 4 4 3" xfId="36737" xr:uid="{00000000-0005-0000-0000-00005A4A0000}"/>
    <cellStyle name="Normal 16 4 2 4 4 4" xfId="17601" xr:uid="{00000000-0005-0000-0000-00005B4A0000}"/>
    <cellStyle name="Normal 16 4 2 4 5" xfId="43270" xr:uid="{00000000-0005-0000-0000-00005C4A0000}"/>
    <cellStyle name="Normal 16 4 2 4 6" xfId="27170" xr:uid="{00000000-0005-0000-0000-00005D4A0000}"/>
    <cellStyle name="Normal 16 4 2 4 7" xfId="14106" xr:uid="{00000000-0005-0000-0000-00005E4A0000}"/>
    <cellStyle name="Normal 16 4 2 5" xfId="3986" xr:uid="{00000000-0005-0000-0000-00005F4A0000}"/>
    <cellStyle name="Normal 16 4 2 5 2" xfId="35727" xr:uid="{00000000-0005-0000-0000-0000604A0000}"/>
    <cellStyle name="Normal 16 4 2 5 2 2" xfId="51827" xr:uid="{00000000-0005-0000-0000-0000614A0000}"/>
    <cellStyle name="Normal 16 4 2 5 3" xfId="42260" xr:uid="{00000000-0005-0000-0000-0000624A0000}"/>
    <cellStyle name="Normal 16 4 2 5 4" xfId="26160" xr:uid="{00000000-0005-0000-0000-0000634A0000}"/>
    <cellStyle name="Normal 16 4 2 5 5" xfId="16591" xr:uid="{00000000-0005-0000-0000-0000644A0000}"/>
    <cellStyle name="Normal 16 4 2 6" xfId="7022" xr:uid="{00000000-0005-0000-0000-0000654A0000}"/>
    <cellStyle name="Normal 16 4 2 6 2" xfId="38763" xr:uid="{00000000-0005-0000-0000-0000664A0000}"/>
    <cellStyle name="Normal 16 4 2 6 2 2" xfId="54863" xr:uid="{00000000-0005-0000-0000-0000674A0000}"/>
    <cellStyle name="Normal 16 4 2 6 3" xfId="45296" xr:uid="{00000000-0005-0000-0000-0000684A0000}"/>
    <cellStyle name="Normal 16 4 2 6 4" xfId="29196" xr:uid="{00000000-0005-0000-0000-0000694A0000}"/>
    <cellStyle name="Normal 16 4 2 6 5" xfId="19627" xr:uid="{00000000-0005-0000-0000-00006A4A0000}"/>
    <cellStyle name="Normal 16 4 2 7" xfId="10058" xr:uid="{00000000-0005-0000-0000-00006B4A0000}"/>
    <cellStyle name="Normal 16 4 2 7 2" xfId="48332" xr:uid="{00000000-0005-0000-0000-00006C4A0000}"/>
    <cellStyle name="Normal 16 4 2 7 3" xfId="32232" xr:uid="{00000000-0005-0000-0000-00006D4A0000}"/>
    <cellStyle name="Normal 16 4 2 7 4" xfId="22663" xr:uid="{00000000-0005-0000-0000-00006E4A0000}"/>
    <cellStyle name="Normal 16 4 2 8" xfId="3428" xr:uid="{00000000-0005-0000-0000-00006F4A0000}"/>
    <cellStyle name="Normal 16 4 2 8 2" xfId="51269" xr:uid="{00000000-0005-0000-0000-0000704A0000}"/>
    <cellStyle name="Normal 16 4 2 8 3" xfId="35169" xr:uid="{00000000-0005-0000-0000-0000714A0000}"/>
    <cellStyle name="Normal 16 4 2 8 4" xfId="16033" xr:uid="{00000000-0005-0000-0000-0000724A0000}"/>
    <cellStyle name="Normal 16 4 2 9" xfId="41702" xr:uid="{00000000-0005-0000-0000-0000734A0000}"/>
    <cellStyle name="Normal 16 4 3" xfId="542" xr:uid="{00000000-0005-0000-0000-0000744A0000}"/>
    <cellStyle name="Normal 16 4 3 2" xfId="2572" xr:uid="{00000000-0005-0000-0000-0000754A0000}"/>
    <cellStyle name="Normal 16 4 3 2 2" xfId="9104" xr:uid="{00000000-0005-0000-0000-0000764A0000}"/>
    <cellStyle name="Normal 16 4 3 2 2 2" xfId="40845" xr:uid="{00000000-0005-0000-0000-0000774A0000}"/>
    <cellStyle name="Normal 16 4 3 2 2 2 2" xfId="56945" xr:uid="{00000000-0005-0000-0000-0000784A0000}"/>
    <cellStyle name="Normal 16 4 3 2 2 3" xfId="47378" xr:uid="{00000000-0005-0000-0000-0000794A0000}"/>
    <cellStyle name="Normal 16 4 3 2 2 4" xfId="31278" xr:uid="{00000000-0005-0000-0000-00007A4A0000}"/>
    <cellStyle name="Normal 16 4 3 2 2 5" xfId="21709" xr:uid="{00000000-0005-0000-0000-00007B4A0000}"/>
    <cellStyle name="Normal 16 4 3 2 3" xfId="12140" xr:uid="{00000000-0005-0000-0000-00007C4A0000}"/>
    <cellStyle name="Normal 16 4 3 2 3 2" xfId="50414" xr:uid="{00000000-0005-0000-0000-00007D4A0000}"/>
    <cellStyle name="Normal 16 4 3 2 3 3" xfId="34314" xr:uid="{00000000-0005-0000-0000-00007E4A0000}"/>
    <cellStyle name="Normal 16 4 3 2 3 4" xfId="24745" xr:uid="{00000000-0005-0000-0000-00007F4A0000}"/>
    <cellStyle name="Normal 16 4 3 2 4" xfId="6068" xr:uid="{00000000-0005-0000-0000-0000804A0000}"/>
    <cellStyle name="Normal 16 4 3 2 4 2" xfId="53909" xr:uid="{00000000-0005-0000-0000-0000814A0000}"/>
    <cellStyle name="Normal 16 4 3 2 4 3" xfId="37809" xr:uid="{00000000-0005-0000-0000-0000824A0000}"/>
    <cellStyle name="Normal 16 4 3 2 4 4" xfId="18673" xr:uid="{00000000-0005-0000-0000-0000834A0000}"/>
    <cellStyle name="Normal 16 4 3 2 5" xfId="44342" xr:uid="{00000000-0005-0000-0000-0000844A0000}"/>
    <cellStyle name="Normal 16 4 3 2 6" xfId="28242" xr:uid="{00000000-0005-0000-0000-0000854A0000}"/>
    <cellStyle name="Normal 16 4 3 2 7" xfId="15178" xr:uid="{00000000-0005-0000-0000-0000864A0000}"/>
    <cellStyle name="Normal 16 4 3 3" xfId="1321" xr:uid="{00000000-0005-0000-0000-0000874A0000}"/>
    <cellStyle name="Normal 16 4 3 3 2" xfId="7855" xr:uid="{00000000-0005-0000-0000-0000884A0000}"/>
    <cellStyle name="Normal 16 4 3 3 2 2" xfId="39596" xr:uid="{00000000-0005-0000-0000-0000894A0000}"/>
    <cellStyle name="Normal 16 4 3 3 2 2 2" xfId="55696" xr:uid="{00000000-0005-0000-0000-00008A4A0000}"/>
    <cellStyle name="Normal 16 4 3 3 2 3" xfId="46129" xr:uid="{00000000-0005-0000-0000-00008B4A0000}"/>
    <cellStyle name="Normal 16 4 3 3 2 4" xfId="30029" xr:uid="{00000000-0005-0000-0000-00008C4A0000}"/>
    <cellStyle name="Normal 16 4 3 3 2 5" xfId="20460" xr:uid="{00000000-0005-0000-0000-00008D4A0000}"/>
    <cellStyle name="Normal 16 4 3 3 3" xfId="10891" xr:uid="{00000000-0005-0000-0000-00008E4A0000}"/>
    <cellStyle name="Normal 16 4 3 3 3 2" xfId="49165" xr:uid="{00000000-0005-0000-0000-00008F4A0000}"/>
    <cellStyle name="Normal 16 4 3 3 3 3" xfId="33065" xr:uid="{00000000-0005-0000-0000-0000904A0000}"/>
    <cellStyle name="Normal 16 4 3 3 3 4" xfId="23496" xr:uid="{00000000-0005-0000-0000-0000914A0000}"/>
    <cellStyle name="Normal 16 4 3 3 4" xfId="4819" xr:uid="{00000000-0005-0000-0000-0000924A0000}"/>
    <cellStyle name="Normal 16 4 3 3 4 2" xfId="52660" xr:uid="{00000000-0005-0000-0000-0000934A0000}"/>
    <cellStyle name="Normal 16 4 3 3 4 3" xfId="36560" xr:uid="{00000000-0005-0000-0000-0000944A0000}"/>
    <cellStyle name="Normal 16 4 3 3 4 4" xfId="17424" xr:uid="{00000000-0005-0000-0000-0000954A0000}"/>
    <cellStyle name="Normal 16 4 3 3 5" xfId="43093" xr:uid="{00000000-0005-0000-0000-0000964A0000}"/>
    <cellStyle name="Normal 16 4 3 3 6" xfId="26993" xr:uid="{00000000-0005-0000-0000-0000974A0000}"/>
    <cellStyle name="Normal 16 4 3 3 7" xfId="13929" xr:uid="{00000000-0005-0000-0000-0000984A0000}"/>
    <cellStyle name="Normal 16 4 3 4" xfId="6845" xr:uid="{00000000-0005-0000-0000-0000994A0000}"/>
    <cellStyle name="Normal 16 4 3 4 2" xfId="38586" xr:uid="{00000000-0005-0000-0000-00009A4A0000}"/>
    <cellStyle name="Normal 16 4 3 4 2 2" xfId="54686" xr:uid="{00000000-0005-0000-0000-00009B4A0000}"/>
    <cellStyle name="Normal 16 4 3 4 3" xfId="45119" xr:uid="{00000000-0005-0000-0000-00009C4A0000}"/>
    <cellStyle name="Normal 16 4 3 4 4" xfId="29019" xr:uid="{00000000-0005-0000-0000-00009D4A0000}"/>
    <cellStyle name="Normal 16 4 3 4 5" xfId="19450" xr:uid="{00000000-0005-0000-0000-00009E4A0000}"/>
    <cellStyle name="Normal 16 4 3 5" xfId="9881" xr:uid="{00000000-0005-0000-0000-00009F4A0000}"/>
    <cellStyle name="Normal 16 4 3 5 2" xfId="48155" xr:uid="{00000000-0005-0000-0000-0000A04A0000}"/>
    <cellStyle name="Normal 16 4 3 5 3" xfId="32055" xr:uid="{00000000-0005-0000-0000-0000A14A0000}"/>
    <cellStyle name="Normal 16 4 3 5 4" xfId="22486" xr:uid="{00000000-0005-0000-0000-0000A24A0000}"/>
    <cellStyle name="Normal 16 4 3 6" xfId="3809" xr:uid="{00000000-0005-0000-0000-0000A34A0000}"/>
    <cellStyle name="Normal 16 4 3 6 2" xfId="51650" xr:uid="{00000000-0005-0000-0000-0000A44A0000}"/>
    <cellStyle name="Normal 16 4 3 6 3" xfId="35550" xr:uid="{00000000-0005-0000-0000-0000A54A0000}"/>
    <cellStyle name="Normal 16 4 3 6 4" xfId="16414" xr:uid="{00000000-0005-0000-0000-0000A64A0000}"/>
    <cellStyle name="Normal 16 4 3 7" xfId="42083" xr:uid="{00000000-0005-0000-0000-0000A74A0000}"/>
    <cellStyle name="Normal 16 4 3 8" xfId="25983" xr:uid="{00000000-0005-0000-0000-0000A84A0000}"/>
    <cellStyle name="Normal 16 4 3 9" xfId="12919" xr:uid="{00000000-0005-0000-0000-0000A94A0000}"/>
    <cellStyle name="Normal 16 4 4" xfId="835" xr:uid="{00000000-0005-0000-0000-0000AA4A0000}"/>
    <cellStyle name="Normal 16 4 4 2" xfId="2863" xr:uid="{00000000-0005-0000-0000-0000AB4A0000}"/>
    <cellStyle name="Normal 16 4 4 2 2" xfId="9395" xr:uid="{00000000-0005-0000-0000-0000AC4A0000}"/>
    <cellStyle name="Normal 16 4 4 2 2 2" xfId="41136" xr:uid="{00000000-0005-0000-0000-0000AD4A0000}"/>
    <cellStyle name="Normal 16 4 4 2 2 2 2" xfId="57236" xr:uid="{00000000-0005-0000-0000-0000AE4A0000}"/>
    <cellStyle name="Normal 16 4 4 2 2 3" xfId="47669" xr:uid="{00000000-0005-0000-0000-0000AF4A0000}"/>
    <cellStyle name="Normal 16 4 4 2 2 4" xfId="31569" xr:uid="{00000000-0005-0000-0000-0000B04A0000}"/>
    <cellStyle name="Normal 16 4 4 2 2 5" xfId="22000" xr:uid="{00000000-0005-0000-0000-0000B14A0000}"/>
    <cellStyle name="Normal 16 4 4 2 3" xfId="12431" xr:uid="{00000000-0005-0000-0000-0000B24A0000}"/>
    <cellStyle name="Normal 16 4 4 2 3 2" xfId="50705" xr:uid="{00000000-0005-0000-0000-0000B34A0000}"/>
    <cellStyle name="Normal 16 4 4 2 3 3" xfId="34605" xr:uid="{00000000-0005-0000-0000-0000B44A0000}"/>
    <cellStyle name="Normal 16 4 4 2 3 4" xfId="25036" xr:uid="{00000000-0005-0000-0000-0000B54A0000}"/>
    <cellStyle name="Normal 16 4 4 2 4" xfId="6359" xr:uid="{00000000-0005-0000-0000-0000B64A0000}"/>
    <cellStyle name="Normal 16 4 4 2 4 2" xfId="54200" xr:uid="{00000000-0005-0000-0000-0000B74A0000}"/>
    <cellStyle name="Normal 16 4 4 2 4 3" xfId="38100" xr:uid="{00000000-0005-0000-0000-0000B84A0000}"/>
    <cellStyle name="Normal 16 4 4 2 4 4" xfId="18964" xr:uid="{00000000-0005-0000-0000-0000B94A0000}"/>
    <cellStyle name="Normal 16 4 4 2 5" xfId="44633" xr:uid="{00000000-0005-0000-0000-0000BA4A0000}"/>
    <cellStyle name="Normal 16 4 4 2 6" xfId="28533" xr:uid="{00000000-0005-0000-0000-0000BB4A0000}"/>
    <cellStyle name="Normal 16 4 4 2 7" xfId="15469" xr:uid="{00000000-0005-0000-0000-0000BC4A0000}"/>
    <cellStyle name="Normal 16 4 4 3" xfId="1845" xr:uid="{00000000-0005-0000-0000-0000BD4A0000}"/>
    <cellStyle name="Normal 16 4 4 3 2" xfId="8379" xr:uid="{00000000-0005-0000-0000-0000BE4A0000}"/>
    <cellStyle name="Normal 16 4 4 3 2 2" xfId="40120" xr:uid="{00000000-0005-0000-0000-0000BF4A0000}"/>
    <cellStyle name="Normal 16 4 4 3 2 2 2" xfId="56220" xr:uid="{00000000-0005-0000-0000-0000C04A0000}"/>
    <cellStyle name="Normal 16 4 4 3 2 3" xfId="46653" xr:uid="{00000000-0005-0000-0000-0000C14A0000}"/>
    <cellStyle name="Normal 16 4 4 3 2 4" xfId="30553" xr:uid="{00000000-0005-0000-0000-0000C24A0000}"/>
    <cellStyle name="Normal 16 4 4 3 2 5" xfId="20984" xr:uid="{00000000-0005-0000-0000-0000C34A0000}"/>
    <cellStyle name="Normal 16 4 4 3 3" xfId="11415" xr:uid="{00000000-0005-0000-0000-0000C44A0000}"/>
    <cellStyle name="Normal 16 4 4 3 3 2" xfId="49689" xr:uid="{00000000-0005-0000-0000-0000C54A0000}"/>
    <cellStyle name="Normal 16 4 4 3 3 3" xfId="33589" xr:uid="{00000000-0005-0000-0000-0000C64A0000}"/>
    <cellStyle name="Normal 16 4 4 3 3 4" xfId="24020" xr:uid="{00000000-0005-0000-0000-0000C74A0000}"/>
    <cellStyle name="Normal 16 4 4 3 4" xfId="5343" xr:uid="{00000000-0005-0000-0000-0000C84A0000}"/>
    <cellStyle name="Normal 16 4 4 3 4 2" xfId="53184" xr:uid="{00000000-0005-0000-0000-0000C94A0000}"/>
    <cellStyle name="Normal 16 4 4 3 4 3" xfId="37084" xr:uid="{00000000-0005-0000-0000-0000CA4A0000}"/>
    <cellStyle name="Normal 16 4 4 3 4 4" xfId="17948" xr:uid="{00000000-0005-0000-0000-0000CB4A0000}"/>
    <cellStyle name="Normal 16 4 4 3 5" xfId="43617" xr:uid="{00000000-0005-0000-0000-0000CC4A0000}"/>
    <cellStyle name="Normal 16 4 4 3 6" xfId="27517" xr:uid="{00000000-0005-0000-0000-0000CD4A0000}"/>
    <cellStyle name="Normal 16 4 4 3 7" xfId="14453" xr:uid="{00000000-0005-0000-0000-0000CE4A0000}"/>
    <cellStyle name="Normal 16 4 4 4" xfId="7369" xr:uid="{00000000-0005-0000-0000-0000CF4A0000}"/>
    <cellStyle name="Normal 16 4 4 4 2" xfId="39110" xr:uid="{00000000-0005-0000-0000-0000D04A0000}"/>
    <cellStyle name="Normal 16 4 4 4 2 2" xfId="55210" xr:uid="{00000000-0005-0000-0000-0000D14A0000}"/>
    <cellStyle name="Normal 16 4 4 4 3" xfId="45643" xr:uid="{00000000-0005-0000-0000-0000D24A0000}"/>
    <cellStyle name="Normal 16 4 4 4 4" xfId="29543" xr:uid="{00000000-0005-0000-0000-0000D34A0000}"/>
    <cellStyle name="Normal 16 4 4 4 5" xfId="19974" xr:uid="{00000000-0005-0000-0000-0000D44A0000}"/>
    <cellStyle name="Normal 16 4 4 5" xfId="10405" xr:uid="{00000000-0005-0000-0000-0000D54A0000}"/>
    <cellStyle name="Normal 16 4 4 5 2" xfId="48679" xr:uid="{00000000-0005-0000-0000-0000D64A0000}"/>
    <cellStyle name="Normal 16 4 4 5 3" xfId="32579" xr:uid="{00000000-0005-0000-0000-0000D74A0000}"/>
    <cellStyle name="Normal 16 4 4 5 4" xfId="23010" xr:uid="{00000000-0005-0000-0000-0000D84A0000}"/>
    <cellStyle name="Normal 16 4 4 6" xfId="4333" xr:uid="{00000000-0005-0000-0000-0000D94A0000}"/>
    <cellStyle name="Normal 16 4 4 6 2" xfId="52174" xr:uid="{00000000-0005-0000-0000-0000DA4A0000}"/>
    <cellStyle name="Normal 16 4 4 6 3" xfId="36074" xr:uid="{00000000-0005-0000-0000-0000DB4A0000}"/>
    <cellStyle name="Normal 16 4 4 6 4" xfId="16938" xr:uid="{00000000-0005-0000-0000-0000DC4A0000}"/>
    <cellStyle name="Normal 16 4 4 7" xfId="42607" xr:uid="{00000000-0005-0000-0000-0000DD4A0000}"/>
    <cellStyle name="Normal 16 4 4 8" xfId="26507" xr:uid="{00000000-0005-0000-0000-0000DE4A0000}"/>
    <cellStyle name="Normal 16 4 4 9" xfId="13443" xr:uid="{00000000-0005-0000-0000-0000DF4A0000}"/>
    <cellStyle name="Normal 16 4 5" xfId="2109" xr:uid="{00000000-0005-0000-0000-0000E04A0000}"/>
    <cellStyle name="Normal 16 4 5 2" xfId="8643" xr:uid="{00000000-0005-0000-0000-0000E14A0000}"/>
    <cellStyle name="Normal 16 4 5 2 2" xfId="40384" xr:uid="{00000000-0005-0000-0000-0000E24A0000}"/>
    <cellStyle name="Normal 16 4 5 2 2 2" xfId="56484" xr:uid="{00000000-0005-0000-0000-0000E34A0000}"/>
    <cellStyle name="Normal 16 4 5 2 3" xfId="46917" xr:uid="{00000000-0005-0000-0000-0000E44A0000}"/>
    <cellStyle name="Normal 16 4 5 2 4" xfId="30817" xr:uid="{00000000-0005-0000-0000-0000E54A0000}"/>
    <cellStyle name="Normal 16 4 5 2 5" xfId="21248" xr:uid="{00000000-0005-0000-0000-0000E64A0000}"/>
    <cellStyle name="Normal 16 4 5 3" xfId="11679" xr:uid="{00000000-0005-0000-0000-0000E74A0000}"/>
    <cellStyle name="Normal 16 4 5 3 2" xfId="49953" xr:uid="{00000000-0005-0000-0000-0000E84A0000}"/>
    <cellStyle name="Normal 16 4 5 3 3" xfId="33853" xr:uid="{00000000-0005-0000-0000-0000E94A0000}"/>
    <cellStyle name="Normal 16 4 5 3 4" xfId="24284" xr:uid="{00000000-0005-0000-0000-0000EA4A0000}"/>
    <cellStyle name="Normal 16 4 5 4" xfId="5607" xr:uid="{00000000-0005-0000-0000-0000EB4A0000}"/>
    <cellStyle name="Normal 16 4 5 4 2" xfId="53448" xr:uid="{00000000-0005-0000-0000-0000EC4A0000}"/>
    <cellStyle name="Normal 16 4 5 4 3" xfId="37348" xr:uid="{00000000-0005-0000-0000-0000ED4A0000}"/>
    <cellStyle name="Normal 16 4 5 4 4" xfId="18212" xr:uid="{00000000-0005-0000-0000-0000EE4A0000}"/>
    <cellStyle name="Normal 16 4 5 5" xfId="43881" xr:uid="{00000000-0005-0000-0000-0000EF4A0000}"/>
    <cellStyle name="Normal 16 4 5 6" xfId="27781" xr:uid="{00000000-0005-0000-0000-0000F04A0000}"/>
    <cellStyle name="Normal 16 4 5 7" xfId="14717" xr:uid="{00000000-0005-0000-0000-0000F14A0000}"/>
    <cellStyle name="Normal 16 4 6" xfId="1162" xr:uid="{00000000-0005-0000-0000-0000F24A0000}"/>
    <cellStyle name="Normal 16 4 6 2" xfId="7696" xr:uid="{00000000-0005-0000-0000-0000F34A0000}"/>
    <cellStyle name="Normal 16 4 6 2 2" xfId="39437" xr:uid="{00000000-0005-0000-0000-0000F44A0000}"/>
    <cellStyle name="Normal 16 4 6 2 2 2" xfId="55537" xr:uid="{00000000-0005-0000-0000-0000F54A0000}"/>
    <cellStyle name="Normal 16 4 6 2 3" xfId="45970" xr:uid="{00000000-0005-0000-0000-0000F64A0000}"/>
    <cellStyle name="Normal 16 4 6 2 4" xfId="29870" xr:uid="{00000000-0005-0000-0000-0000F74A0000}"/>
    <cellStyle name="Normal 16 4 6 2 5" xfId="20301" xr:uid="{00000000-0005-0000-0000-0000F84A0000}"/>
    <cellStyle name="Normal 16 4 6 3" xfId="10732" xr:uid="{00000000-0005-0000-0000-0000F94A0000}"/>
    <cellStyle name="Normal 16 4 6 3 2" xfId="49006" xr:uid="{00000000-0005-0000-0000-0000FA4A0000}"/>
    <cellStyle name="Normal 16 4 6 3 3" xfId="32906" xr:uid="{00000000-0005-0000-0000-0000FB4A0000}"/>
    <cellStyle name="Normal 16 4 6 3 4" xfId="23337" xr:uid="{00000000-0005-0000-0000-0000FC4A0000}"/>
    <cellStyle name="Normal 16 4 6 4" xfId="4660" xr:uid="{00000000-0005-0000-0000-0000FD4A0000}"/>
    <cellStyle name="Normal 16 4 6 4 2" xfId="52501" xr:uid="{00000000-0005-0000-0000-0000FE4A0000}"/>
    <cellStyle name="Normal 16 4 6 4 3" xfId="36401" xr:uid="{00000000-0005-0000-0000-0000FF4A0000}"/>
    <cellStyle name="Normal 16 4 6 4 4" xfId="17265" xr:uid="{00000000-0005-0000-0000-0000004B0000}"/>
    <cellStyle name="Normal 16 4 6 5" xfId="42934" xr:uid="{00000000-0005-0000-0000-0000014B0000}"/>
    <cellStyle name="Normal 16 4 6 6" xfId="26834" xr:uid="{00000000-0005-0000-0000-0000024B0000}"/>
    <cellStyle name="Normal 16 4 6 7" xfId="13770" xr:uid="{00000000-0005-0000-0000-0000034B0000}"/>
    <cellStyle name="Normal 16 4 7" xfId="3650" xr:uid="{00000000-0005-0000-0000-0000044B0000}"/>
    <cellStyle name="Normal 16 4 7 2" xfId="35391" xr:uid="{00000000-0005-0000-0000-0000054B0000}"/>
    <cellStyle name="Normal 16 4 7 2 2" xfId="51491" xr:uid="{00000000-0005-0000-0000-0000064B0000}"/>
    <cellStyle name="Normal 16 4 7 3" xfId="41924" xr:uid="{00000000-0005-0000-0000-0000074B0000}"/>
    <cellStyle name="Normal 16 4 7 4" xfId="25824" xr:uid="{00000000-0005-0000-0000-0000084B0000}"/>
    <cellStyle name="Normal 16 4 7 5" xfId="16255" xr:uid="{00000000-0005-0000-0000-0000094B0000}"/>
    <cellStyle name="Normal 16 4 8" xfId="6686" xr:uid="{00000000-0005-0000-0000-00000A4B0000}"/>
    <cellStyle name="Normal 16 4 8 2" xfId="38427" xr:uid="{00000000-0005-0000-0000-00000B4B0000}"/>
    <cellStyle name="Normal 16 4 8 2 2" xfId="54527" xr:uid="{00000000-0005-0000-0000-00000C4B0000}"/>
    <cellStyle name="Normal 16 4 8 3" xfId="44960" xr:uid="{00000000-0005-0000-0000-00000D4B0000}"/>
    <cellStyle name="Normal 16 4 8 4" xfId="28860" xr:uid="{00000000-0005-0000-0000-00000E4B0000}"/>
    <cellStyle name="Normal 16 4 8 5" xfId="19291" xr:uid="{00000000-0005-0000-0000-00000F4B0000}"/>
    <cellStyle name="Normal 16 4 9" xfId="9722" xr:uid="{00000000-0005-0000-0000-0000104B0000}"/>
    <cellStyle name="Normal 16 4 9 2" xfId="47996" xr:uid="{00000000-0005-0000-0000-0000114B0000}"/>
    <cellStyle name="Normal 16 4 9 3" xfId="31896" xr:uid="{00000000-0005-0000-0000-0000124B0000}"/>
    <cellStyle name="Normal 16 4 9 4" xfId="22327" xr:uid="{00000000-0005-0000-0000-0000134B0000}"/>
    <cellStyle name="Normal 16 5" xfId="161" xr:uid="{00000000-0005-0000-0000-0000144B0000}"/>
    <cellStyle name="Normal 16 5 10" xfId="3207" xr:uid="{00000000-0005-0000-0000-0000154B0000}"/>
    <cellStyle name="Normal 16 5 10 2" xfId="51049" xr:uid="{00000000-0005-0000-0000-0000164B0000}"/>
    <cellStyle name="Normal 16 5 10 3" xfId="34949" xr:uid="{00000000-0005-0000-0000-0000174B0000}"/>
    <cellStyle name="Normal 16 5 10 4" xfId="15813" xr:uid="{00000000-0005-0000-0000-0000184B0000}"/>
    <cellStyle name="Normal 16 5 11" xfId="41482" xr:uid="{00000000-0005-0000-0000-0000194B0000}"/>
    <cellStyle name="Normal 16 5 12" xfId="25382" xr:uid="{00000000-0005-0000-0000-00001A4B0000}"/>
    <cellStyle name="Normal 16 5 13" xfId="12777" xr:uid="{00000000-0005-0000-0000-00001B4B0000}"/>
    <cellStyle name="Normal 16 5 2" xfId="338" xr:uid="{00000000-0005-0000-0000-00001C4B0000}"/>
    <cellStyle name="Normal 16 5 2 10" xfId="13167" xr:uid="{00000000-0005-0000-0000-00001D4B0000}"/>
    <cellStyle name="Normal 16 5 2 2" xfId="2357" xr:uid="{00000000-0005-0000-0000-00001E4B0000}"/>
    <cellStyle name="Normal 16 5 2 2 2" xfId="8891" xr:uid="{00000000-0005-0000-0000-00001F4B0000}"/>
    <cellStyle name="Normal 16 5 2 2 2 2" xfId="40632" xr:uid="{00000000-0005-0000-0000-0000204B0000}"/>
    <cellStyle name="Normal 16 5 2 2 2 2 2" xfId="56732" xr:uid="{00000000-0005-0000-0000-0000214B0000}"/>
    <cellStyle name="Normal 16 5 2 2 2 3" xfId="47165" xr:uid="{00000000-0005-0000-0000-0000224B0000}"/>
    <cellStyle name="Normal 16 5 2 2 2 4" xfId="31065" xr:uid="{00000000-0005-0000-0000-0000234B0000}"/>
    <cellStyle name="Normal 16 5 2 2 2 5" xfId="21496" xr:uid="{00000000-0005-0000-0000-0000244B0000}"/>
    <cellStyle name="Normal 16 5 2 2 3" xfId="11927" xr:uid="{00000000-0005-0000-0000-0000254B0000}"/>
    <cellStyle name="Normal 16 5 2 2 3 2" xfId="50201" xr:uid="{00000000-0005-0000-0000-0000264B0000}"/>
    <cellStyle name="Normal 16 5 2 2 3 3" xfId="34101" xr:uid="{00000000-0005-0000-0000-0000274B0000}"/>
    <cellStyle name="Normal 16 5 2 2 3 4" xfId="24532" xr:uid="{00000000-0005-0000-0000-0000284B0000}"/>
    <cellStyle name="Normal 16 5 2 2 4" xfId="5855" xr:uid="{00000000-0005-0000-0000-0000294B0000}"/>
    <cellStyle name="Normal 16 5 2 2 4 2" xfId="53696" xr:uid="{00000000-0005-0000-0000-00002A4B0000}"/>
    <cellStyle name="Normal 16 5 2 2 4 3" xfId="37596" xr:uid="{00000000-0005-0000-0000-00002B4B0000}"/>
    <cellStyle name="Normal 16 5 2 2 4 4" xfId="18460" xr:uid="{00000000-0005-0000-0000-00002C4B0000}"/>
    <cellStyle name="Normal 16 5 2 2 5" xfId="44129" xr:uid="{00000000-0005-0000-0000-00002D4B0000}"/>
    <cellStyle name="Normal 16 5 2 2 6" xfId="28029" xr:uid="{00000000-0005-0000-0000-00002E4B0000}"/>
    <cellStyle name="Normal 16 5 2 2 7" xfId="14965" xr:uid="{00000000-0005-0000-0000-00002F4B0000}"/>
    <cellStyle name="Normal 16 5 2 3" xfId="1569" xr:uid="{00000000-0005-0000-0000-0000304B0000}"/>
    <cellStyle name="Normal 16 5 2 3 2" xfId="8103" xr:uid="{00000000-0005-0000-0000-0000314B0000}"/>
    <cellStyle name="Normal 16 5 2 3 2 2" xfId="39844" xr:uid="{00000000-0005-0000-0000-0000324B0000}"/>
    <cellStyle name="Normal 16 5 2 3 2 2 2" xfId="55944" xr:uid="{00000000-0005-0000-0000-0000334B0000}"/>
    <cellStyle name="Normal 16 5 2 3 2 3" xfId="46377" xr:uid="{00000000-0005-0000-0000-0000344B0000}"/>
    <cellStyle name="Normal 16 5 2 3 2 4" xfId="30277" xr:uid="{00000000-0005-0000-0000-0000354B0000}"/>
    <cellStyle name="Normal 16 5 2 3 2 5" xfId="20708" xr:uid="{00000000-0005-0000-0000-0000364B0000}"/>
    <cellStyle name="Normal 16 5 2 3 3" xfId="11139" xr:uid="{00000000-0005-0000-0000-0000374B0000}"/>
    <cellStyle name="Normal 16 5 2 3 3 2" xfId="49413" xr:uid="{00000000-0005-0000-0000-0000384B0000}"/>
    <cellStyle name="Normal 16 5 2 3 3 3" xfId="33313" xr:uid="{00000000-0005-0000-0000-0000394B0000}"/>
    <cellStyle name="Normal 16 5 2 3 3 4" xfId="23744" xr:uid="{00000000-0005-0000-0000-00003A4B0000}"/>
    <cellStyle name="Normal 16 5 2 3 4" xfId="5067" xr:uid="{00000000-0005-0000-0000-00003B4B0000}"/>
    <cellStyle name="Normal 16 5 2 3 4 2" xfId="52908" xr:uid="{00000000-0005-0000-0000-00003C4B0000}"/>
    <cellStyle name="Normal 16 5 2 3 4 3" xfId="36808" xr:uid="{00000000-0005-0000-0000-00003D4B0000}"/>
    <cellStyle name="Normal 16 5 2 3 4 4" xfId="17672" xr:uid="{00000000-0005-0000-0000-00003E4B0000}"/>
    <cellStyle name="Normal 16 5 2 3 5" xfId="43341" xr:uid="{00000000-0005-0000-0000-00003F4B0000}"/>
    <cellStyle name="Normal 16 5 2 3 6" xfId="27241" xr:uid="{00000000-0005-0000-0000-0000404B0000}"/>
    <cellStyle name="Normal 16 5 2 3 7" xfId="14177" xr:uid="{00000000-0005-0000-0000-0000414B0000}"/>
    <cellStyle name="Normal 16 5 2 4" xfId="4057" xr:uid="{00000000-0005-0000-0000-0000424B0000}"/>
    <cellStyle name="Normal 16 5 2 4 2" xfId="35798" xr:uid="{00000000-0005-0000-0000-0000434B0000}"/>
    <cellStyle name="Normal 16 5 2 4 2 2" xfId="51898" xr:uid="{00000000-0005-0000-0000-0000444B0000}"/>
    <cellStyle name="Normal 16 5 2 4 3" xfId="42331" xr:uid="{00000000-0005-0000-0000-0000454B0000}"/>
    <cellStyle name="Normal 16 5 2 4 4" xfId="26231" xr:uid="{00000000-0005-0000-0000-0000464B0000}"/>
    <cellStyle name="Normal 16 5 2 4 5" xfId="16662" xr:uid="{00000000-0005-0000-0000-0000474B0000}"/>
    <cellStyle name="Normal 16 5 2 5" xfId="7093" xr:uid="{00000000-0005-0000-0000-0000484B0000}"/>
    <cellStyle name="Normal 16 5 2 5 2" xfId="38834" xr:uid="{00000000-0005-0000-0000-0000494B0000}"/>
    <cellStyle name="Normal 16 5 2 5 2 2" xfId="54934" xr:uid="{00000000-0005-0000-0000-00004A4B0000}"/>
    <cellStyle name="Normal 16 5 2 5 3" xfId="45367" xr:uid="{00000000-0005-0000-0000-00004B4B0000}"/>
    <cellStyle name="Normal 16 5 2 5 4" xfId="29267" xr:uid="{00000000-0005-0000-0000-00004C4B0000}"/>
    <cellStyle name="Normal 16 5 2 5 5" xfId="19698" xr:uid="{00000000-0005-0000-0000-00004D4B0000}"/>
    <cellStyle name="Normal 16 5 2 6" xfId="10129" xr:uid="{00000000-0005-0000-0000-00004E4B0000}"/>
    <cellStyle name="Normal 16 5 2 6 2" xfId="48403" xr:uid="{00000000-0005-0000-0000-00004F4B0000}"/>
    <cellStyle name="Normal 16 5 2 6 3" xfId="32303" xr:uid="{00000000-0005-0000-0000-0000504B0000}"/>
    <cellStyle name="Normal 16 5 2 6 4" xfId="22734" xr:uid="{00000000-0005-0000-0000-0000514B0000}"/>
    <cellStyle name="Normal 16 5 2 7" xfId="3445" xr:uid="{00000000-0005-0000-0000-0000524B0000}"/>
    <cellStyle name="Normal 16 5 2 7 2" xfId="51286" xr:uid="{00000000-0005-0000-0000-0000534B0000}"/>
    <cellStyle name="Normal 16 5 2 7 3" xfId="35186" xr:uid="{00000000-0005-0000-0000-0000544B0000}"/>
    <cellStyle name="Normal 16 5 2 7 4" xfId="16050" xr:uid="{00000000-0005-0000-0000-0000554B0000}"/>
    <cellStyle name="Normal 16 5 2 8" xfId="41719" xr:uid="{00000000-0005-0000-0000-0000564B0000}"/>
    <cellStyle name="Normal 16 5 2 9" xfId="25619" xr:uid="{00000000-0005-0000-0000-0000574B0000}"/>
    <cellStyle name="Normal 16 5 3" xfId="596" xr:uid="{00000000-0005-0000-0000-0000584B0000}"/>
    <cellStyle name="Normal 16 5 3 2" xfId="2624" xr:uid="{00000000-0005-0000-0000-0000594B0000}"/>
    <cellStyle name="Normal 16 5 3 2 2" xfId="9156" xr:uid="{00000000-0005-0000-0000-00005A4B0000}"/>
    <cellStyle name="Normal 16 5 3 2 2 2" xfId="40897" xr:uid="{00000000-0005-0000-0000-00005B4B0000}"/>
    <cellStyle name="Normal 16 5 3 2 2 2 2" xfId="56997" xr:uid="{00000000-0005-0000-0000-00005C4B0000}"/>
    <cellStyle name="Normal 16 5 3 2 2 3" xfId="47430" xr:uid="{00000000-0005-0000-0000-00005D4B0000}"/>
    <cellStyle name="Normal 16 5 3 2 2 4" xfId="31330" xr:uid="{00000000-0005-0000-0000-00005E4B0000}"/>
    <cellStyle name="Normal 16 5 3 2 2 5" xfId="21761" xr:uid="{00000000-0005-0000-0000-00005F4B0000}"/>
    <cellStyle name="Normal 16 5 3 2 3" xfId="12192" xr:uid="{00000000-0005-0000-0000-0000604B0000}"/>
    <cellStyle name="Normal 16 5 3 2 3 2" xfId="50466" xr:uid="{00000000-0005-0000-0000-0000614B0000}"/>
    <cellStyle name="Normal 16 5 3 2 3 3" xfId="34366" xr:uid="{00000000-0005-0000-0000-0000624B0000}"/>
    <cellStyle name="Normal 16 5 3 2 3 4" xfId="24797" xr:uid="{00000000-0005-0000-0000-0000634B0000}"/>
    <cellStyle name="Normal 16 5 3 2 4" xfId="6120" xr:uid="{00000000-0005-0000-0000-0000644B0000}"/>
    <cellStyle name="Normal 16 5 3 2 4 2" xfId="53961" xr:uid="{00000000-0005-0000-0000-0000654B0000}"/>
    <cellStyle name="Normal 16 5 3 2 4 3" xfId="37861" xr:uid="{00000000-0005-0000-0000-0000664B0000}"/>
    <cellStyle name="Normal 16 5 3 2 4 4" xfId="18725" xr:uid="{00000000-0005-0000-0000-0000674B0000}"/>
    <cellStyle name="Normal 16 5 3 2 5" xfId="44394" xr:uid="{00000000-0005-0000-0000-0000684B0000}"/>
    <cellStyle name="Normal 16 5 3 2 6" xfId="28294" xr:uid="{00000000-0005-0000-0000-0000694B0000}"/>
    <cellStyle name="Normal 16 5 3 2 7" xfId="15230" xr:uid="{00000000-0005-0000-0000-00006A4B0000}"/>
    <cellStyle name="Normal 16 5 3 3" xfId="1392" xr:uid="{00000000-0005-0000-0000-00006B4B0000}"/>
    <cellStyle name="Normal 16 5 3 3 2" xfId="7926" xr:uid="{00000000-0005-0000-0000-00006C4B0000}"/>
    <cellStyle name="Normal 16 5 3 3 2 2" xfId="39667" xr:uid="{00000000-0005-0000-0000-00006D4B0000}"/>
    <cellStyle name="Normal 16 5 3 3 2 2 2" xfId="55767" xr:uid="{00000000-0005-0000-0000-00006E4B0000}"/>
    <cellStyle name="Normal 16 5 3 3 2 3" xfId="46200" xr:uid="{00000000-0005-0000-0000-00006F4B0000}"/>
    <cellStyle name="Normal 16 5 3 3 2 4" xfId="30100" xr:uid="{00000000-0005-0000-0000-0000704B0000}"/>
    <cellStyle name="Normal 16 5 3 3 2 5" xfId="20531" xr:uid="{00000000-0005-0000-0000-0000714B0000}"/>
    <cellStyle name="Normal 16 5 3 3 3" xfId="10962" xr:uid="{00000000-0005-0000-0000-0000724B0000}"/>
    <cellStyle name="Normal 16 5 3 3 3 2" xfId="49236" xr:uid="{00000000-0005-0000-0000-0000734B0000}"/>
    <cellStyle name="Normal 16 5 3 3 3 3" xfId="33136" xr:uid="{00000000-0005-0000-0000-0000744B0000}"/>
    <cellStyle name="Normal 16 5 3 3 3 4" xfId="23567" xr:uid="{00000000-0005-0000-0000-0000754B0000}"/>
    <cellStyle name="Normal 16 5 3 3 4" xfId="4890" xr:uid="{00000000-0005-0000-0000-0000764B0000}"/>
    <cellStyle name="Normal 16 5 3 3 4 2" xfId="52731" xr:uid="{00000000-0005-0000-0000-0000774B0000}"/>
    <cellStyle name="Normal 16 5 3 3 4 3" xfId="36631" xr:uid="{00000000-0005-0000-0000-0000784B0000}"/>
    <cellStyle name="Normal 16 5 3 3 4 4" xfId="17495" xr:uid="{00000000-0005-0000-0000-0000794B0000}"/>
    <cellStyle name="Normal 16 5 3 3 5" xfId="43164" xr:uid="{00000000-0005-0000-0000-00007A4B0000}"/>
    <cellStyle name="Normal 16 5 3 3 6" xfId="27064" xr:uid="{00000000-0005-0000-0000-00007B4B0000}"/>
    <cellStyle name="Normal 16 5 3 3 7" xfId="14000" xr:uid="{00000000-0005-0000-0000-00007C4B0000}"/>
    <cellStyle name="Normal 16 5 3 4" xfId="6916" xr:uid="{00000000-0005-0000-0000-00007D4B0000}"/>
    <cellStyle name="Normal 16 5 3 4 2" xfId="38657" xr:uid="{00000000-0005-0000-0000-00007E4B0000}"/>
    <cellStyle name="Normal 16 5 3 4 2 2" xfId="54757" xr:uid="{00000000-0005-0000-0000-00007F4B0000}"/>
    <cellStyle name="Normal 16 5 3 4 3" xfId="45190" xr:uid="{00000000-0005-0000-0000-0000804B0000}"/>
    <cellStyle name="Normal 16 5 3 4 4" xfId="29090" xr:uid="{00000000-0005-0000-0000-0000814B0000}"/>
    <cellStyle name="Normal 16 5 3 4 5" xfId="19521" xr:uid="{00000000-0005-0000-0000-0000824B0000}"/>
    <cellStyle name="Normal 16 5 3 5" xfId="9952" xr:uid="{00000000-0005-0000-0000-0000834B0000}"/>
    <cellStyle name="Normal 16 5 3 5 2" xfId="48226" xr:uid="{00000000-0005-0000-0000-0000844B0000}"/>
    <cellStyle name="Normal 16 5 3 5 3" xfId="32126" xr:uid="{00000000-0005-0000-0000-0000854B0000}"/>
    <cellStyle name="Normal 16 5 3 5 4" xfId="22557" xr:uid="{00000000-0005-0000-0000-0000864B0000}"/>
    <cellStyle name="Normal 16 5 3 6" xfId="3880" xr:uid="{00000000-0005-0000-0000-0000874B0000}"/>
    <cellStyle name="Normal 16 5 3 6 2" xfId="51721" xr:uid="{00000000-0005-0000-0000-0000884B0000}"/>
    <cellStyle name="Normal 16 5 3 6 3" xfId="35621" xr:uid="{00000000-0005-0000-0000-0000894B0000}"/>
    <cellStyle name="Normal 16 5 3 6 4" xfId="16485" xr:uid="{00000000-0005-0000-0000-00008A4B0000}"/>
    <cellStyle name="Normal 16 5 3 7" xfId="42154" xr:uid="{00000000-0005-0000-0000-00008B4B0000}"/>
    <cellStyle name="Normal 16 5 3 8" xfId="26054" xr:uid="{00000000-0005-0000-0000-00008C4B0000}"/>
    <cellStyle name="Normal 16 5 3 9" xfId="12990" xr:uid="{00000000-0005-0000-0000-00008D4B0000}"/>
    <cellStyle name="Normal 16 5 4" xfId="852" xr:uid="{00000000-0005-0000-0000-00008E4B0000}"/>
    <cellStyle name="Normal 16 5 4 2" xfId="2880" xr:uid="{00000000-0005-0000-0000-00008F4B0000}"/>
    <cellStyle name="Normal 16 5 4 2 2" xfId="9412" xr:uid="{00000000-0005-0000-0000-0000904B0000}"/>
    <cellStyle name="Normal 16 5 4 2 2 2" xfId="41153" xr:uid="{00000000-0005-0000-0000-0000914B0000}"/>
    <cellStyle name="Normal 16 5 4 2 2 2 2" xfId="57253" xr:uid="{00000000-0005-0000-0000-0000924B0000}"/>
    <cellStyle name="Normal 16 5 4 2 2 3" xfId="47686" xr:uid="{00000000-0005-0000-0000-0000934B0000}"/>
    <cellStyle name="Normal 16 5 4 2 2 4" xfId="31586" xr:uid="{00000000-0005-0000-0000-0000944B0000}"/>
    <cellStyle name="Normal 16 5 4 2 2 5" xfId="22017" xr:uid="{00000000-0005-0000-0000-0000954B0000}"/>
    <cellStyle name="Normal 16 5 4 2 3" xfId="12448" xr:uid="{00000000-0005-0000-0000-0000964B0000}"/>
    <cellStyle name="Normal 16 5 4 2 3 2" xfId="50722" xr:uid="{00000000-0005-0000-0000-0000974B0000}"/>
    <cellStyle name="Normal 16 5 4 2 3 3" xfId="34622" xr:uid="{00000000-0005-0000-0000-0000984B0000}"/>
    <cellStyle name="Normal 16 5 4 2 3 4" xfId="25053" xr:uid="{00000000-0005-0000-0000-0000994B0000}"/>
    <cellStyle name="Normal 16 5 4 2 4" xfId="6376" xr:uid="{00000000-0005-0000-0000-00009A4B0000}"/>
    <cellStyle name="Normal 16 5 4 2 4 2" xfId="54217" xr:uid="{00000000-0005-0000-0000-00009B4B0000}"/>
    <cellStyle name="Normal 16 5 4 2 4 3" xfId="38117" xr:uid="{00000000-0005-0000-0000-00009C4B0000}"/>
    <cellStyle name="Normal 16 5 4 2 4 4" xfId="18981" xr:uid="{00000000-0005-0000-0000-00009D4B0000}"/>
    <cellStyle name="Normal 16 5 4 2 5" xfId="44650" xr:uid="{00000000-0005-0000-0000-00009E4B0000}"/>
    <cellStyle name="Normal 16 5 4 2 6" xfId="28550" xr:uid="{00000000-0005-0000-0000-00009F4B0000}"/>
    <cellStyle name="Normal 16 5 4 2 7" xfId="15486" xr:uid="{00000000-0005-0000-0000-0000A04B0000}"/>
    <cellStyle name="Normal 16 5 4 3" xfId="1862" xr:uid="{00000000-0005-0000-0000-0000A14B0000}"/>
    <cellStyle name="Normal 16 5 4 3 2" xfId="8396" xr:uid="{00000000-0005-0000-0000-0000A24B0000}"/>
    <cellStyle name="Normal 16 5 4 3 2 2" xfId="40137" xr:uid="{00000000-0005-0000-0000-0000A34B0000}"/>
    <cellStyle name="Normal 16 5 4 3 2 2 2" xfId="56237" xr:uid="{00000000-0005-0000-0000-0000A44B0000}"/>
    <cellStyle name="Normal 16 5 4 3 2 3" xfId="46670" xr:uid="{00000000-0005-0000-0000-0000A54B0000}"/>
    <cellStyle name="Normal 16 5 4 3 2 4" xfId="30570" xr:uid="{00000000-0005-0000-0000-0000A64B0000}"/>
    <cellStyle name="Normal 16 5 4 3 2 5" xfId="21001" xr:uid="{00000000-0005-0000-0000-0000A74B0000}"/>
    <cellStyle name="Normal 16 5 4 3 3" xfId="11432" xr:uid="{00000000-0005-0000-0000-0000A84B0000}"/>
    <cellStyle name="Normal 16 5 4 3 3 2" xfId="49706" xr:uid="{00000000-0005-0000-0000-0000A94B0000}"/>
    <cellStyle name="Normal 16 5 4 3 3 3" xfId="33606" xr:uid="{00000000-0005-0000-0000-0000AA4B0000}"/>
    <cellStyle name="Normal 16 5 4 3 3 4" xfId="24037" xr:uid="{00000000-0005-0000-0000-0000AB4B0000}"/>
    <cellStyle name="Normal 16 5 4 3 4" xfId="5360" xr:uid="{00000000-0005-0000-0000-0000AC4B0000}"/>
    <cellStyle name="Normal 16 5 4 3 4 2" xfId="53201" xr:uid="{00000000-0005-0000-0000-0000AD4B0000}"/>
    <cellStyle name="Normal 16 5 4 3 4 3" xfId="37101" xr:uid="{00000000-0005-0000-0000-0000AE4B0000}"/>
    <cellStyle name="Normal 16 5 4 3 4 4" xfId="17965" xr:uid="{00000000-0005-0000-0000-0000AF4B0000}"/>
    <cellStyle name="Normal 16 5 4 3 5" xfId="43634" xr:uid="{00000000-0005-0000-0000-0000B04B0000}"/>
    <cellStyle name="Normal 16 5 4 3 6" xfId="27534" xr:uid="{00000000-0005-0000-0000-0000B14B0000}"/>
    <cellStyle name="Normal 16 5 4 3 7" xfId="14470" xr:uid="{00000000-0005-0000-0000-0000B24B0000}"/>
    <cellStyle name="Normal 16 5 4 4" xfId="7386" xr:uid="{00000000-0005-0000-0000-0000B34B0000}"/>
    <cellStyle name="Normal 16 5 4 4 2" xfId="39127" xr:uid="{00000000-0005-0000-0000-0000B44B0000}"/>
    <cellStyle name="Normal 16 5 4 4 2 2" xfId="55227" xr:uid="{00000000-0005-0000-0000-0000B54B0000}"/>
    <cellStyle name="Normal 16 5 4 4 3" xfId="45660" xr:uid="{00000000-0005-0000-0000-0000B64B0000}"/>
    <cellStyle name="Normal 16 5 4 4 4" xfId="29560" xr:uid="{00000000-0005-0000-0000-0000B74B0000}"/>
    <cellStyle name="Normal 16 5 4 4 5" xfId="19991" xr:uid="{00000000-0005-0000-0000-0000B84B0000}"/>
    <cellStyle name="Normal 16 5 4 5" xfId="10422" xr:uid="{00000000-0005-0000-0000-0000B94B0000}"/>
    <cellStyle name="Normal 16 5 4 5 2" xfId="48696" xr:uid="{00000000-0005-0000-0000-0000BA4B0000}"/>
    <cellStyle name="Normal 16 5 4 5 3" xfId="32596" xr:uid="{00000000-0005-0000-0000-0000BB4B0000}"/>
    <cellStyle name="Normal 16 5 4 5 4" xfId="23027" xr:uid="{00000000-0005-0000-0000-0000BC4B0000}"/>
    <cellStyle name="Normal 16 5 4 6" xfId="4350" xr:uid="{00000000-0005-0000-0000-0000BD4B0000}"/>
    <cellStyle name="Normal 16 5 4 6 2" xfId="52191" xr:uid="{00000000-0005-0000-0000-0000BE4B0000}"/>
    <cellStyle name="Normal 16 5 4 6 3" xfId="36091" xr:uid="{00000000-0005-0000-0000-0000BF4B0000}"/>
    <cellStyle name="Normal 16 5 4 6 4" xfId="16955" xr:uid="{00000000-0005-0000-0000-0000C04B0000}"/>
    <cellStyle name="Normal 16 5 4 7" xfId="42624" xr:uid="{00000000-0005-0000-0000-0000C14B0000}"/>
    <cellStyle name="Normal 16 5 4 8" xfId="26524" xr:uid="{00000000-0005-0000-0000-0000C24B0000}"/>
    <cellStyle name="Normal 16 5 4 9" xfId="13460" xr:uid="{00000000-0005-0000-0000-0000C34B0000}"/>
    <cellStyle name="Normal 16 5 5" xfId="2180" xr:uid="{00000000-0005-0000-0000-0000C44B0000}"/>
    <cellStyle name="Normal 16 5 5 2" xfId="8714" xr:uid="{00000000-0005-0000-0000-0000C54B0000}"/>
    <cellStyle name="Normal 16 5 5 2 2" xfId="40455" xr:uid="{00000000-0005-0000-0000-0000C64B0000}"/>
    <cellStyle name="Normal 16 5 5 2 2 2" xfId="56555" xr:uid="{00000000-0005-0000-0000-0000C74B0000}"/>
    <cellStyle name="Normal 16 5 5 2 3" xfId="46988" xr:uid="{00000000-0005-0000-0000-0000C84B0000}"/>
    <cellStyle name="Normal 16 5 5 2 4" xfId="30888" xr:uid="{00000000-0005-0000-0000-0000C94B0000}"/>
    <cellStyle name="Normal 16 5 5 2 5" xfId="21319" xr:uid="{00000000-0005-0000-0000-0000CA4B0000}"/>
    <cellStyle name="Normal 16 5 5 3" xfId="11750" xr:uid="{00000000-0005-0000-0000-0000CB4B0000}"/>
    <cellStyle name="Normal 16 5 5 3 2" xfId="50024" xr:uid="{00000000-0005-0000-0000-0000CC4B0000}"/>
    <cellStyle name="Normal 16 5 5 3 3" xfId="33924" xr:uid="{00000000-0005-0000-0000-0000CD4B0000}"/>
    <cellStyle name="Normal 16 5 5 3 4" xfId="24355" xr:uid="{00000000-0005-0000-0000-0000CE4B0000}"/>
    <cellStyle name="Normal 16 5 5 4" xfId="5678" xr:uid="{00000000-0005-0000-0000-0000CF4B0000}"/>
    <cellStyle name="Normal 16 5 5 4 2" xfId="53519" xr:uid="{00000000-0005-0000-0000-0000D04B0000}"/>
    <cellStyle name="Normal 16 5 5 4 3" xfId="37419" xr:uid="{00000000-0005-0000-0000-0000D14B0000}"/>
    <cellStyle name="Normal 16 5 5 4 4" xfId="18283" xr:uid="{00000000-0005-0000-0000-0000D24B0000}"/>
    <cellStyle name="Normal 16 5 5 5" xfId="43952" xr:uid="{00000000-0005-0000-0000-0000D34B0000}"/>
    <cellStyle name="Normal 16 5 5 6" xfId="27852" xr:uid="{00000000-0005-0000-0000-0000D44B0000}"/>
    <cellStyle name="Normal 16 5 5 7" xfId="14788" xr:uid="{00000000-0005-0000-0000-0000D54B0000}"/>
    <cellStyle name="Normal 16 5 6" xfId="1179" xr:uid="{00000000-0005-0000-0000-0000D64B0000}"/>
    <cellStyle name="Normal 16 5 6 2" xfId="7713" xr:uid="{00000000-0005-0000-0000-0000D74B0000}"/>
    <cellStyle name="Normal 16 5 6 2 2" xfId="39454" xr:uid="{00000000-0005-0000-0000-0000D84B0000}"/>
    <cellStyle name="Normal 16 5 6 2 2 2" xfId="55554" xr:uid="{00000000-0005-0000-0000-0000D94B0000}"/>
    <cellStyle name="Normal 16 5 6 2 3" xfId="45987" xr:uid="{00000000-0005-0000-0000-0000DA4B0000}"/>
    <cellStyle name="Normal 16 5 6 2 4" xfId="29887" xr:uid="{00000000-0005-0000-0000-0000DB4B0000}"/>
    <cellStyle name="Normal 16 5 6 2 5" xfId="20318" xr:uid="{00000000-0005-0000-0000-0000DC4B0000}"/>
    <cellStyle name="Normal 16 5 6 3" xfId="10749" xr:uid="{00000000-0005-0000-0000-0000DD4B0000}"/>
    <cellStyle name="Normal 16 5 6 3 2" xfId="49023" xr:uid="{00000000-0005-0000-0000-0000DE4B0000}"/>
    <cellStyle name="Normal 16 5 6 3 3" xfId="32923" xr:uid="{00000000-0005-0000-0000-0000DF4B0000}"/>
    <cellStyle name="Normal 16 5 6 3 4" xfId="23354" xr:uid="{00000000-0005-0000-0000-0000E04B0000}"/>
    <cellStyle name="Normal 16 5 6 4" xfId="4677" xr:uid="{00000000-0005-0000-0000-0000E14B0000}"/>
    <cellStyle name="Normal 16 5 6 4 2" xfId="52518" xr:uid="{00000000-0005-0000-0000-0000E24B0000}"/>
    <cellStyle name="Normal 16 5 6 4 3" xfId="36418" xr:uid="{00000000-0005-0000-0000-0000E34B0000}"/>
    <cellStyle name="Normal 16 5 6 4 4" xfId="17282" xr:uid="{00000000-0005-0000-0000-0000E44B0000}"/>
    <cellStyle name="Normal 16 5 6 5" xfId="42951" xr:uid="{00000000-0005-0000-0000-0000E54B0000}"/>
    <cellStyle name="Normal 16 5 6 6" xfId="26851" xr:uid="{00000000-0005-0000-0000-0000E64B0000}"/>
    <cellStyle name="Normal 16 5 6 7" xfId="13787" xr:uid="{00000000-0005-0000-0000-0000E74B0000}"/>
    <cellStyle name="Normal 16 5 7" xfId="3667" xr:uid="{00000000-0005-0000-0000-0000E84B0000}"/>
    <cellStyle name="Normal 16 5 7 2" xfId="35408" xr:uid="{00000000-0005-0000-0000-0000E94B0000}"/>
    <cellStyle name="Normal 16 5 7 2 2" xfId="51508" xr:uid="{00000000-0005-0000-0000-0000EA4B0000}"/>
    <cellStyle name="Normal 16 5 7 3" xfId="41941" xr:uid="{00000000-0005-0000-0000-0000EB4B0000}"/>
    <cellStyle name="Normal 16 5 7 4" xfId="25841" xr:uid="{00000000-0005-0000-0000-0000EC4B0000}"/>
    <cellStyle name="Normal 16 5 7 5" xfId="16272" xr:uid="{00000000-0005-0000-0000-0000ED4B0000}"/>
    <cellStyle name="Normal 16 5 8" xfId="6703" xr:uid="{00000000-0005-0000-0000-0000EE4B0000}"/>
    <cellStyle name="Normal 16 5 8 2" xfId="38444" xr:uid="{00000000-0005-0000-0000-0000EF4B0000}"/>
    <cellStyle name="Normal 16 5 8 2 2" xfId="54544" xr:uid="{00000000-0005-0000-0000-0000F04B0000}"/>
    <cellStyle name="Normal 16 5 8 3" xfId="44977" xr:uid="{00000000-0005-0000-0000-0000F14B0000}"/>
    <cellStyle name="Normal 16 5 8 4" xfId="28877" xr:uid="{00000000-0005-0000-0000-0000F24B0000}"/>
    <cellStyle name="Normal 16 5 8 5" xfId="19308" xr:uid="{00000000-0005-0000-0000-0000F34B0000}"/>
    <cellStyle name="Normal 16 5 9" xfId="9739" xr:uid="{00000000-0005-0000-0000-0000F44B0000}"/>
    <cellStyle name="Normal 16 5 9 2" xfId="48013" xr:uid="{00000000-0005-0000-0000-0000F54B0000}"/>
    <cellStyle name="Normal 16 5 9 3" xfId="31913" xr:uid="{00000000-0005-0000-0000-0000F64B0000}"/>
    <cellStyle name="Normal 16 5 9 4" xfId="22344" xr:uid="{00000000-0005-0000-0000-0000F74B0000}"/>
    <cellStyle name="Normal 16 6" xfId="232" xr:uid="{00000000-0005-0000-0000-0000F84B0000}"/>
    <cellStyle name="Normal 16 6 10" xfId="41499" xr:uid="{00000000-0005-0000-0000-0000F94B0000}"/>
    <cellStyle name="Normal 16 6 11" xfId="25399" xr:uid="{00000000-0005-0000-0000-0000FA4B0000}"/>
    <cellStyle name="Normal 16 6 12" xfId="12794" xr:uid="{00000000-0005-0000-0000-0000FB4B0000}"/>
    <cellStyle name="Normal 16 6 2" xfId="613" xr:uid="{00000000-0005-0000-0000-0000FC4B0000}"/>
    <cellStyle name="Normal 16 6 2 10" xfId="13061" xr:uid="{00000000-0005-0000-0000-0000FD4B0000}"/>
    <cellStyle name="Normal 16 6 2 2" xfId="2641" xr:uid="{00000000-0005-0000-0000-0000FE4B0000}"/>
    <cellStyle name="Normal 16 6 2 2 2" xfId="9173" xr:uid="{00000000-0005-0000-0000-0000FF4B0000}"/>
    <cellStyle name="Normal 16 6 2 2 2 2" xfId="40914" xr:uid="{00000000-0005-0000-0000-0000004C0000}"/>
    <cellStyle name="Normal 16 6 2 2 2 2 2" xfId="57014" xr:uid="{00000000-0005-0000-0000-0000014C0000}"/>
    <cellStyle name="Normal 16 6 2 2 2 3" xfId="47447" xr:uid="{00000000-0005-0000-0000-0000024C0000}"/>
    <cellStyle name="Normal 16 6 2 2 2 4" xfId="31347" xr:uid="{00000000-0005-0000-0000-0000034C0000}"/>
    <cellStyle name="Normal 16 6 2 2 2 5" xfId="21778" xr:uid="{00000000-0005-0000-0000-0000044C0000}"/>
    <cellStyle name="Normal 16 6 2 2 3" xfId="12209" xr:uid="{00000000-0005-0000-0000-0000054C0000}"/>
    <cellStyle name="Normal 16 6 2 2 3 2" xfId="50483" xr:uid="{00000000-0005-0000-0000-0000064C0000}"/>
    <cellStyle name="Normal 16 6 2 2 3 3" xfId="34383" xr:uid="{00000000-0005-0000-0000-0000074C0000}"/>
    <cellStyle name="Normal 16 6 2 2 3 4" xfId="24814" xr:uid="{00000000-0005-0000-0000-0000084C0000}"/>
    <cellStyle name="Normal 16 6 2 2 4" xfId="6137" xr:uid="{00000000-0005-0000-0000-0000094C0000}"/>
    <cellStyle name="Normal 16 6 2 2 4 2" xfId="53978" xr:uid="{00000000-0005-0000-0000-00000A4C0000}"/>
    <cellStyle name="Normal 16 6 2 2 4 3" xfId="37878" xr:uid="{00000000-0005-0000-0000-00000B4C0000}"/>
    <cellStyle name="Normal 16 6 2 2 4 4" xfId="18742" xr:uid="{00000000-0005-0000-0000-00000C4C0000}"/>
    <cellStyle name="Normal 16 6 2 2 5" xfId="44411" xr:uid="{00000000-0005-0000-0000-00000D4C0000}"/>
    <cellStyle name="Normal 16 6 2 2 6" xfId="28311" xr:uid="{00000000-0005-0000-0000-00000E4C0000}"/>
    <cellStyle name="Normal 16 6 2 2 7" xfId="15247" xr:uid="{00000000-0005-0000-0000-00000F4C0000}"/>
    <cellStyle name="Normal 16 6 2 3" xfId="1463" xr:uid="{00000000-0005-0000-0000-0000104C0000}"/>
    <cellStyle name="Normal 16 6 2 3 2" xfId="7997" xr:uid="{00000000-0005-0000-0000-0000114C0000}"/>
    <cellStyle name="Normal 16 6 2 3 2 2" xfId="39738" xr:uid="{00000000-0005-0000-0000-0000124C0000}"/>
    <cellStyle name="Normal 16 6 2 3 2 2 2" xfId="55838" xr:uid="{00000000-0005-0000-0000-0000134C0000}"/>
    <cellStyle name="Normal 16 6 2 3 2 3" xfId="46271" xr:uid="{00000000-0005-0000-0000-0000144C0000}"/>
    <cellStyle name="Normal 16 6 2 3 2 4" xfId="30171" xr:uid="{00000000-0005-0000-0000-0000154C0000}"/>
    <cellStyle name="Normal 16 6 2 3 2 5" xfId="20602" xr:uid="{00000000-0005-0000-0000-0000164C0000}"/>
    <cellStyle name="Normal 16 6 2 3 3" xfId="11033" xr:uid="{00000000-0005-0000-0000-0000174C0000}"/>
    <cellStyle name="Normal 16 6 2 3 3 2" xfId="49307" xr:uid="{00000000-0005-0000-0000-0000184C0000}"/>
    <cellStyle name="Normal 16 6 2 3 3 3" xfId="33207" xr:uid="{00000000-0005-0000-0000-0000194C0000}"/>
    <cellStyle name="Normal 16 6 2 3 3 4" xfId="23638" xr:uid="{00000000-0005-0000-0000-00001A4C0000}"/>
    <cellStyle name="Normal 16 6 2 3 4" xfId="4961" xr:uid="{00000000-0005-0000-0000-00001B4C0000}"/>
    <cellStyle name="Normal 16 6 2 3 4 2" xfId="52802" xr:uid="{00000000-0005-0000-0000-00001C4C0000}"/>
    <cellStyle name="Normal 16 6 2 3 4 3" xfId="36702" xr:uid="{00000000-0005-0000-0000-00001D4C0000}"/>
    <cellStyle name="Normal 16 6 2 3 4 4" xfId="17566" xr:uid="{00000000-0005-0000-0000-00001E4C0000}"/>
    <cellStyle name="Normal 16 6 2 3 5" xfId="43235" xr:uid="{00000000-0005-0000-0000-00001F4C0000}"/>
    <cellStyle name="Normal 16 6 2 3 6" xfId="27135" xr:uid="{00000000-0005-0000-0000-0000204C0000}"/>
    <cellStyle name="Normal 16 6 2 3 7" xfId="14071" xr:uid="{00000000-0005-0000-0000-0000214C0000}"/>
    <cellStyle name="Normal 16 6 2 4" xfId="3951" xr:uid="{00000000-0005-0000-0000-0000224C0000}"/>
    <cellStyle name="Normal 16 6 2 4 2" xfId="35692" xr:uid="{00000000-0005-0000-0000-0000234C0000}"/>
    <cellStyle name="Normal 16 6 2 4 2 2" xfId="51792" xr:uid="{00000000-0005-0000-0000-0000244C0000}"/>
    <cellStyle name="Normal 16 6 2 4 3" xfId="42225" xr:uid="{00000000-0005-0000-0000-0000254C0000}"/>
    <cellStyle name="Normal 16 6 2 4 4" xfId="26125" xr:uid="{00000000-0005-0000-0000-0000264C0000}"/>
    <cellStyle name="Normal 16 6 2 4 5" xfId="16556" xr:uid="{00000000-0005-0000-0000-0000274C0000}"/>
    <cellStyle name="Normal 16 6 2 5" xfId="6987" xr:uid="{00000000-0005-0000-0000-0000284C0000}"/>
    <cellStyle name="Normal 16 6 2 5 2" xfId="38728" xr:uid="{00000000-0005-0000-0000-0000294C0000}"/>
    <cellStyle name="Normal 16 6 2 5 2 2" xfId="54828" xr:uid="{00000000-0005-0000-0000-00002A4C0000}"/>
    <cellStyle name="Normal 16 6 2 5 3" xfId="45261" xr:uid="{00000000-0005-0000-0000-00002B4C0000}"/>
    <cellStyle name="Normal 16 6 2 5 4" xfId="29161" xr:uid="{00000000-0005-0000-0000-00002C4C0000}"/>
    <cellStyle name="Normal 16 6 2 5 5" xfId="19592" xr:uid="{00000000-0005-0000-0000-00002D4C0000}"/>
    <cellStyle name="Normal 16 6 2 6" xfId="10023" xr:uid="{00000000-0005-0000-0000-00002E4C0000}"/>
    <cellStyle name="Normal 16 6 2 6 2" xfId="48297" xr:uid="{00000000-0005-0000-0000-00002F4C0000}"/>
    <cellStyle name="Normal 16 6 2 6 3" xfId="32197" xr:uid="{00000000-0005-0000-0000-0000304C0000}"/>
    <cellStyle name="Normal 16 6 2 6 4" xfId="22628" xr:uid="{00000000-0005-0000-0000-0000314C0000}"/>
    <cellStyle name="Normal 16 6 2 7" xfId="3462" xr:uid="{00000000-0005-0000-0000-0000324C0000}"/>
    <cellStyle name="Normal 16 6 2 7 2" xfId="51303" xr:uid="{00000000-0005-0000-0000-0000334C0000}"/>
    <cellStyle name="Normal 16 6 2 7 3" xfId="35203" xr:uid="{00000000-0005-0000-0000-0000344C0000}"/>
    <cellStyle name="Normal 16 6 2 7 4" xfId="16067" xr:uid="{00000000-0005-0000-0000-0000354C0000}"/>
    <cellStyle name="Normal 16 6 2 8" xfId="41736" xr:uid="{00000000-0005-0000-0000-0000364C0000}"/>
    <cellStyle name="Normal 16 6 2 9" xfId="25636" xr:uid="{00000000-0005-0000-0000-0000374C0000}"/>
    <cellStyle name="Normal 16 6 3" xfId="869" xr:uid="{00000000-0005-0000-0000-0000384C0000}"/>
    <cellStyle name="Normal 16 6 3 2" xfId="2897" xr:uid="{00000000-0005-0000-0000-0000394C0000}"/>
    <cellStyle name="Normal 16 6 3 2 2" xfId="9429" xr:uid="{00000000-0005-0000-0000-00003A4C0000}"/>
    <cellStyle name="Normal 16 6 3 2 2 2" xfId="41170" xr:uid="{00000000-0005-0000-0000-00003B4C0000}"/>
    <cellStyle name="Normal 16 6 3 2 2 2 2" xfId="57270" xr:uid="{00000000-0005-0000-0000-00003C4C0000}"/>
    <cellStyle name="Normal 16 6 3 2 2 3" xfId="47703" xr:uid="{00000000-0005-0000-0000-00003D4C0000}"/>
    <cellStyle name="Normal 16 6 3 2 2 4" xfId="31603" xr:uid="{00000000-0005-0000-0000-00003E4C0000}"/>
    <cellStyle name="Normal 16 6 3 2 2 5" xfId="22034" xr:uid="{00000000-0005-0000-0000-00003F4C0000}"/>
    <cellStyle name="Normal 16 6 3 2 3" xfId="12465" xr:uid="{00000000-0005-0000-0000-0000404C0000}"/>
    <cellStyle name="Normal 16 6 3 2 3 2" xfId="50739" xr:uid="{00000000-0005-0000-0000-0000414C0000}"/>
    <cellStyle name="Normal 16 6 3 2 3 3" xfId="34639" xr:uid="{00000000-0005-0000-0000-0000424C0000}"/>
    <cellStyle name="Normal 16 6 3 2 3 4" xfId="25070" xr:uid="{00000000-0005-0000-0000-0000434C0000}"/>
    <cellStyle name="Normal 16 6 3 2 4" xfId="6393" xr:uid="{00000000-0005-0000-0000-0000444C0000}"/>
    <cellStyle name="Normal 16 6 3 2 4 2" xfId="54234" xr:uid="{00000000-0005-0000-0000-0000454C0000}"/>
    <cellStyle name="Normal 16 6 3 2 4 3" xfId="38134" xr:uid="{00000000-0005-0000-0000-0000464C0000}"/>
    <cellStyle name="Normal 16 6 3 2 4 4" xfId="18998" xr:uid="{00000000-0005-0000-0000-0000474C0000}"/>
    <cellStyle name="Normal 16 6 3 2 5" xfId="44667" xr:uid="{00000000-0005-0000-0000-0000484C0000}"/>
    <cellStyle name="Normal 16 6 3 2 6" xfId="28567" xr:uid="{00000000-0005-0000-0000-0000494C0000}"/>
    <cellStyle name="Normal 16 6 3 2 7" xfId="15503" xr:uid="{00000000-0005-0000-0000-00004A4C0000}"/>
    <cellStyle name="Normal 16 6 3 3" xfId="1879" xr:uid="{00000000-0005-0000-0000-00004B4C0000}"/>
    <cellStyle name="Normal 16 6 3 3 2" xfId="8413" xr:uid="{00000000-0005-0000-0000-00004C4C0000}"/>
    <cellStyle name="Normal 16 6 3 3 2 2" xfId="40154" xr:uid="{00000000-0005-0000-0000-00004D4C0000}"/>
    <cellStyle name="Normal 16 6 3 3 2 2 2" xfId="56254" xr:uid="{00000000-0005-0000-0000-00004E4C0000}"/>
    <cellStyle name="Normal 16 6 3 3 2 3" xfId="46687" xr:uid="{00000000-0005-0000-0000-00004F4C0000}"/>
    <cellStyle name="Normal 16 6 3 3 2 4" xfId="30587" xr:uid="{00000000-0005-0000-0000-0000504C0000}"/>
    <cellStyle name="Normal 16 6 3 3 2 5" xfId="21018" xr:uid="{00000000-0005-0000-0000-0000514C0000}"/>
    <cellStyle name="Normal 16 6 3 3 3" xfId="11449" xr:uid="{00000000-0005-0000-0000-0000524C0000}"/>
    <cellStyle name="Normal 16 6 3 3 3 2" xfId="49723" xr:uid="{00000000-0005-0000-0000-0000534C0000}"/>
    <cellStyle name="Normal 16 6 3 3 3 3" xfId="33623" xr:uid="{00000000-0005-0000-0000-0000544C0000}"/>
    <cellStyle name="Normal 16 6 3 3 3 4" xfId="24054" xr:uid="{00000000-0005-0000-0000-0000554C0000}"/>
    <cellStyle name="Normal 16 6 3 3 4" xfId="5377" xr:uid="{00000000-0005-0000-0000-0000564C0000}"/>
    <cellStyle name="Normal 16 6 3 3 4 2" xfId="53218" xr:uid="{00000000-0005-0000-0000-0000574C0000}"/>
    <cellStyle name="Normal 16 6 3 3 4 3" xfId="37118" xr:uid="{00000000-0005-0000-0000-0000584C0000}"/>
    <cellStyle name="Normal 16 6 3 3 4 4" xfId="17982" xr:uid="{00000000-0005-0000-0000-0000594C0000}"/>
    <cellStyle name="Normal 16 6 3 3 5" xfId="43651" xr:uid="{00000000-0005-0000-0000-00005A4C0000}"/>
    <cellStyle name="Normal 16 6 3 3 6" xfId="27551" xr:uid="{00000000-0005-0000-0000-00005B4C0000}"/>
    <cellStyle name="Normal 16 6 3 3 7" xfId="14487" xr:uid="{00000000-0005-0000-0000-00005C4C0000}"/>
    <cellStyle name="Normal 16 6 3 4" xfId="7403" xr:uid="{00000000-0005-0000-0000-00005D4C0000}"/>
    <cellStyle name="Normal 16 6 3 4 2" xfId="39144" xr:uid="{00000000-0005-0000-0000-00005E4C0000}"/>
    <cellStyle name="Normal 16 6 3 4 2 2" xfId="55244" xr:uid="{00000000-0005-0000-0000-00005F4C0000}"/>
    <cellStyle name="Normal 16 6 3 4 3" xfId="45677" xr:uid="{00000000-0005-0000-0000-0000604C0000}"/>
    <cellStyle name="Normal 16 6 3 4 4" xfId="29577" xr:uid="{00000000-0005-0000-0000-0000614C0000}"/>
    <cellStyle name="Normal 16 6 3 4 5" xfId="20008" xr:uid="{00000000-0005-0000-0000-0000624C0000}"/>
    <cellStyle name="Normal 16 6 3 5" xfId="10439" xr:uid="{00000000-0005-0000-0000-0000634C0000}"/>
    <cellStyle name="Normal 16 6 3 5 2" xfId="48713" xr:uid="{00000000-0005-0000-0000-0000644C0000}"/>
    <cellStyle name="Normal 16 6 3 5 3" xfId="32613" xr:uid="{00000000-0005-0000-0000-0000654C0000}"/>
    <cellStyle name="Normal 16 6 3 5 4" xfId="23044" xr:uid="{00000000-0005-0000-0000-0000664C0000}"/>
    <cellStyle name="Normal 16 6 3 6" xfId="4367" xr:uid="{00000000-0005-0000-0000-0000674C0000}"/>
    <cellStyle name="Normal 16 6 3 6 2" xfId="52208" xr:uid="{00000000-0005-0000-0000-0000684C0000}"/>
    <cellStyle name="Normal 16 6 3 6 3" xfId="36108" xr:uid="{00000000-0005-0000-0000-0000694C0000}"/>
    <cellStyle name="Normal 16 6 3 6 4" xfId="16972" xr:uid="{00000000-0005-0000-0000-00006A4C0000}"/>
    <cellStyle name="Normal 16 6 3 7" xfId="42641" xr:uid="{00000000-0005-0000-0000-00006B4C0000}"/>
    <cellStyle name="Normal 16 6 3 8" xfId="26541" xr:uid="{00000000-0005-0000-0000-00006C4C0000}"/>
    <cellStyle name="Normal 16 6 3 9" xfId="13477" xr:uid="{00000000-0005-0000-0000-00006D4C0000}"/>
    <cellStyle name="Normal 16 6 4" xfId="2251" xr:uid="{00000000-0005-0000-0000-00006E4C0000}"/>
    <cellStyle name="Normal 16 6 4 2" xfId="8785" xr:uid="{00000000-0005-0000-0000-00006F4C0000}"/>
    <cellStyle name="Normal 16 6 4 2 2" xfId="40526" xr:uid="{00000000-0005-0000-0000-0000704C0000}"/>
    <cellStyle name="Normal 16 6 4 2 2 2" xfId="56626" xr:uid="{00000000-0005-0000-0000-0000714C0000}"/>
    <cellStyle name="Normal 16 6 4 2 3" xfId="47059" xr:uid="{00000000-0005-0000-0000-0000724C0000}"/>
    <cellStyle name="Normal 16 6 4 2 4" xfId="30959" xr:uid="{00000000-0005-0000-0000-0000734C0000}"/>
    <cellStyle name="Normal 16 6 4 2 5" xfId="21390" xr:uid="{00000000-0005-0000-0000-0000744C0000}"/>
    <cellStyle name="Normal 16 6 4 3" xfId="11821" xr:uid="{00000000-0005-0000-0000-0000754C0000}"/>
    <cellStyle name="Normal 16 6 4 3 2" xfId="50095" xr:uid="{00000000-0005-0000-0000-0000764C0000}"/>
    <cellStyle name="Normal 16 6 4 3 3" xfId="33995" xr:uid="{00000000-0005-0000-0000-0000774C0000}"/>
    <cellStyle name="Normal 16 6 4 3 4" xfId="24426" xr:uid="{00000000-0005-0000-0000-0000784C0000}"/>
    <cellStyle name="Normal 16 6 4 4" xfId="5749" xr:uid="{00000000-0005-0000-0000-0000794C0000}"/>
    <cellStyle name="Normal 16 6 4 4 2" xfId="53590" xr:uid="{00000000-0005-0000-0000-00007A4C0000}"/>
    <cellStyle name="Normal 16 6 4 4 3" xfId="37490" xr:uid="{00000000-0005-0000-0000-00007B4C0000}"/>
    <cellStyle name="Normal 16 6 4 4 4" xfId="18354" xr:uid="{00000000-0005-0000-0000-00007C4C0000}"/>
    <cellStyle name="Normal 16 6 4 5" xfId="44023" xr:uid="{00000000-0005-0000-0000-00007D4C0000}"/>
    <cellStyle name="Normal 16 6 4 6" xfId="27923" xr:uid="{00000000-0005-0000-0000-00007E4C0000}"/>
    <cellStyle name="Normal 16 6 4 7" xfId="14859" xr:uid="{00000000-0005-0000-0000-00007F4C0000}"/>
    <cellStyle name="Normal 16 6 5" xfId="1196" xr:uid="{00000000-0005-0000-0000-0000804C0000}"/>
    <cellStyle name="Normal 16 6 5 2" xfId="7730" xr:uid="{00000000-0005-0000-0000-0000814C0000}"/>
    <cellStyle name="Normal 16 6 5 2 2" xfId="39471" xr:uid="{00000000-0005-0000-0000-0000824C0000}"/>
    <cellStyle name="Normal 16 6 5 2 2 2" xfId="55571" xr:uid="{00000000-0005-0000-0000-0000834C0000}"/>
    <cellStyle name="Normal 16 6 5 2 3" xfId="46004" xr:uid="{00000000-0005-0000-0000-0000844C0000}"/>
    <cellStyle name="Normal 16 6 5 2 4" xfId="29904" xr:uid="{00000000-0005-0000-0000-0000854C0000}"/>
    <cellStyle name="Normal 16 6 5 2 5" xfId="20335" xr:uid="{00000000-0005-0000-0000-0000864C0000}"/>
    <cellStyle name="Normal 16 6 5 3" xfId="10766" xr:uid="{00000000-0005-0000-0000-0000874C0000}"/>
    <cellStyle name="Normal 16 6 5 3 2" xfId="49040" xr:uid="{00000000-0005-0000-0000-0000884C0000}"/>
    <cellStyle name="Normal 16 6 5 3 3" xfId="32940" xr:uid="{00000000-0005-0000-0000-0000894C0000}"/>
    <cellStyle name="Normal 16 6 5 3 4" xfId="23371" xr:uid="{00000000-0005-0000-0000-00008A4C0000}"/>
    <cellStyle name="Normal 16 6 5 4" xfId="4694" xr:uid="{00000000-0005-0000-0000-00008B4C0000}"/>
    <cellStyle name="Normal 16 6 5 4 2" xfId="52535" xr:uid="{00000000-0005-0000-0000-00008C4C0000}"/>
    <cellStyle name="Normal 16 6 5 4 3" xfId="36435" xr:uid="{00000000-0005-0000-0000-00008D4C0000}"/>
    <cellStyle name="Normal 16 6 5 4 4" xfId="17299" xr:uid="{00000000-0005-0000-0000-00008E4C0000}"/>
    <cellStyle name="Normal 16 6 5 5" xfId="42968" xr:uid="{00000000-0005-0000-0000-00008F4C0000}"/>
    <cellStyle name="Normal 16 6 5 6" xfId="26868" xr:uid="{00000000-0005-0000-0000-0000904C0000}"/>
    <cellStyle name="Normal 16 6 5 7" xfId="13804" xr:uid="{00000000-0005-0000-0000-0000914C0000}"/>
    <cellStyle name="Normal 16 6 6" xfId="3684" xr:uid="{00000000-0005-0000-0000-0000924C0000}"/>
    <cellStyle name="Normal 16 6 6 2" xfId="35425" xr:uid="{00000000-0005-0000-0000-0000934C0000}"/>
    <cellStyle name="Normal 16 6 6 2 2" xfId="51525" xr:uid="{00000000-0005-0000-0000-0000944C0000}"/>
    <cellStyle name="Normal 16 6 6 3" xfId="41958" xr:uid="{00000000-0005-0000-0000-0000954C0000}"/>
    <cellStyle name="Normal 16 6 6 4" xfId="25858" xr:uid="{00000000-0005-0000-0000-0000964C0000}"/>
    <cellStyle name="Normal 16 6 6 5" xfId="16289" xr:uid="{00000000-0005-0000-0000-0000974C0000}"/>
    <cellStyle name="Normal 16 6 7" xfId="6720" xr:uid="{00000000-0005-0000-0000-0000984C0000}"/>
    <cellStyle name="Normal 16 6 7 2" xfId="38461" xr:uid="{00000000-0005-0000-0000-0000994C0000}"/>
    <cellStyle name="Normal 16 6 7 2 2" xfId="54561" xr:uid="{00000000-0005-0000-0000-00009A4C0000}"/>
    <cellStyle name="Normal 16 6 7 3" xfId="44994" xr:uid="{00000000-0005-0000-0000-00009B4C0000}"/>
    <cellStyle name="Normal 16 6 7 4" xfId="28894" xr:uid="{00000000-0005-0000-0000-00009C4C0000}"/>
    <cellStyle name="Normal 16 6 7 5" xfId="19325" xr:uid="{00000000-0005-0000-0000-00009D4C0000}"/>
    <cellStyle name="Normal 16 6 8" xfId="9756" xr:uid="{00000000-0005-0000-0000-00009E4C0000}"/>
    <cellStyle name="Normal 16 6 8 2" xfId="48030" xr:uid="{00000000-0005-0000-0000-00009F4C0000}"/>
    <cellStyle name="Normal 16 6 8 3" xfId="31930" xr:uid="{00000000-0005-0000-0000-0000A04C0000}"/>
    <cellStyle name="Normal 16 6 8 4" xfId="22361" xr:uid="{00000000-0005-0000-0000-0000A14C0000}"/>
    <cellStyle name="Normal 16 6 9" xfId="3224" xr:uid="{00000000-0005-0000-0000-0000A24C0000}"/>
    <cellStyle name="Normal 16 6 9 2" xfId="51066" xr:uid="{00000000-0005-0000-0000-0000A34C0000}"/>
    <cellStyle name="Normal 16 6 9 3" xfId="34966" xr:uid="{00000000-0005-0000-0000-0000A44C0000}"/>
    <cellStyle name="Normal 16 6 9 4" xfId="15830" xr:uid="{00000000-0005-0000-0000-0000A54C0000}"/>
    <cellStyle name="Normal 16 7" xfId="49" xr:uid="{00000000-0005-0000-0000-0000A64C0000}"/>
    <cellStyle name="Normal 16 7 10" xfId="41516" xr:uid="{00000000-0005-0000-0000-0000A74C0000}"/>
    <cellStyle name="Normal 16 7 11" xfId="25416" xr:uid="{00000000-0005-0000-0000-0000A84C0000}"/>
    <cellStyle name="Normal 16 7 12" xfId="12811" xr:uid="{00000000-0005-0000-0000-0000A94C0000}"/>
    <cellStyle name="Normal 16 7 2" xfId="886" xr:uid="{00000000-0005-0000-0000-0000AA4C0000}"/>
    <cellStyle name="Normal 16 7 2 10" xfId="13494" xr:uid="{00000000-0005-0000-0000-0000AB4C0000}"/>
    <cellStyle name="Normal 16 7 2 2" xfId="2914" xr:uid="{00000000-0005-0000-0000-0000AC4C0000}"/>
    <cellStyle name="Normal 16 7 2 2 2" xfId="9446" xr:uid="{00000000-0005-0000-0000-0000AD4C0000}"/>
    <cellStyle name="Normal 16 7 2 2 2 2" xfId="41187" xr:uid="{00000000-0005-0000-0000-0000AE4C0000}"/>
    <cellStyle name="Normal 16 7 2 2 2 2 2" xfId="57287" xr:uid="{00000000-0005-0000-0000-0000AF4C0000}"/>
    <cellStyle name="Normal 16 7 2 2 2 3" xfId="47720" xr:uid="{00000000-0005-0000-0000-0000B04C0000}"/>
    <cellStyle name="Normal 16 7 2 2 2 4" xfId="31620" xr:uid="{00000000-0005-0000-0000-0000B14C0000}"/>
    <cellStyle name="Normal 16 7 2 2 2 5" xfId="22051" xr:uid="{00000000-0005-0000-0000-0000B24C0000}"/>
    <cellStyle name="Normal 16 7 2 2 3" xfId="12482" xr:uid="{00000000-0005-0000-0000-0000B34C0000}"/>
    <cellStyle name="Normal 16 7 2 2 3 2" xfId="50756" xr:uid="{00000000-0005-0000-0000-0000B44C0000}"/>
    <cellStyle name="Normal 16 7 2 2 3 3" xfId="34656" xr:uid="{00000000-0005-0000-0000-0000B54C0000}"/>
    <cellStyle name="Normal 16 7 2 2 3 4" xfId="25087" xr:uid="{00000000-0005-0000-0000-0000B64C0000}"/>
    <cellStyle name="Normal 16 7 2 2 4" xfId="6410" xr:uid="{00000000-0005-0000-0000-0000B74C0000}"/>
    <cellStyle name="Normal 16 7 2 2 4 2" xfId="54251" xr:uid="{00000000-0005-0000-0000-0000B84C0000}"/>
    <cellStyle name="Normal 16 7 2 2 4 3" xfId="38151" xr:uid="{00000000-0005-0000-0000-0000B94C0000}"/>
    <cellStyle name="Normal 16 7 2 2 4 4" xfId="19015" xr:uid="{00000000-0005-0000-0000-0000BA4C0000}"/>
    <cellStyle name="Normal 16 7 2 2 5" xfId="44684" xr:uid="{00000000-0005-0000-0000-0000BB4C0000}"/>
    <cellStyle name="Normal 16 7 2 2 6" xfId="28584" xr:uid="{00000000-0005-0000-0000-0000BC4C0000}"/>
    <cellStyle name="Normal 16 7 2 2 7" xfId="15520" xr:uid="{00000000-0005-0000-0000-0000BD4C0000}"/>
    <cellStyle name="Normal 16 7 2 3" xfId="1896" xr:uid="{00000000-0005-0000-0000-0000BE4C0000}"/>
    <cellStyle name="Normal 16 7 2 3 2" xfId="8430" xr:uid="{00000000-0005-0000-0000-0000BF4C0000}"/>
    <cellStyle name="Normal 16 7 2 3 2 2" xfId="40171" xr:uid="{00000000-0005-0000-0000-0000C04C0000}"/>
    <cellStyle name="Normal 16 7 2 3 2 2 2" xfId="56271" xr:uid="{00000000-0005-0000-0000-0000C14C0000}"/>
    <cellStyle name="Normal 16 7 2 3 2 3" xfId="46704" xr:uid="{00000000-0005-0000-0000-0000C24C0000}"/>
    <cellStyle name="Normal 16 7 2 3 2 4" xfId="30604" xr:uid="{00000000-0005-0000-0000-0000C34C0000}"/>
    <cellStyle name="Normal 16 7 2 3 2 5" xfId="21035" xr:uid="{00000000-0005-0000-0000-0000C44C0000}"/>
    <cellStyle name="Normal 16 7 2 3 3" xfId="11466" xr:uid="{00000000-0005-0000-0000-0000C54C0000}"/>
    <cellStyle name="Normal 16 7 2 3 3 2" xfId="49740" xr:uid="{00000000-0005-0000-0000-0000C64C0000}"/>
    <cellStyle name="Normal 16 7 2 3 3 3" xfId="33640" xr:uid="{00000000-0005-0000-0000-0000C74C0000}"/>
    <cellStyle name="Normal 16 7 2 3 3 4" xfId="24071" xr:uid="{00000000-0005-0000-0000-0000C84C0000}"/>
    <cellStyle name="Normal 16 7 2 3 4" xfId="5394" xr:uid="{00000000-0005-0000-0000-0000C94C0000}"/>
    <cellStyle name="Normal 16 7 2 3 4 2" xfId="53235" xr:uid="{00000000-0005-0000-0000-0000CA4C0000}"/>
    <cellStyle name="Normal 16 7 2 3 4 3" xfId="37135" xr:uid="{00000000-0005-0000-0000-0000CB4C0000}"/>
    <cellStyle name="Normal 16 7 2 3 4 4" xfId="17999" xr:uid="{00000000-0005-0000-0000-0000CC4C0000}"/>
    <cellStyle name="Normal 16 7 2 3 5" xfId="43668" xr:uid="{00000000-0005-0000-0000-0000CD4C0000}"/>
    <cellStyle name="Normal 16 7 2 3 6" xfId="27568" xr:uid="{00000000-0005-0000-0000-0000CE4C0000}"/>
    <cellStyle name="Normal 16 7 2 3 7" xfId="14504" xr:uid="{00000000-0005-0000-0000-0000CF4C0000}"/>
    <cellStyle name="Normal 16 7 2 4" xfId="4384" xr:uid="{00000000-0005-0000-0000-0000D04C0000}"/>
    <cellStyle name="Normal 16 7 2 4 2" xfId="36125" xr:uid="{00000000-0005-0000-0000-0000D14C0000}"/>
    <cellStyle name="Normal 16 7 2 4 2 2" xfId="52225" xr:uid="{00000000-0005-0000-0000-0000D24C0000}"/>
    <cellStyle name="Normal 16 7 2 4 3" xfId="42658" xr:uid="{00000000-0005-0000-0000-0000D34C0000}"/>
    <cellStyle name="Normal 16 7 2 4 4" xfId="26558" xr:uid="{00000000-0005-0000-0000-0000D44C0000}"/>
    <cellStyle name="Normal 16 7 2 4 5" xfId="16989" xr:uid="{00000000-0005-0000-0000-0000D54C0000}"/>
    <cellStyle name="Normal 16 7 2 5" xfId="7420" xr:uid="{00000000-0005-0000-0000-0000D64C0000}"/>
    <cellStyle name="Normal 16 7 2 5 2" xfId="39161" xr:uid="{00000000-0005-0000-0000-0000D74C0000}"/>
    <cellStyle name="Normal 16 7 2 5 2 2" xfId="55261" xr:uid="{00000000-0005-0000-0000-0000D84C0000}"/>
    <cellStyle name="Normal 16 7 2 5 3" xfId="45694" xr:uid="{00000000-0005-0000-0000-0000D94C0000}"/>
    <cellStyle name="Normal 16 7 2 5 4" xfId="29594" xr:uid="{00000000-0005-0000-0000-0000DA4C0000}"/>
    <cellStyle name="Normal 16 7 2 5 5" xfId="20025" xr:uid="{00000000-0005-0000-0000-0000DB4C0000}"/>
    <cellStyle name="Normal 16 7 2 6" xfId="10456" xr:uid="{00000000-0005-0000-0000-0000DC4C0000}"/>
    <cellStyle name="Normal 16 7 2 6 2" xfId="48730" xr:uid="{00000000-0005-0000-0000-0000DD4C0000}"/>
    <cellStyle name="Normal 16 7 2 6 3" xfId="32630" xr:uid="{00000000-0005-0000-0000-0000DE4C0000}"/>
    <cellStyle name="Normal 16 7 2 6 4" xfId="23061" xr:uid="{00000000-0005-0000-0000-0000DF4C0000}"/>
    <cellStyle name="Normal 16 7 2 7" xfId="3479" xr:uid="{00000000-0005-0000-0000-0000E04C0000}"/>
    <cellStyle name="Normal 16 7 2 7 2" xfId="51320" xr:uid="{00000000-0005-0000-0000-0000E14C0000}"/>
    <cellStyle name="Normal 16 7 2 7 3" xfId="35220" xr:uid="{00000000-0005-0000-0000-0000E24C0000}"/>
    <cellStyle name="Normal 16 7 2 7 4" xfId="16084" xr:uid="{00000000-0005-0000-0000-0000E34C0000}"/>
    <cellStyle name="Normal 16 7 2 8" xfId="41753" xr:uid="{00000000-0005-0000-0000-0000E44C0000}"/>
    <cellStyle name="Normal 16 7 2 9" xfId="25653" xr:uid="{00000000-0005-0000-0000-0000E54C0000}"/>
    <cellStyle name="Normal 16 7 3" xfId="664" xr:uid="{00000000-0005-0000-0000-0000E64C0000}"/>
    <cellStyle name="Normal 16 7 3 2" xfId="2692" xr:uid="{00000000-0005-0000-0000-0000E74C0000}"/>
    <cellStyle name="Normal 16 7 3 2 2" xfId="9224" xr:uid="{00000000-0005-0000-0000-0000E84C0000}"/>
    <cellStyle name="Normal 16 7 3 2 2 2" xfId="40965" xr:uid="{00000000-0005-0000-0000-0000E94C0000}"/>
    <cellStyle name="Normal 16 7 3 2 2 2 2" xfId="57065" xr:uid="{00000000-0005-0000-0000-0000EA4C0000}"/>
    <cellStyle name="Normal 16 7 3 2 2 3" xfId="47498" xr:uid="{00000000-0005-0000-0000-0000EB4C0000}"/>
    <cellStyle name="Normal 16 7 3 2 2 4" xfId="31398" xr:uid="{00000000-0005-0000-0000-0000EC4C0000}"/>
    <cellStyle name="Normal 16 7 3 2 2 5" xfId="21829" xr:uid="{00000000-0005-0000-0000-0000ED4C0000}"/>
    <cellStyle name="Normal 16 7 3 2 3" xfId="12260" xr:uid="{00000000-0005-0000-0000-0000EE4C0000}"/>
    <cellStyle name="Normal 16 7 3 2 3 2" xfId="50534" xr:uid="{00000000-0005-0000-0000-0000EF4C0000}"/>
    <cellStyle name="Normal 16 7 3 2 3 3" xfId="34434" xr:uid="{00000000-0005-0000-0000-0000F04C0000}"/>
    <cellStyle name="Normal 16 7 3 2 3 4" xfId="24865" xr:uid="{00000000-0005-0000-0000-0000F14C0000}"/>
    <cellStyle name="Normal 16 7 3 2 4" xfId="6188" xr:uid="{00000000-0005-0000-0000-0000F24C0000}"/>
    <cellStyle name="Normal 16 7 3 2 4 2" xfId="54029" xr:uid="{00000000-0005-0000-0000-0000F34C0000}"/>
    <cellStyle name="Normal 16 7 3 2 4 3" xfId="37929" xr:uid="{00000000-0005-0000-0000-0000F44C0000}"/>
    <cellStyle name="Normal 16 7 3 2 4 4" xfId="18793" xr:uid="{00000000-0005-0000-0000-0000F54C0000}"/>
    <cellStyle name="Normal 16 7 3 2 5" xfId="44462" xr:uid="{00000000-0005-0000-0000-0000F64C0000}"/>
    <cellStyle name="Normal 16 7 3 2 6" xfId="28362" xr:uid="{00000000-0005-0000-0000-0000F74C0000}"/>
    <cellStyle name="Normal 16 7 3 2 7" xfId="15298" xr:uid="{00000000-0005-0000-0000-0000F84C0000}"/>
    <cellStyle name="Normal 16 7 3 3" xfId="1674" xr:uid="{00000000-0005-0000-0000-0000F94C0000}"/>
    <cellStyle name="Normal 16 7 3 3 2" xfId="8208" xr:uid="{00000000-0005-0000-0000-0000FA4C0000}"/>
    <cellStyle name="Normal 16 7 3 3 2 2" xfId="39949" xr:uid="{00000000-0005-0000-0000-0000FB4C0000}"/>
    <cellStyle name="Normal 16 7 3 3 2 2 2" xfId="56049" xr:uid="{00000000-0005-0000-0000-0000FC4C0000}"/>
    <cellStyle name="Normal 16 7 3 3 2 3" xfId="46482" xr:uid="{00000000-0005-0000-0000-0000FD4C0000}"/>
    <cellStyle name="Normal 16 7 3 3 2 4" xfId="30382" xr:uid="{00000000-0005-0000-0000-0000FE4C0000}"/>
    <cellStyle name="Normal 16 7 3 3 2 5" xfId="20813" xr:uid="{00000000-0005-0000-0000-0000FF4C0000}"/>
    <cellStyle name="Normal 16 7 3 3 3" xfId="11244" xr:uid="{00000000-0005-0000-0000-0000004D0000}"/>
    <cellStyle name="Normal 16 7 3 3 3 2" xfId="49518" xr:uid="{00000000-0005-0000-0000-0000014D0000}"/>
    <cellStyle name="Normal 16 7 3 3 3 3" xfId="33418" xr:uid="{00000000-0005-0000-0000-0000024D0000}"/>
    <cellStyle name="Normal 16 7 3 3 3 4" xfId="23849" xr:uid="{00000000-0005-0000-0000-0000034D0000}"/>
    <cellStyle name="Normal 16 7 3 3 4" xfId="5172" xr:uid="{00000000-0005-0000-0000-0000044D0000}"/>
    <cellStyle name="Normal 16 7 3 3 4 2" xfId="53013" xr:uid="{00000000-0005-0000-0000-0000054D0000}"/>
    <cellStyle name="Normal 16 7 3 3 4 3" xfId="36913" xr:uid="{00000000-0005-0000-0000-0000064D0000}"/>
    <cellStyle name="Normal 16 7 3 3 4 4" xfId="17777" xr:uid="{00000000-0005-0000-0000-0000074D0000}"/>
    <cellStyle name="Normal 16 7 3 3 5" xfId="43446" xr:uid="{00000000-0005-0000-0000-0000084D0000}"/>
    <cellStyle name="Normal 16 7 3 3 6" xfId="27346" xr:uid="{00000000-0005-0000-0000-0000094D0000}"/>
    <cellStyle name="Normal 16 7 3 3 7" xfId="14282" xr:uid="{00000000-0005-0000-0000-00000A4D0000}"/>
    <cellStyle name="Normal 16 7 3 4" xfId="7198" xr:uid="{00000000-0005-0000-0000-00000B4D0000}"/>
    <cellStyle name="Normal 16 7 3 4 2" xfId="38939" xr:uid="{00000000-0005-0000-0000-00000C4D0000}"/>
    <cellStyle name="Normal 16 7 3 4 2 2" xfId="55039" xr:uid="{00000000-0005-0000-0000-00000D4D0000}"/>
    <cellStyle name="Normal 16 7 3 4 3" xfId="45472" xr:uid="{00000000-0005-0000-0000-00000E4D0000}"/>
    <cellStyle name="Normal 16 7 3 4 4" xfId="29372" xr:uid="{00000000-0005-0000-0000-00000F4D0000}"/>
    <cellStyle name="Normal 16 7 3 4 5" xfId="19803" xr:uid="{00000000-0005-0000-0000-0000104D0000}"/>
    <cellStyle name="Normal 16 7 3 5" xfId="10234" xr:uid="{00000000-0005-0000-0000-0000114D0000}"/>
    <cellStyle name="Normal 16 7 3 5 2" xfId="48508" xr:uid="{00000000-0005-0000-0000-0000124D0000}"/>
    <cellStyle name="Normal 16 7 3 5 3" xfId="32408" xr:uid="{00000000-0005-0000-0000-0000134D0000}"/>
    <cellStyle name="Normal 16 7 3 5 4" xfId="22839" xr:uid="{00000000-0005-0000-0000-0000144D0000}"/>
    <cellStyle name="Normal 16 7 3 6" xfId="4162" xr:uid="{00000000-0005-0000-0000-0000154D0000}"/>
    <cellStyle name="Normal 16 7 3 6 2" xfId="52003" xr:uid="{00000000-0005-0000-0000-0000164D0000}"/>
    <cellStyle name="Normal 16 7 3 6 3" xfId="35903" xr:uid="{00000000-0005-0000-0000-0000174D0000}"/>
    <cellStyle name="Normal 16 7 3 6 4" xfId="16767" xr:uid="{00000000-0005-0000-0000-0000184D0000}"/>
    <cellStyle name="Normal 16 7 3 7" xfId="42436" xr:uid="{00000000-0005-0000-0000-0000194D0000}"/>
    <cellStyle name="Normal 16 7 3 8" xfId="26336" xr:uid="{00000000-0005-0000-0000-00001A4D0000}"/>
    <cellStyle name="Normal 16 7 3 9" xfId="13272" xr:uid="{00000000-0005-0000-0000-00001B4D0000}"/>
    <cellStyle name="Normal 16 7 4" xfId="2464" xr:uid="{00000000-0005-0000-0000-00001C4D0000}"/>
    <cellStyle name="Normal 16 7 4 2" xfId="8996" xr:uid="{00000000-0005-0000-0000-00001D4D0000}"/>
    <cellStyle name="Normal 16 7 4 2 2" xfId="40737" xr:uid="{00000000-0005-0000-0000-00001E4D0000}"/>
    <cellStyle name="Normal 16 7 4 2 2 2" xfId="56837" xr:uid="{00000000-0005-0000-0000-00001F4D0000}"/>
    <cellStyle name="Normal 16 7 4 2 3" xfId="47270" xr:uid="{00000000-0005-0000-0000-0000204D0000}"/>
    <cellStyle name="Normal 16 7 4 2 4" xfId="31170" xr:uid="{00000000-0005-0000-0000-0000214D0000}"/>
    <cellStyle name="Normal 16 7 4 2 5" xfId="21601" xr:uid="{00000000-0005-0000-0000-0000224D0000}"/>
    <cellStyle name="Normal 16 7 4 3" xfId="12032" xr:uid="{00000000-0005-0000-0000-0000234D0000}"/>
    <cellStyle name="Normal 16 7 4 3 2" xfId="50306" xr:uid="{00000000-0005-0000-0000-0000244D0000}"/>
    <cellStyle name="Normal 16 7 4 3 3" xfId="34206" xr:uid="{00000000-0005-0000-0000-0000254D0000}"/>
    <cellStyle name="Normal 16 7 4 3 4" xfId="24637" xr:uid="{00000000-0005-0000-0000-0000264D0000}"/>
    <cellStyle name="Normal 16 7 4 4" xfId="5960" xr:uid="{00000000-0005-0000-0000-0000274D0000}"/>
    <cellStyle name="Normal 16 7 4 4 2" xfId="53801" xr:uid="{00000000-0005-0000-0000-0000284D0000}"/>
    <cellStyle name="Normal 16 7 4 4 3" xfId="37701" xr:uid="{00000000-0005-0000-0000-0000294D0000}"/>
    <cellStyle name="Normal 16 7 4 4 4" xfId="18565" xr:uid="{00000000-0005-0000-0000-00002A4D0000}"/>
    <cellStyle name="Normal 16 7 4 5" xfId="44234" xr:uid="{00000000-0005-0000-0000-00002B4D0000}"/>
    <cellStyle name="Normal 16 7 4 6" xfId="28134" xr:uid="{00000000-0005-0000-0000-00002C4D0000}"/>
    <cellStyle name="Normal 16 7 4 7" xfId="15070" xr:uid="{00000000-0005-0000-0000-00002D4D0000}"/>
    <cellStyle name="Normal 16 7 5" xfId="1213" xr:uid="{00000000-0005-0000-0000-00002E4D0000}"/>
    <cellStyle name="Normal 16 7 5 2" xfId="7747" xr:uid="{00000000-0005-0000-0000-00002F4D0000}"/>
    <cellStyle name="Normal 16 7 5 2 2" xfId="39488" xr:uid="{00000000-0005-0000-0000-0000304D0000}"/>
    <cellStyle name="Normal 16 7 5 2 2 2" xfId="55588" xr:uid="{00000000-0005-0000-0000-0000314D0000}"/>
    <cellStyle name="Normal 16 7 5 2 3" xfId="46021" xr:uid="{00000000-0005-0000-0000-0000324D0000}"/>
    <cellStyle name="Normal 16 7 5 2 4" xfId="29921" xr:uid="{00000000-0005-0000-0000-0000334D0000}"/>
    <cellStyle name="Normal 16 7 5 2 5" xfId="20352" xr:uid="{00000000-0005-0000-0000-0000344D0000}"/>
    <cellStyle name="Normal 16 7 5 3" xfId="10783" xr:uid="{00000000-0005-0000-0000-0000354D0000}"/>
    <cellStyle name="Normal 16 7 5 3 2" xfId="49057" xr:uid="{00000000-0005-0000-0000-0000364D0000}"/>
    <cellStyle name="Normal 16 7 5 3 3" xfId="32957" xr:uid="{00000000-0005-0000-0000-0000374D0000}"/>
    <cellStyle name="Normal 16 7 5 3 4" xfId="23388" xr:uid="{00000000-0005-0000-0000-0000384D0000}"/>
    <cellStyle name="Normal 16 7 5 4" xfId="4711" xr:uid="{00000000-0005-0000-0000-0000394D0000}"/>
    <cellStyle name="Normal 16 7 5 4 2" xfId="52552" xr:uid="{00000000-0005-0000-0000-00003A4D0000}"/>
    <cellStyle name="Normal 16 7 5 4 3" xfId="36452" xr:uid="{00000000-0005-0000-0000-00003B4D0000}"/>
    <cellStyle name="Normal 16 7 5 4 4" xfId="17316" xr:uid="{00000000-0005-0000-0000-00003C4D0000}"/>
    <cellStyle name="Normal 16 7 5 5" xfId="42985" xr:uid="{00000000-0005-0000-0000-00003D4D0000}"/>
    <cellStyle name="Normal 16 7 5 6" xfId="26885" xr:uid="{00000000-0005-0000-0000-00003E4D0000}"/>
    <cellStyle name="Normal 16 7 5 7" xfId="13821" xr:uid="{00000000-0005-0000-0000-00003F4D0000}"/>
    <cellStyle name="Normal 16 7 6" xfId="3701" xr:uid="{00000000-0005-0000-0000-0000404D0000}"/>
    <cellStyle name="Normal 16 7 6 2" xfId="35442" xr:uid="{00000000-0005-0000-0000-0000414D0000}"/>
    <cellStyle name="Normal 16 7 6 2 2" xfId="51542" xr:uid="{00000000-0005-0000-0000-0000424D0000}"/>
    <cellStyle name="Normal 16 7 6 3" xfId="41975" xr:uid="{00000000-0005-0000-0000-0000434D0000}"/>
    <cellStyle name="Normal 16 7 6 4" xfId="25875" xr:uid="{00000000-0005-0000-0000-0000444D0000}"/>
    <cellStyle name="Normal 16 7 6 5" xfId="16306" xr:uid="{00000000-0005-0000-0000-0000454D0000}"/>
    <cellStyle name="Normal 16 7 7" xfId="6737" xr:uid="{00000000-0005-0000-0000-0000464D0000}"/>
    <cellStyle name="Normal 16 7 7 2" xfId="38478" xr:uid="{00000000-0005-0000-0000-0000474D0000}"/>
    <cellStyle name="Normal 16 7 7 2 2" xfId="54578" xr:uid="{00000000-0005-0000-0000-0000484D0000}"/>
    <cellStyle name="Normal 16 7 7 3" xfId="45011" xr:uid="{00000000-0005-0000-0000-0000494D0000}"/>
    <cellStyle name="Normal 16 7 7 4" xfId="28911" xr:uid="{00000000-0005-0000-0000-00004A4D0000}"/>
    <cellStyle name="Normal 16 7 7 5" xfId="19342" xr:uid="{00000000-0005-0000-0000-00004B4D0000}"/>
    <cellStyle name="Normal 16 7 8" xfId="9773" xr:uid="{00000000-0005-0000-0000-00004C4D0000}"/>
    <cellStyle name="Normal 16 7 8 2" xfId="48047" xr:uid="{00000000-0005-0000-0000-00004D4D0000}"/>
    <cellStyle name="Normal 16 7 8 3" xfId="31947" xr:uid="{00000000-0005-0000-0000-00004E4D0000}"/>
    <cellStyle name="Normal 16 7 8 4" xfId="22378" xr:uid="{00000000-0005-0000-0000-00004F4D0000}"/>
    <cellStyle name="Normal 16 7 9" xfId="3241" xr:uid="{00000000-0005-0000-0000-0000504D0000}"/>
    <cellStyle name="Normal 16 7 9 2" xfId="51083" xr:uid="{00000000-0005-0000-0000-0000514D0000}"/>
    <cellStyle name="Normal 16 7 9 3" xfId="34983" xr:uid="{00000000-0005-0000-0000-0000524D0000}"/>
    <cellStyle name="Normal 16 7 9 4" xfId="15847" xr:uid="{00000000-0005-0000-0000-0000534D0000}"/>
    <cellStyle name="Normal 16 8" xfId="450" xr:uid="{00000000-0005-0000-0000-0000544D0000}"/>
    <cellStyle name="Normal 16 8 10" xfId="41533" xr:uid="{00000000-0005-0000-0000-0000554D0000}"/>
    <cellStyle name="Normal 16 8 11" xfId="25433" xr:uid="{00000000-0005-0000-0000-0000564D0000}"/>
    <cellStyle name="Normal 16 8 12" xfId="12828" xr:uid="{00000000-0005-0000-0000-0000574D0000}"/>
    <cellStyle name="Normal 16 8 2" xfId="903" xr:uid="{00000000-0005-0000-0000-0000584D0000}"/>
    <cellStyle name="Normal 16 8 2 10" xfId="13511" xr:uid="{00000000-0005-0000-0000-0000594D0000}"/>
    <cellStyle name="Normal 16 8 2 2" xfId="2931" xr:uid="{00000000-0005-0000-0000-00005A4D0000}"/>
    <cellStyle name="Normal 16 8 2 2 2" xfId="9463" xr:uid="{00000000-0005-0000-0000-00005B4D0000}"/>
    <cellStyle name="Normal 16 8 2 2 2 2" xfId="41204" xr:uid="{00000000-0005-0000-0000-00005C4D0000}"/>
    <cellStyle name="Normal 16 8 2 2 2 2 2" xfId="57304" xr:uid="{00000000-0005-0000-0000-00005D4D0000}"/>
    <cellStyle name="Normal 16 8 2 2 2 3" xfId="47737" xr:uid="{00000000-0005-0000-0000-00005E4D0000}"/>
    <cellStyle name="Normal 16 8 2 2 2 4" xfId="31637" xr:uid="{00000000-0005-0000-0000-00005F4D0000}"/>
    <cellStyle name="Normal 16 8 2 2 2 5" xfId="22068" xr:uid="{00000000-0005-0000-0000-0000604D0000}"/>
    <cellStyle name="Normal 16 8 2 2 3" xfId="12499" xr:uid="{00000000-0005-0000-0000-0000614D0000}"/>
    <cellStyle name="Normal 16 8 2 2 3 2" xfId="50773" xr:uid="{00000000-0005-0000-0000-0000624D0000}"/>
    <cellStyle name="Normal 16 8 2 2 3 3" xfId="34673" xr:uid="{00000000-0005-0000-0000-0000634D0000}"/>
    <cellStyle name="Normal 16 8 2 2 3 4" xfId="25104" xr:uid="{00000000-0005-0000-0000-0000644D0000}"/>
    <cellStyle name="Normal 16 8 2 2 4" xfId="6427" xr:uid="{00000000-0005-0000-0000-0000654D0000}"/>
    <cellStyle name="Normal 16 8 2 2 4 2" xfId="54268" xr:uid="{00000000-0005-0000-0000-0000664D0000}"/>
    <cellStyle name="Normal 16 8 2 2 4 3" xfId="38168" xr:uid="{00000000-0005-0000-0000-0000674D0000}"/>
    <cellStyle name="Normal 16 8 2 2 4 4" xfId="19032" xr:uid="{00000000-0005-0000-0000-0000684D0000}"/>
    <cellStyle name="Normal 16 8 2 2 5" xfId="44701" xr:uid="{00000000-0005-0000-0000-0000694D0000}"/>
    <cellStyle name="Normal 16 8 2 2 6" xfId="28601" xr:uid="{00000000-0005-0000-0000-00006A4D0000}"/>
    <cellStyle name="Normal 16 8 2 2 7" xfId="15537" xr:uid="{00000000-0005-0000-0000-00006B4D0000}"/>
    <cellStyle name="Normal 16 8 2 3" xfId="1913" xr:uid="{00000000-0005-0000-0000-00006C4D0000}"/>
    <cellStyle name="Normal 16 8 2 3 2" xfId="8447" xr:uid="{00000000-0005-0000-0000-00006D4D0000}"/>
    <cellStyle name="Normal 16 8 2 3 2 2" xfId="40188" xr:uid="{00000000-0005-0000-0000-00006E4D0000}"/>
    <cellStyle name="Normal 16 8 2 3 2 2 2" xfId="56288" xr:uid="{00000000-0005-0000-0000-00006F4D0000}"/>
    <cellStyle name="Normal 16 8 2 3 2 3" xfId="46721" xr:uid="{00000000-0005-0000-0000-0000704D0000}"/>
    <cellStyle name="Normal 16 8 2 3 2 4" xfId="30621" xr:uid="{00000000-0005-0000-0000-0000714D0000}"/>
    <cellStyle name="Normal 16 8 2 3 2 5" xfId="21052" xr:uid="{00000000-0005-0000-0000-0000724D0000}"/>
    <cellStyle name="Normal 16 8 2 3 3" xfId="11483" xr:uid="{00000000-0005-0000-0000-0000734D0000}"/>
    <cellStyle name="Normal 16 8 2 3 3 2" xfId="49757" xr:uid="{00000000-0005-0000-0000-0000744D0000}"/>
    <cellStyle name="Normal 16 8 2 3 3 3" xfId="33657" xr:uid="{00000000-0005-0000-0000-0000754D0000}"/>
    <cellStyle name="Normal 16 8 2 3 3 4" xfId="24088" xr:uid="{00000000-0005-0000-0000-0000764D0000}"/>
    <cellStyle name="Normal 16 8 2 3 4" xfId="5411" xr:uid="{00000000-0005-0000-0000-0000774D0000}"/>
    <cellStyle name="Normal 16 8 2 3 4 2" xfId="53252" xr:uid="{00000000-0005-0000-0000-0000784D0000}"/>
    <cellStyle name="Normal 16 8 2 3 4 3" xfId="37152" xr:uid="{00000000-0005-0000-0000-0000794D0000}"/>
    <cellStyle name="Normal 16 8 2 3 4 4" xfId="18016" xr:uid="{00000000-0005-0000-0000-00007A4D0000}"/>
    <cellStyle name="Normal 16 8 2 3 5" xfId="43685" xr:uid="{00000000-0005-0000-0000-00007B4D0000}"/>
    <cellStyle name="Normal 16 8 2 3 6" xfId="27585" xr:uid="{00000000-0005-0000-0000-00007C4D0000}"/>
    <cellStyle name="Normal 16 8 2 3 7" xfId="14521" xr:uid="{00000000-0005-0000-0000-00007D4D0000}"/>
    <cellStyle name="Normal 16 8 2 4" xfId="4401" xr:uid="{00000000-0005-0000-0000-00007E4D0000}"/>
    <cellStyle name="Normal 16 8 2 4 2" xfId="36142" xr:uid="{00000000-0005-0000-0000-00007F4D0000}"/>
    <cellStyle name="Normal 16 8 2 4 2 2" xfId="52242" xr:uid="{00000000-0005-0000-0000-0000804D0000}"/>
    <cellStyle name="Normal 16 8 2 4 3" xfId="42675" xr:uid="{00000000-0005-0000-0000-0000814D0000}"/>
    <cellStyle name="Normal 16 8 2 4 4" xfId="26575" xr:uid="{00000000-0005-0000-0000-0000824D0000}"/>
    <cellStyle name="Normal 16 8 2 4 5" xfId="17006" xr:uid="{00000000-0005-0000-0000-0000834D0000}"/>
    <cellStyle name="Normal 16 8 2 5" xfId="7437" xr:uid="{00000000-0005-0000-0000-0000844D0000}"/>
    <cellStyle name="Normal 16 8 2 5 2" xfId="39178" xr:uid="{00000000-0005-0000-0000-0000854D0000}"/>
    <cellStyle name="Normal 16 8 2 5 2 2" xfId="55278" xr:uid="{00000000-0005-0000-0000-0000864D0000}"/>
    <cellStyle name="Normal 16 8 2 5 3" xfId="45711" xr:uid="{00000000-0005-0000-0000-0000874D0000}"/>
    <cellStyle name="Normal 16 8 2 5 4" xfId="29611" xr:uid="{00000000-0005-0000-0000-0000884D0000}"/>
    <cellStyle name="Normal 16 8 2 5 5" xfId="20042" xr:uid="{00000000-0005-0000-0000-0000894D0000}"/>
    <cellStyle name="Normal 16 8 2 6" xfId="10473" xr:uid="{00000000-0005-0000-0000-00008A4D0000}"/>
    <cellStyle name="Normal 16 8 2 6 2" xfId="48747" xr:uid="{00000000-0005-0000-0000-00008B4D0000}"/>
    <cellStyle name="Normal 16 8 2 6 3" xfId="32647" xr:uid="{00000000-0005-0000-0000-00008C4D0000}"/>
    <cellStyle name="Normal 16 8 2 6 4" xfId="23078" xr:uid="{00000000-0005-0000-0000-00008D4D0000}"/>
    <cellStyle name="Normal 16 8 2 7" xfId="3496" xr:uid="{00000000-0005-0000-0000-00008E4D0000}"/>
    <cellStyle name="Normal 16 8 2 7 2" xfId="51337" xr:uid="{00000000-0005-0000-0000-00008F4D0000}"/>
    <cellStyle name="Normal 16 8 2 7 3" xfId="35237" xr:uid="{00000000-0005-0000-0000-0000904D0000}"/>
    <cellStyle name="Normal 16 8 2 7 4" xfId="16101" xr:uid="{00000000-0005-0000-0000-0000914D0000}"/>
    <cellStyle name="Normal 16 8 2 8" xfId="41770" xr:uid="{00000000-0005-0000-0000-0000924D0000}"/>
    <cellStyle name="Normal 16 8 2 9" xfId="25670" xr:uid="{00000000-0005-0000-0000-0000934D0000}"/>
    <cellStyle name="Normal 16 8 3" xfId="681" xr:uid="{00000000-0005-0000-0000-0000944D0000}"/>
    <cellStyle name="Normal 16 8 3 2" xfId="2709" xr:uid="{00000000-0005-0000-0000-0000954D0000}"/>
    <cellStyle name="Normal 16 8 3 2 2" xfId="9241" xr:uid="{00000000-0005-0000-0000-0000964D0000}"/>
    <cellStyle name="Normal 16 8 3 2 2 2" xfId="40982" xr:uid="{00000000-0005-0000-0000-0000974D0000}"/>
    <cellStyle name="Normal 16 8 3 2 2 2 2" xfId="57082" xr:uid="{00000000-0005-0000-0000-0000984D0000}"/>
    <cellStyle name="Normal 16 8 3 2 2 3" xfId="47515" xr:uid="{00000000-0005-0000-0000-0000994D0000}"/>
    <cellStyle name="Normal 16 8 3 2 2 4" xfId="31415" xr:uid="{00000000-0005-0000-0000-00009A4D0000}"/>
    <cellStyle name="Normal 16 8 3 2 2 5" xfId="21846" xr:uid="{00000000-0005-0000-0000-00009B4D0000}"/>
    <cellStyle name="Normal 16 8 3 2 3" xfId="12277" xr:uid="{00000000-0005-0000-0000-00009C4D0000}"/>
    <cellStyle name="Normal 16 8 3 2 3 2" xfId="50551" xr:uid="{00000000-0005-0000-0000-00009D4D0000}"/>
    <cellStyle name="Normal 16 8 3 2 3 3" xfId="34451" xr:uid="{00000000-0005-0000-0000-00009E4D0000}"/>
    <cellStyle name="Normal 16 8 3 2 3 4" xfId="24882" xr:uid="{00000000-0005-0000-0000-00009F4D0000}"/>
    <cellStyle name="Normal 16 8 3 2 4" xfId="6205" xr:uid="{00000000-0005-0000-0000-0000A04D0000}"/>
    <cellStyle name="Normal 16 8 3 2 4 2" xfId="54046" xr:uid="{00000000-0005-0000-0000-0000A14D0000}"/>
    <cellStyle name="Normal 16 8 3 2 4 3" xfId="37946" xr:uid="{00000000-0005-0000-0000-0000A24D0000}"/>
    <cellStyle name="Normal 16 8 3 2 4 4" xfId="18810" xr:uid="{00000000-0005-0000-0000-0000A34D0000}"/>
    <cellStyle name="Normal 16 8 3 2 5" xfId="44479" xr:uid="{00000000-0005-0000-0000-0000A44D0000}"/>
    <cellStyle name="Normal 16 8 3 2 6" xfId="28379" xr:uid="{00000000-0005-0000-0000-0000A54D0000}"/>
    <cellStyle name="Normal 16 8 3 2 7" xfId="15315" xr:uid="{00000000-0005-0000-0000-0000A64D0000}"/>
    <cellStyle name="Normal 16 8 3 3" xfId="1691" xr:uid="{00000000-0005-0000-0000-0000A74D0000}"/>
    <cellStyle name="Normal 16 8 3 3 2" xfId="8225" xr:uid="{00000000-0005-0000-0000-0000A84D0000}"/>
    <cellStyle name="Normal 16 8 3 3 2 2" xfId="39966" xr:uid="{00000000-0005-0000-0000-0000A94D0000}"/>
    <cellStyle name="Normal 16 8 3 3 2 2 2" xfId="56066" xr:uid="{00000000-0005-0000-0000-0000AA4D0000}"/>
    <cellStyle name="Normal 16 8 3 3 2 3" xfId="46499" xr:uid="{00000000-0005-0000-0000-0000AB4D0000}"/>
    <cellStyle name="Normal 16 8 3 3 2 4" xfId="30399" xr:uid="{00000000-0005-0000-0000-0000AC4D0000}"/>
    <cellStyle name="Normal 16 8 3 3 2 5" xfId="20830" xr:uid="{00000000-0005-0000-0000-0000AD4D0000}"/>
    <cellStyle name="Normal 16 8 3 3 3" xfId="11261" xr:uid="{00000000-0005-0000-0000-0000AE4D0000}"/>
    <cellStyle name="Normal 16 8 3 3 3 2" xfId="49535" xr:uid="{00000000-0005-0000-0000-0000AF4D0000}"/>
    <cellStyle name="Normal 16 8 3 3 3 3" xfId="33435" xr:uid="{00000000-0005-0000-0000-0000B04D0000}"/>
    <cellStyle name="Normal 16 8 3 3 3 4" xfId="23866" xr:uid="{00000000-0005-0000-0000-0000B14D0000}"/>
    <cellStyle name="Normal 16 8 3 3 4" xfId="5189" xr:uid="{00000000-0005-0000-0000-0000B24D0000}"/>
    <cellStyle name="Normal 16 8 3 3 4 2" xfId="53030" xr:uid="{00000000-0005-0000-0000-0000B34D0000}"/>
    <cellStyle name="Normal 16 8 3 3 4 3" xfId="36930" xr:uid="{00000000-0005-0000-0000-0000B44D0000}"/>
    <cellStyle name="Normal 16 8 3 3 4 4" xfId="17794" xr:uid="{00000000-0005-0000-0000-0000B54D0000}"/>
    <cellStyle name="Normal 16 8 3 3 5" xfId="43463" xr:uid="{00000000-0005-0000-0000-0000B64D0000}"/>
    <cellStyle name="Normal 16 8 3 3 6" xfId="27363" xr:uid="{00000000-0005-0000-0000-0000B74D0000}"/>
    <cellStyle name="Normal 16 8 3 3 7" xfId="14299" xr:uid="{00000000-0005-0000-0000-0000B84D0000}"/>
    <cellStyle name="Normal 16 8 3 4" xfId="7215" xr:uid="{00000000-0005-0000-0000-0000B94D0000}"/>
    <cellStyle name="Normal 16 8 3 4 2" xfId="38956" xr:uid="{00000000-0005-0000-0000-0000BA4D0000}"/>
    <cellStyle name="Normal 16 8 3 4 2 2" xfId="55056" xr:uid="{00000000-0005-0000-0000-0000BB4D0000}"/>
    <cellStyle name="Normal 16 8 3 4 3" xfId="45489" xr:uid="{00000000-0005-0000-0000-0000BC4D0000}"/>
    <cellStyle name="Normal 16 8 3 4 4" xfId="29389" xr:uid="{00000000-0005-0000-0000-0000BD4D0000}"/>
    <cellStyle name="Normal 16 8 3 4 5" xfId="19820" xr:uid="{00000000-0005-0000-0000-0000BE4D0000}"/>
    <cellStyle name="Normal 16 8 3 5" xfId="10251" xr:uid="{00000000-0005-0000-0000-0000BF4D0000}"/>
    <cellStyle name="Normal 16 8 3 5 2" xfId="48525" xr:uid="{00000000-0005-0000-0000-0000C04D0000}"/>
    <cellStyle name="Normal 16 8 3 5 3" xfId="32425" xr:uid="{00000000-0005-0000-0000-0000C14D0000}"/>
    <cellStyle name="Normal 16 8 3 5 4" xfId="22856" xr:uid="{00000000-0005-0000-0000-0000C24D0000}"/>
    <cellStyle name="Normal 16 8 3 6" xfId="4179" xr:uid="{00000000-0005-0000-0000-0000C34D0000}"/>
    <cellStyle name="Normal 16 8 3 6 2" xfId="52020" xr:uid="{00000000-0005-0000-0000-0000C44D0000}"/>
    <cellStyle name="Normal 16 8 3 6 3" xfId="35920" xr:uid="{00000000-0005-0000-0000-0000C54D0000}"/>
    <cellStyle name="Normal 16 8 3 6 4" xfId="16784" xr:uid="{00000000-0005-0000-0000-0000C64D0000}"/>
    <cellStyle name="Normal 16 8 3 7" xfId="42453" xr:uid="{00000000-0005-0000-0000-0000C74D0000}"/>
    <cellStyle name="Normal 16 8 3 8" xfId="26353" xr:uid="{00000000-0005-0000-0000-0000C84D0000}"/>
    <cellStyle name="Normal 16 8 3 9" xfId="13289" xr:uid="{00000000-0005-0000-0000-0000C94D0000}"/>
    <cellStyle name="Normal 16 8 4" xfId="2481" xr:uid="{00000000-0005-0000-0000-0000CA4D0000}"/>
    <cellStyle name="Normal 16 8 4 2" xfId="9013" xr:uid="{00000000-0005-0000-0000-0000CB4D0000}"/>
    <cellStyle name="Normal 16 8 4 2 2" xfId="40754" xr:uid="{00000000-0005-0000-0000-0000CC4D0000}"/>
    <cellStyle name="Normal 16 8 4 2 2 2" xfId="56854" xr:uid="{00000000-0005-0000-0000-0000CD4D0000}"/>
    <cellStyle name="Normal 16 8 4 2 3" xfId="47287" xr:uid="{00000000-0005-0000-0000-0000CE4D0000}"/>
    <cellStyle name="Normal 16 8 4 2 4" xfId="31187" xr:uid="{00000000-0005-0000-0000-0000CF4D0000}"/>
    <cellStyle name="Normal 16 8 4 2 5" xfId="21618" xr:uid="{00000000-0005-0000-0000-0000D04D0000}"/>
    <cellStyle name="Normal 16 8 4 3" xfId="12049" xr:uid="{00000000-0005-0000-0000-0000D14D0000}"/>
    <cellStyle name="Normal 16 8 4 3 2" xfId="50323" xr:uid="{00000000-0005-0000-0000-0000D24D0000}"/>
    <cellStyle name="Normal 16 8 4 3 3" xfId="34223" xr:uid="{00000000-0005-0000-0000-0000D34D0000}"/>
    <cellStyle name="Normal 16 8 4 3 4" xfId="24654" xr:uid="{00000000-0005-0000-0000-0000D44D0000}"/>
    <cellStyle name="Normal 16 8 4 4" xfId="5977" xr:uid="{00000000-0005-0000-0000-0000D54D0000}"/>
    <cellStyle name="Normal 16 8 4 4 2" xfId="53818" xr:uid="{00000000-0005-0000-0000-0000D64D0000}"/>
    <cellStyle name="Normal 16 8 4 4 3" xfId="37718" xr:uid="{00000000-0005-0000-0000-0000D74D0000}"/>
    <cellStyle name="Normal 16 8 4 4 4" xfId="18582" xr:uid="{00000000-0005-0000-0000-0000D84D0000}"/>
    <cellStyle name="Normal 16 8 4 5" xfId="44251" xr:uid="{00000000-0005-0000-0000-0000D94D0000}"/>
    <cellStyle name="Normal 16 8 4 6" xfId="28151" xr:uid="{00000000-0005-0000-0000-0000DA4D0000}"/>
    <cellStyle name="Normal 16 8 4 7" xfId="15087" xr:uid="{00000000-0005-0000-0000-0000DB4D0000}"/>
    <cellStyle name="Normal 16 8 5" xfId="1230" xr:uid="{00000000-0005-0000-0000-0000DC4D0000}"/>
    <cellStyle name="Normal 16 8 5 2" xfId="7764" xr:uid="{00000000-0005-0000-0000-0000DD4D0000}"/>
    <cellStyle name="Normal 16 8 5 2 2" xfId="39505" xr:uid="{00000000-0005-0000-0000-0000DE4D0000}"/>
    <cellStyle name="Normal 16 8 5 2 2 2" xfId="55605" xr:uid="{00000000-0005-0000-0000-0000DF4D0000}"/>
    <cellStyle name="Normal 16 8 5 2 3" xfId="46038" xr:uid="{00000000-0005-0000-0000-0000E04D0000}"/>
    <cellStyle name="Normal 16 8 5 2 4" xfId="29938" xr:uid="{00000000-0005-0000-0000-0000E14D0000}"/>
    <cellStyle name="Normal 16 8 5 2 5" xfId="20369" xr:uid="{00000000-0005-0000-0000-0000E24D0000}"/>
    <cellStyle name="Normal 16 8 5 3" xfId="10800" xr:uid="{00000000-0005-0000-0000-0000E34D0000}"/>
    <cellStyle name="Normal 16 8 5 3 2" xfId="49074" xr:uid="{00000000-0005-0000-0000-0000E44D0000}"/>
    <cellStyle name="Normal 16 8 5 3 3" xfId="32974" xr:uid="{00000000-0005-0000-0000-0000E54D0000}"/>
    <cellStyle name="Normal 16 8 5 3 4" xfId="23405" xr:uid="{00000000-0005-0000-0000-0000E64D0000}"/>
    <cellStyle name="Normal 16 8 5 4" xfId="4728" xr:uid="{00000000-0005-0000-0000-0000E74D0000}"/>
    <cellStyle name="Normal 16 8 5 4 2" xfId="52569" xr:uid="{00000000-0005-0000-0000-0000E84D0000}"/>
    <cellStyle name="Normal 16 8 5 4 3" xfId="36469" xr:uid="{00000000-0005-0000-0000-0000E94D0000}"/>
    <cellStyle name="Normal 16 8 5 4 4" xfId="17333" xr:uid="{00000000-0005-0000-0000-0000EA4D0000}"/>
    <cellStyle name="Normal 16 8 5 5" xfId="43002" xr:uid="{00000000-0005-0000-0000-0000EB4D0000}"/>
    <cellStyle name="Normal 16 8 5 6" xfId="26902" xr:uid="{00000000-0005-0000-0000-0000EC4D0000}"/>
    <cellStyle name="Normal 16 8 5 7" xfId="13838" xr:uid="{00000000-0005-0000-0000-0000ED4D0000}"/>
    <cellStyle name="Normal 16 8 6" xfId="3718" xr:uid="{00000000-0005-0000-0000-0000EE4D0000}"/>
    <cellStyle name="Normal 16 8 6 2" xfId="35459" xr:uid="{00000000-0005-0000-0000-0000EF4D0000}"/>
    <cellStyle name="Normal 16 8 6 2 2" xfId="51559" xr:uid="{00000000-0005-0000-0000-0000F04D0000}"/>
    <cellStyle name="Normal 16 8 6 3" xfId="41992" xr:uid="{00000000-0005-0000-0000-0000F14D0000}"/>
    <cellStyle name="Normal 16 8 6 4" xfId="25892" xr:uid="{00000000-0005-0000-0000-0000F24D0000}"/>
    <cellStyle name="Normal 16 8 6 5" xfId="16323" xr:uid="{00000000-0005-0000-0000-0000F34D0000}"/>
    <cellStyle name="Normal 16 8 7" xfId="6754" xr:uid="{00000000-0005-0000-0000-0000F44D0000}"/>
    <cellStyle name="Normal 16 8 7 2" xfId="38495" xr:uid="{00000000-0005-0000-0000-0000F54D0000}"/>
    <cellStyle name="Normal 16 8 7 2 2" xfId="54595" xr:uid="{00000000-0005-0000-0000-0000F64D0000}"/>
    <cellStyle name="Normal 16 8 7 3" xfId="45028" xr:uid="{00000000-0005-0000-0000-0000F74D0000}"/>
    <cellStyle name="Normal 16 8 7 4" xfId="28928" xr:uid="{00000000-0005-0000-0000-0000F84D0000}"/>
    <cellStyle name="Normal 16 8 7 5" xfId="19359" xr:uid="{00000000-0005-0000-0000-0000F94D0000}"/>
    <cellStyle name="Normal 16 8 8" xfId="9790" xr:uid="{00000000-0005-0000-0000-0000FA4D0000}"/>
    <cellStyle name="Normal 16 8 8 2" xfId="48064" xr:uid="{00000000-0005-0000-0000-0000FB4D0000}"/>
    <cellStyle name="Normal 16 8 8 3" xfId="31964" xr:uid="{00000000-0005-0000-0000-0000FC4D0000}"/>
    <cellStyle name="Normal 16 8 8 4" xfId="22395" xr:uid="{00000000-0005-0000-0000-0000FD4D0000}"/>
    <cellStyle name="Normal 16 8 9" xfId="3258" xr:uid="{00000000-0005-0000-0000-0000FE4D0000}"/>
    <cellStyle name="Normal 16 8 9 2" xfId="51100" xr:uid="{00000000-0005-0000-0000-0000FF4D0000}"/>
    <cellStyle name="Normal 16 8 9 3" xfId="35000" xr:uid="{00000000-0005-0000-0000-0000004E0000}"/>
    <cellStyle name="Normal 16 8 9 4" xfId="15864" xr:uid="{00000000-0005-0000-0000-0000014E0000}"/>
    <cellStyle name="Normal 16 9" xfId="467" xr:uid="{00000000-0005-0000-0000-0000024E0000}"/>
    <cellStyle name="Normal 16 9 10" xfId="41550" xr:uid="{00000000-0005-0000-0000-0000034E0000}"/>
    <cellStyle name="Normal 16 9 11" xfId="25450" xr:uid="{00000000-0005-0000-0000-0000044E0000}"/>
    <cellStyle name="Normal 16 9 12" xfId="12845" xr:uid="{00000000-0005-0000-0000-0000054E0000}"/>
    <cellStyle name="Normal 16 9 2" xfId="920" xr:uid="{00000000-0005-0000-0000-0000064E0000}"/>
    <cellStyle name="Normal 16 9 2 10" xfId="13528" xr:uid="{00000000-0005-0000-0000-0000074E0000}"/>
    <cellStyle name="Normal 16 9 2 2" xfId="2948" xr:uid="{00000000-0005-0000-0000-0000084E0000}"/>
    <cellStyle name="Normal 16 9 2 2 2" xfId="9480" xr:uid="{00000000-0005-0000-0000-0000094E0000}"/>
    <cellStyle name="Normal 16 9 2 2 2 2" xfId="41221" xr:uid="{00000000-0005-0000-0000-00000A4E0000}"/>
    <cellStyle name="Normal 16 9 2 2 2 2 2" xfId="57321" xr:uid="{00000000-0005-0000-0000-00000B4E0000}"/>
    <cellStyle name="Normal 16 9 2 2 2 3" xfId="47754" xr:uid="{00000000-0005-0000-0000-00000C4E0000}"/>
    <cellStyle name="Normal 16 9 2 2 2 4" xfId="31654" xr:uid="{00000000-0005-0000-0000-00000D4E0000}"/>
    <cellStyle name="Normal 16 9 2 2 2 5" xfId="22085" xr:uid="{00000000-0005-0000-0000-00000E4E0000}"/>
    <cellStyle name="Normal 16 9 2 2 3" xfId="12516" xr:uid="{00000000-0005-0000-0000-00000F4E0000}"/>
    <cellStyle name="Normal 16 9 2 2 3 2" xfId="50790" xr:uid="{00000000-0005-0000-0000-0000104E0000}"/>
    <cellStyle name="Normal 16 9 2 2 3 3" xfId="34690" xr:uid="{00000000-0005-0000-0000-0000114E0000}"/>
    <cellStyle name="Normal 16 9 2 2 3 4" xfId="25121" xr:uid="{00000000-0005-0000-0000-0000124E0000}"/>
    <cellStyle name="Normal 16 9 2 2 4" xfId="6444" xr:uid="{00000000-0005-0000-0000-0000134E0000}"/>
    <cellStyle name="Normal 16 9 2 2 4 2" xfId="54285" xr:uid="{00000000-0005-0000-0000-0000144E0000}"/>
    <cellStyle name="Normal 16 9 2 2 4 3" xfId="38185" xr:uid="{00000000-0005-0000-0000-0000154E0000}"/>
    <cellStyle name="Normal 16 9 2 2 4 4" xfId="19049" xr:uid="{00000000-0005-0000-0000-0000164E0000}"/>
    <cellStyle name="Normal 16 9 2 2 5" xfId="44718" xr:uid="{00000000-0005-0000-0000-0000174E0000}"/>
    <cellStyle name="Normal 16 9 2 2 6" xfId="28618" xr:uid="{00000000-0005-0000-0000-0000184E0000}"/>
    <cellStyle name="Normal 16 9 2 2 7" xfId="15554" xr:uid="{00000000-0005-0000-0000-0000194E0000}"/>
    <cellStyle name="Normal 16 9 2 3" xfId="1930" xr:uid="{00000000-0005-0000-0000-00001A4E0000}"/>
    <cellStyle name="Normal 16 9 2 3 2" xfId="8464" xr:uid="{00000000-0005-0000-0000-00001B4E0000}"/>
    <cellStyle name="Normal 16 9 2 3 2 2" xfId="40205" xr:uid="{00000000-0005-0000-0000-00001C4E0000}"/>
    <cellStyle name="Normal 16 9 2 3 2 2 2" xfId="56305" xr:uid="{00000000-0005-0000-0000-00001D4E0000}"/>
    <cellStyle name="Normal 16 9 2 3 2 3" xfId="46738" xr:uid="{00000000-0005-0000-0000-00001E4E0000}"/>
    <cellStyle name="Normal 16 9 2 3 2 4" xfId="30638" xr:uid="{00000000-0005-0000-0000-00001F4E0000}"/>
    <cellStyle name="Normal 16 9 2 3 2 5" xfId="21069" xr:uid="{00000000-0005-0000-0000-0000204E0000}"/>
    <cellStyle name="Normal 16 9 2 3 3" xfId="11500" xr:uid="{00000000-0005-0000-0000-0000214E0000}"/>
    <cellStyle name="Normal 16 9 2 3 3 2" xfId="49774" xr:uid="{00000000-0005-0000-0000-0000224E0000}"/>
    <cellStyle name="Normal 16 9 2 3 3 3" xfId="33674" xr:uid="{00000000-0005-0000-0000-0000234E0000}"/>
    <cellStyle name="Normal 16 9 2 3 3 4" xfId="24105" xr:uid="{00000000-0005-0000-0000-0000244E0000}"/>
    <cellStyle name="Normal 16 9 2 3 4" xfId="5428" xr:uid="{00000000-0005-0000-0000-0000254E0000}"/>
    <cellStyle name="Normal 16 9 2 3 4 2" xfId="53269" xr:uid="{00000000-0005-0000-0000-0000264E0000}"/>
    <cellStyle name="Normal 16 9 2 3 4 3" xfId="37169" xr:uid="{00000000-0005-0000-0000-0000274E0000}"/>
    <cellStyle name="Normal 16 9 2 3 4 4" xfId="18033" xr:uid="{00000000-0005-0000-0000-0000284E0000}"/>
    <cellStyle name="Normal 16 9 2 3 5" xfId="43702" xr:uid="{00000000-0005-0000-0000-0000294E0000}"/>
    <cellStyle name="Normal 16 9 2 3 6" xfId="27602" xr:uid="{00000000-0005-0000-0000-00002A4E0000}"/>
    <cellStyle name="Normal 16 9 2 3 7" xfId="14538" xr:uid="{00000000-0005-0000-0000-00002B4E0000}"/>
    <cellStyle name="Normal 16 9 2 4" xfId="4418" xr:uid="{00000000-0005-0000-0000-00002C4E0000}"/>
    <cellStyle name="Normal 16 9 2 4 2" xfId="36159" xr:uid="{00000000-0005-0000-0000-00002D4E0000}"/>
    <cellStyle name="Normal 16 9 2 4 2 2" xfId="52259" xr:uid="{00000000-0005-0000-0000-00002E4E0000}"/>
    <cellStyle name="Normal 16 9 2 4 3" xfId="42692" xr:uid="{00000000-0005-0000-0000-00002F4E0000}"/>
    <cellStyle name="Normal 16 9 2 4 4" xfId="26592" xr:uid="{00000000-0005-0000-0000-0000304E0000}"/>
    <cellStyle name="Normal 16 9 2 4 5" xfId="17023" xr:uid="{00000000-0005-0000-0000-0000314E0000}"/>
    <cellStyle name="Normal 16 9 2 5" xfId="7454" xr:uid="{00000000-0005-0000-0000-0000324E0000}"/>
    <cellStyle name="Normal 16 9 2 5 2" xfId="39195" xr:uid="{00000000-0005-0000-0000-0000334E0000}"/>
    <cellStyle name="Normal 16 9 2 5 2 2" xfId="55295" xr:uid="{00000000-0005-0000-0000-0000344E0000}"/>
    <cellStyle name="Normal 16 9 2 5 3" xfId="45728" xr:uid="{00000000-0005-0000-0000-0000354E0000}"/>
    <cellStyle name="Normal 16 9 2 5 4" xfId="29628" xr:uid="{00000000-0005-0000-0000-0000364E0000}"/>
    <cellStyle name="Normal 16 9 2 5 5" xfId="20059" xr:uid="{00000000-0005-0000-0000-0000374E0000}"/>
    <cellStyle name="Normal 16 9 2 6" xfId="10490" xr:uid="{00000000-0005-0000-0000-0000384E0000}"/>
    <cellStyle name="Normal 16 9 2 6 2" xfId="48764" xr:uid="{00000000-0005-0000-0000-0000394E0000}"/>
    <cellStyle name="Normal 16 9 2 6 3" xfId="32664" xr:uid="{00000000-0005-0000-0000-00003A4E0000}"/>
    <cellStyle name="Normal 16 9 2 6 4" xfId="23095" xr:uid="{00000000-0005-0000-0000-00003B4E0000}"/>
    <cellStyle name="Normal 16 9 2 7" xfId="3513" xr:uid="{00000000-0005-0000-0000-00003C4E0000}"/>
    <cellStyle name="Normal 16 9 2 7 2" xfId="51354" xr:uid="{00000000-0005-0000-0000-00003D4E0000}"/>
    <cellStyle name="Normal 16 9 2 7 3" xfId="35254" xr:uid="{00000000-0005-0000-0000-00003E4E0000}"/>
    <cellStyle name="Normal 16 9 2 7 4" xfId="16118" xr:uid="{00000000-0005-0000-0000-00003F4E0000}"/>
    <cellStyle name="Normal 16 9 2 8" xfId="41787" xr:uid="{00000000-0005-0000-0000-0000404E0000}"/>
    <cellStyle name="Normal 16 9 2 9" xfId="25687" xr:uid="{00000000-0005-0000-0000-0000414E0000}"/>
    <cellStyle name="Normal 16 9 3" xfId="698" xr:uid="{00000000-0005-0000-0000-0000424E0000}"/>
    <cellStyle name="Normal 16 9 3 2" xfId="2726" xr:uid="{00000000-0005-0000-0000-0000434E0000}"/>
    <cellStyle name="Normal 16 9 3 2 2" xfId="9258" xr:uid="{00000000-0005-0000-0000-0000444E0000}"/>
    <cellStyle name="Normal 16 9 3 2 2 2" xfId="40999" xr:uid="{00000000-0005-0000-0000-0000454E0000}"/>
    <cellStyle name="Normal 16 9 3 2 2 2 2" xfId="57099" xr:uid="{00000000-0005-0000-0000-0000464E0000}"/>
    <cellStyle name="Normal 16 9 3 2 2 3" xfId="47532" xr:uid="{00000000-0005-0000-0000-0000474E0000}"/>
    <cellStyle name="Normal 16 9 3 2 2 4" xfId="31432" xr:uid="{00000000-0005-0000-0000-0000484E0000}"/>
    <cellStyle name="Normal 16 9 3 2 2 5" xfId="21863" xr:uid="{00000000-0005-0000-0000-0000494E0000}"/>
    <cellStyle name="Normal 16 9 3 2 3" xfId="12294" xr:uid="{00000000-0005-0000-0000-00004A4E0000}"/>
    <cellStyle name="Normal 16 9 3 2 3 2" xfId="50568" xr:uid="{00000000-0005-0000-0000-00004B4E0000}"/>
    <cellStyle name="Normal 16 9 3 2 3 3" xfId="34468" xr:uid="{00000000-0005-0000-0000-00004C4E0000}"/>
    <cellStyle name="Normal 16 9 3 2 3 4" xfId="24899" xr:uid="{00000000-0005-0000-0000-00004D4E0000}"/>
    <cellStyle name="Normal 16 9 3 2 4" xfId="6222" xr:uid="{00000000-0005-0000-0000-00004E4E0000}"/>
    <cellStyle name="Normal 16 9 3 2 4 2" xfId="54063" xr:uid="{00000000-0005-0000-0000-00004F4E0000}"/>
    <cellStyle name="Normal 16 9 3 2 4 3" xfId="37963" xr:uid="{00000000-0005-0000-0000-0000504E0000}"/>
    <cellStyle name="Normal 16 9 3 2 4 4" xfId="18827" xr:uid="{00000000-0005-0000-0000-0000514E0000}"/>
    <cellStyle name="Normal 16 9 3 2 5" xfId="44496" xr:uid="{00000000-0005-0000-0000-0000524E0000}"/>
    <cellStyle name="Normal 16 9 3 2 6" xfId="28396" xr:uid="{00000000-0005-0000-0000-0000534E0000}"/>
    <cellStyle name="Normal 16 9 3 2 7" xfId="15332" xr:uid="{00000000-0005-0000-0000-0000544E0000}"/>
    <cellStyle name="Normal 16 9 3 3" xfId="1708" xr:uid="{00000000-0005-0000-0000-0000554E0000}"/>
    <cellStyle name="Normal 16 9 3 3 2" xfId="8242" xr:uid="{00000000-0005-0000-0000-0000564E0000}"/>
    <cellStyle name="Normal 16 9 3 3 2 2" xfId="39983" xr:uid="{00000000-0005-0000-0000-0000574E0000}"/>
    <cellStyle name="Normal 16 9 3 3 2 2 2" xfId="56083" xr:uid="{00000000-0005-0000-0000-0000584E0000}"/>
    <cellStyle name="Normal 16 9 3 3 2 3" xfId="46516" xr:uid="{00000000-0005-0000-0000-0000594E0000}"/>
    <cellStyle name="Normal 16 9 3 3 2 4" xfId="30416" xr:uid="{00000000-0005-0000-0000-00005A4E0000}"/>
    <cellStyle name="Normal 16 9 3 3 2 5" xfId="20847" xr:uid="{00000000-0005-0000-0000-00005B4E0000}"/>
    <cellStyle name="Normal 16 9 3 3 3" xfId="11278" xr:uid="{00000000-0005-0000-0000-00005C4E0000}"/>
    <cellStyle name="Normal 16 9 3 3 3 2" xfId="49552" xr:uid="{00000000-0005-0000-0000-00005D4E0000}"/>
    <cellStyle name="Normal 16 9 3 3 3 3" xfId="33452" xr:uid="{00000000-0005-0000-0000-00005E4E0000}"/>
    <cellStyle name="Normal 16 9 3 3 3 4" xfId="23883" xr:uid="{00000000-0005-0000-0000-00005F4E0000}"/>
    <cellStyle name="Normal 16 9 3 3 4" xfId="5206" xr:uid="{00000000-0005-0000-0000-0000604E0000}"/>
    <cellStyle name="Normal 16 9 3 3 4 2" xfId="53047" xr:uid="{00000000-0005-0000-0000-0000614E0000}"/>
    <cellStyle name="Normal 16 9 3 3 4 3" xfId="36947" xr:uid="{00000000-0005-0000-0000-0000624E0000}"/>
    <cellStyle name="Normal 16 9 3 3 4 4" xfId="17811" xr:uid="{00000000-0005-0000-0000-0000634E0000}"/>
    <cellStyle name="Normal 16 9 3 3 5" xfId="43480" xr:uid="{00000000-0005-0000-0000-0000644E0000}"/>
    <cellStyle name="Normal 16 9 3 3 6" xfId="27380" xr:uid="{00000000-0005-0000-0000-0000654E0000}"/>
    <cellStyle name="Normal 16 9 3 3 7" xfId="14316" xr:uid="{00000000-0005-0000-0000-0000664E0000}"/>
    <cellStyle name="Normal 16 9 3 4" xfId="7232" xr:uid="{00000000-0005-0000-0000-0000674E0000}"/>
    <cellStyle name="Normal 16 9 3 4 2" xfId="38973" xr:uid="{00000000-0005-0000-0000-0000684E0000}"/>
    <cellStyle name="Normal 16 9 3 4 2 2" xfId="55073" xr:uid="{00000000-0005-0000-0000-0000694E0000}"/>
    <cellStyle name="Normal 16 9 3 4 3" xfId="45506" xr:uid="{00000000-0005-0000-0000-00006A4E0000}"/>
    <cellStyle name="Normal 16 9 3 4 4" xfId="29406" xr:uid="{00000000-0005-0000-0000-00006B4E0000}"/>
    <cellStyle name="Normal 16 9 3 4 5" xfId="19837" xr:uid="{00000000-0005-0000-0000-00006C4E0000}"/>
    <cellStyle name="Normal 16 9 3 5" xfId="10268" xr:uid="{00000000-0005-0000-0000-00006D4E0000}"/>
    <cellStyle name="Normal 16 9 3 5 2" xfId="48542" xr:uid="{00000000-0005-0000-0000-00006E4E0000}"/>
    <cellStyle name="Normal 16 9 3 5 3" xfId="32442" xr:uid="{00000000-0005-0000-0000-00006F4E0000}"/>
    <cellStyle name="Normal 16 9 3 5 4" xfId="22873" xr:uid="{00000000-0005-0000-0000-0000704E0000}"/>
    <cellStyle name="Normal 16 9 3 6" xfId="4196" xr:uid="{00000000-0005-0000-0000-0000714E0000}"/>
    <cellStyle name="Normal 16 9 3 6 2" xfId="52037" xr:uid="{00000000-0005-0000-0000-0000724E0000}"/>
    <cellStyle name="Normal 16 9 3 6 3" xfId="35937" xr:uid="{00000000-0005-0000-0000-0000734E0000}"/>
    <cellStyle name="Normal 16 9 3 6 4" xfId="16801" xr:uid="{00000000-0005-0000-0000-0000744E0000}"/>
    <cellStyle name="Normal 16 9 3 7" xfId="42470" xr:uid="{00000000-0005-0000-0000-0000754E0000}"/>
    <cellStyle name="Normal 16 9 3 8" xfId="26370" xr:uid="{00000000-0005-0000-0000-0000764E0000}"/>
    <cellStyle name="Normal 16 9 3 9" xfId="13306" xr:uid="{00000000-0005-0000-0000-0000774E0000}"/>
    <cellStyle name="Normal 16 9 4" xfId="2498" xr:uid="{00000000-0005-0000-0000-0000784E0000}"/>
    <cellStyle name="Normal 16 9 4 2" xfId="9030" xr:uid="{00000000-0005-0000-0000-0000794E0000}"/>
    <cellStyle name="Normal 16 9 4 2 2" xfId="40771" xr:uid="{00000000-0005-0000-0000-00007A4E0000}"/>
    <cellStyle name="Normal 16 9 4 2 2 2" xfId="56871" xr:uid="{00000000-0005-0000-0000-00007B4E0000}"/>
    <cellStyle name="Normal 16 9 4 2 3" xfId="47304" xr:uid="{00000000-0005-0000-0000-00007C4E0000}"/>
    <cellStyle name="Normal 16 9 4 2 4" xfId="31204" xr:uid="{00000000-0005-0000-0000-00007D4E0000}"/>
    <cellStyle name="Normal 16 9 4 2 5" xfId="21635" xr:uid="{00000000-0005-0000-0000-00007E4E0000}"/>
    <cellStyle name="Normal 16 9 4 3" xfId="12066" xr:uid="{00000000-0005-0000-0000-00007F4E0000}"/>
    <cellStyle name="Normal 16 9 4 3 2" xfId="50340" xr:uid="{00000000-0005-0000-0000-0000804E0000}"/>
    <cellStyle name="Normal 16 9 4 3 3" xfId="34240" xr:uid="{00000000-0005-0000-0000-0000814E0000}"/>
    <cellStyle name="Normal 16 9 4 3 4" xfId="24671" xr:uid="{00000000-0005-0000-0000-0000824E0000}"/>
    <cellStyle name="Normal 16 9 4 4" xfId="5994" xr:uid="{00000000-0005-0000-0000-0000834E0000}"/>
    <cellStyle name="Normal 16 9 4 4 2" xfId="53835" xr:uid="{00000000-0005-0000-0000-0000844E0000}"/>
    <cellStyle name="Normal 16 9 4 4 3" xfId="37735" xr:uid="{00000000-0005-0000-0000-0000854E0000}"/>
    <cellStyle name="Normal 16 9 4 4 4" xfId="18599" xr:uid="{00000000-0005-0000-0000-0000864E0000}"/>
    <cellStyle name="Normal 16 9 4 5" xfId="44268" xr:uid="{00000000-0005-0000-0000-0000874E0000}"/>
    <cellStyle name="Normal 16 9 4 6" xfId="28168" xr:uid="{00000000-0005-0000-0000-0000884E0000}"/>
    <cellStyle name="Normal 16 9 4 7" xfId="15104" xr:uid="{00000000-0005-0000-0000-0000894E0000}"/>
    <cellStyle name="Normal 16 9 5" xfId="1247" xr:uid="{00000000-0005-0000-0000-00008A4E0000}"/>
    <cellStyle name="Normal 16 9 5 2" xfId="7781" xr:uid="{00000000-0005-0000-0000-00008B4E0000}"/>
    <cellStyle name="Normal 16 9 5 2 2" xfId="39522" xr:uid="{00000000-0005-0000-0000-00008C4E0000}"/>
    <cellStyle name="Normal 16 9 5 2 2 2" xfId="55622" xr:uid="{00000000-0005-0000-0000-00008D4E0000}"/>
    <cellStyle name="Normal 16 9 5 2 3" xfId="46055" xr:uid="{00000000-0005-0000-0000-00008E4E0000}"/>
    <cellStyle name="Normal 16 9 5 2 4" xfId="29955" xr:uid="{00000000-0005-0000-0000-00008F4E0000}"/>
    <cellStyle name="Normal 16 9 5 2 5" xfId="20386" xr:uid="{00000000-0005-0000-0000-0000904E0000}"/>
    <cellStyle name="Normal 16 9 5 3" xfId="10817" xr:uid="{00000000-0005-0000-0000-0000914E0000}"/>
    <cellStyle name="Normal 16 9 5 3 2" xfId="49091" xr:uid="{00000000-0005-0000-0000-0000924E0000}"/>
    <cellStyle name="Normal 16 9 5 3 3" xfId="32991" xr:uid="{00000000-0005-0000-0000-0000934E0000}"/>
    <cellStyle name="Normal 16 9 5 3 4" xfId="23422" xr:uid="{00000000-0005-0000-0000-0000944E0000}"/>
    <cellStyle name="Normal 16 9 5 4" xfId="4745" xr:uid="{00000000-0005-0000-0000-0000954E0000}"/>
    <cellStyle name="Normal 16 9 5 4 2" xfId="52586" xr:uid="{00000000-0005-0000-0000-0000964E0000}"/>
    <cellStyle name="Normal 16 9 5 4 3" xfId="36486" xr:uid="{00000000-0005-0000-0000-0000974E0000}"/>
    <cellStyle name="Normal 16 9 5 4 4" xfId="17350" xr:uid="{00000000-0005-0000-0000-0000984E0000}"/>
    <cellStyle name="Normal 16 9 5 5" xfId="43019" xr:uid="{00000000-0005-0000-0000-0000994E0000}"/>
    <cellStyle name="Normal 16 9 5 6" xfId="26919" xr:uid="{00000000-0005-0000-0000-00009A4E0000}"/>
    <cellStyle name="Normal 16 9 5 7" xfId="13855" xr:uid="{00000000-0005-0000-0000-00009B4E0000}"/>
    <cellStyle name="Normal 16 9 6" xfId="3735" xr:uid="{00000000-0005-0000-0000-00009C4E0000}"/>
    <cellStyle name="Normal 16 9 6 2" xfId="35476" xr:uid="{00000000-0005-0000-0000-00009D4E0000}"/>
    <cellStyle name="Normal 16 9 6 2 2" xfId="51576" xr:uid="{00000000-0005-0000-0000-00009E4E0000}"/>
    <cellStyle name="Normal 16 9 6 3" xfId="42009" xr:uid="{00000000-0005-0000-0000-00009F4E0000}"/>
    <cellStyle name="Normal 16 9 6 4" xfId="25909" xr:uid="{00000000-0005-0000-0000-0000A04E0000}"/>
    <cellStyle name="Normal 16 9 6 5" xfId="16340" xr:uid="{00000000-0005-0000-0000-0000A14E0000}"/>
    <cellStyle name="Normal 16 9 7" xfId="6771" xr:uid="{00000000-0005-0000-0000-0000A24E0000}"/>
    <cellStyle name="Normal 16 9 7 2" xfId="38512" xr:uid="{00000000-0005-0000-0000-0000A34E0000}"/>
    <cellStyle name="Normal 16 9 7 2 2" xfId="54612" xr:uid="{00000000-0005-0000-0000-0000A44E0000}"/>
    <cellStyle name="Normal 16 9 7 3" xfId="45045" xr:uid="{00000000-0005-0000-0000-0000A54E0000}"/>
    <cellStyle name="Normal 16 9 7 4" xfId="28945" xr:uid="{00000000-0005-0000-0000-0000A64E0000}"/>
    <cellStyle name="Normal 16 9 7 5" xfId="19376" xr:uid="{00000000-0005-0000-0000-0000A74E0000}"/>
    <cellStyle name="Normal 16 9 8" xfId="9807" xr:uid="{00000000-0005-0000-0000-0000A84E0000}"/>
    <cellStyle name="Normal 16 9 8 2" xfId="48081" xr:uid="{00000000-0005-0000-0000-0000A94E0000}"/>
    <cellStyle name="Normal 16 9 8 3" xfId="31981" xr:uid="{00000000-0005-0000-0000-0000AA4E0000}"/>
    <cellStyle name="Normal 16 9 8 4" xfId="22412" xr:uid="{00000000-0005-0000-0000-0000AB4E0000}"/>
    <cellStyle name="Normal 16 9 9" xfId="3275" xr:uid="{00000000-0005-0000-0000-0000AC4E0000}"/>
    <cellStyle name="Normal 16 9 9 2" xfId="51117" xr:uid="{00000000-0005-0000-0000-0000AD4E0000}"/>
    <cellStyle name="Normal 16 9 9 3" xfId="35017" xr:uid="{00000000-0005-0000-0000-0000AE4E0000}"/>
    <cellStyle name="Normal 16 9 9 4" xfId="15881" xr:uid="{00000000-0005-0000-0000-0000AF4E0000}"/>
    <cellStyle name="Normal 17" xfId="23" xr:uid="{00000000-0005-0000-0000-0000B04E0000}"/>
    <cellStyle name="Normal 17 10" xfId="485" xr:uid="{00000000-0005-0000-0000-0000B14E0000}"/>
    <cellStyle name="Normal 17 10 10" xfId="41568" xr:uid="{00000000-0005-0000-0000-0000B24E0000}"/>
    <cellStyle name="Normal 17 10 11" xfId="25468" xr:uid="{00000000-0005-0000-0000-0000B34E0000}"/>
    <cellStyle name="Normal 17 10 12" xfId="12863" xr:uid="{00000000-0005-0000-0000-0000B44E0000}"/>
    <cellStyle name="Normal 17 10 2" xfId="938" xr:uid="{00000000-0005-0000-0000-0000B54E0000}"/>
    <cellStyle name="Normal 17 10 2 10" xfId="13546" xr:uid="{00000000-0005-0000-0000-0000B64E0000}"/>
    <cellStyle name="Normal 17 10 2 2" xfId="2966" xr:uid="{00000000-0005-0000-0000-0000B74E0000}"/>
    <cellStyle name="Normal 17 10 2 2 2" xfId="9498" xr:uid="{00000000-0005-0000-0000-0000B84E0000}"/>
    <cellStyle name="Normal 17 10 2 2 2 2" xfId="41239" xr:uid="{00000000-0005-0000-0000-0000B94E0000}"/>
    <cellStyle name="Normal 17 10 2 2 2 2 2" xfId="57339" xr:uid="{00000000-0005-0000-0000-0000BA4E0000}"/>
    <cellStyle name="Normal 17 10 2 2 2 3" xfId="47772" xr:uid="{00000000-0005-0000-0000-0000BB4E0000}"/>
    <cellStyle name="Normal 17 10 2 2 2 4" xfId="31672" xr:uid="{00000000-0005-0000-0000-0000BC4E0000}"/>
    <cellStyle name="Normal 17 10 2 2 2 5" xfId="22103" xr:uid="{00000000-0005-0000-0000-0000BD4E0000}"/>
    <cellStyle name="Normal 17 10 2 2 3" xfId="12534" xr:uid="{00000000-0005-0000-0000-0000BE4E0000}"/>
    <cellStyle name="Normal 17 10 2 2 3 2" xfId="50808" xr:uid="{00000000-0005-0000-0000-0000BF4E0000}"/>
    <cellStyle name="Normal 17 10 2 2 3 3" xfId="34708" xr:uid="{00000000-0005-0000-0000-0000C04E0000}"/>
    <cellStyle name="Normal 17 10 2 2 3 4" xfId="25139" xr:uid="{00000000-0005-0000-0000-0000C14E0000}"/>
    <cellStyle name="Normal 17 10 2 2 4" xfId="6462" xr:uid="{00000000-0005-0000-0000-0000C24E0000}"/>
    <cellStyle name="Normal 17 10 2 2 4 2" xfId="54303" xr:uid="{00000000-0005-0000-0000-0000C34E0000}"/>
    <cellStyle name="Normal 17 10 2 2 4 3" xfId="38203" xr:uid="{00000000-0005-0000-0000-0000C44E0000}"/>
    <cellStyle name="Normal 17 10 2 2 4 4" xfId="19067" xr:uid="{00000000-0005-0000-0000-0000C54E0000}"/>
    <cellStyle name="Normal 17 10 2 2 5" xfId="44736" xr:uid="{00000000-0005-0000-0000-0000C64E0000}"/>
    <cellStyle name="Normal 17 10 2 2 6" xfId="28636" xr:uid="{00000000-0005-0000-0000-0000C74E0000}"/>
    <cellStyle name="Normal 17 10 2 2 7" xfId="15572" xr:uid="{00000000-0005-0000-0000-0000C84E0000}"/>
    <cellStyle name="Normal 17 10 2 3" xfId="1948" xr:uid="{00000000-0005-0000-0000-0000C94E0000}"/>
    <cellStyle name="Normal 17 10 2 3 2" xfId="8482" xr:uid="{00000000-0005-0000-0000-0000CA4E0000}"/>
    <cellStyle name="Normal 17 10 2 3 2 2" xfId="40223" xr:uid="{00000000-0005-0000-0000-0000CB4E0000}"/>
    <cellStyle name="Normal 17 10 2 3 2 2 2" xfId="56323" xr:uid="{00000000-0005-0000-0000-0000CC4E0000}"/>
    <cellStyle name="Normal 17 10 2 3 2 3" xfId="46756" xr:uid="{00000000-0005-0000-0000-0000CD4E0000}"/>
    <cellStyle name="Normal 17 10 2 3 2 4" xfId="30656" xr:uid="{00000000-0005-0000-0000-0000CE4E0000}"/>
    <cellStyle name="Normal 17 10 2 3 2 5" xfId="21087" xr:uid="{00000000-0005-0000-0000-0000CF4E0000}"/>
    <cellStyle name="Normal 17 10 2 3 3" xfId="11518" xr:uid="{00000000-0005-0000-0000-0000D04E0000}"/>
    <cellStyle name="Normal 17 10 2 3 3 2" xfId="49792" xr:uid="{00000000-0005-0000-0000-0000D14E0000}"/>
    <cellStyle name="Normal 17 10 2 3 3 3" xfId="33692" xr:uid="{00000000-0005-0000-0000-0000D24E0000}"/>
    <cellStyle name="Normal 17 10 2 3 3 4" xfId="24123" xr:uid="{00000000-0005-0000-0000-0000D34E0000}"/>
    <cellStyle name="Normal 17 10 2 3 4" xfId="5446" xr:uid="{00000000-0005-0000-0000-0000D44E0000}"/>
    <cellStyle name="Normal 17 10 2 3 4 2" xfId="53287" xr:uid="{00000000-0005-0000-0000-0000D54E0000}"/>
    <cellStyle name="Normal 17 10 2 3 4 3" xfId="37187" xr:uid="{00000000-0005-0000-0000-0000D64E0000}"/>
    <cellStyle name="Normal 17 10 2 3 4 4" xfId="18051" xr:uid="{00000000-0005-0000-0000-0000D74E0000}"/>
    <cellStyle name="Normal 17 10 2 3 5" xfId="43720" xr:uid="{00000000-0005-0000-0000-0000D84E0000}"/>
    <cellStyle name="Normal 17 10 2 3 6" xfId="27620" xr:uid="{00000000-0005-0000-0000-0000D94E0000}"/>
    <cellStyle name="Normal 17 10 2 3 7" xfId="14556" xr:uid="{00000000-0005-0000-0000-0000DA4E0000}"/>
    <cellStyle name="Normal 17 10 2 4" xfId="4436" xr:uid="{00000000-0005-0000-0000-0000DB4E0000}"/>
    <cellStyle name="Normal 17 10 2 4 2" xfId="36177" xr:uid="{00000000-0005-0000-0000-0000DC4E0000}"/>
    <cellStyle name="Normal 17 10 2 4 2 2" xfId="52277" xr:uid="{00000000-0005-0000-0000-0000DD4E0000}"/>
    <cellStyle name="Normal 17 10 2 4 3" xfId="42710" xr:uid="{00000000-0005-0000-0000-0000DE4E0000}"/>
    <cellStyle name="Normal 17 10 2 4 4" xfId="26610" xr:uid="{00000000-0005-0000-0000-0000DF4E0000}"/>
    <cellStyle name="Normal 17 10 2 4 5" xfId="17041" xr:uid="{00000000-0005-0000-0000-0000E04E0000}"/>
    <cellStyle name="Normal 17 10 2 5" xfId="7472" xr:uid="{00000000-0005-0000-0000-0000E14E0000}"/>
    <cellStyle name="Normal 17 10 2 5 2" xfId="39213" xr:uid="{00000000-0005-0000-0000-0000E24E0000}"/>
    <cellStyle name="Normal 17 10 2 5 2 2" xfId="55313" xr:uid="{00000000-0005-0000-0000-0000E34E0000}"/>
    <cellStyle name="Normal 17 10 2 5 3" xfId="45746" xr:uid="{00000000-0005-0000-0000-0000E44E0000}"/>
    <cellStyle name="Normal 17 10 2 5 4" xfId="29646" xr:uid="{00000000-0005-0000-0000-0000E54E0000}"/>
    <cellStyle name="Normal 17 10 2 5 5" xfId="20077" xr:uid="{00000000-0005-0000-0000-0000E64E0000}"/>
    <cellStyle name="Normal 17 10 2 6" xfId="10508" xr:uid="{00000000-0005-0000-0000-0000E74E0000}"/>
    <cellStyle name="Normal 17 10 2 6 2" xfId="48782" xr:uid="{00000000-0005-0000-0000-0000E84E0000}"/>
    <cellStyle name="Normal 17 10 2 6 3" xfId="32682" xr:uid="{00000000-0005-0000-0000-0000E94E0000}"/>
    <cellStyle name="Normal 17 10 2 6 4" xfId="23113" xr:uid="{00000000-0005-0000-0000-0000EA4E0000}"/>
    <cellStyle name="Normal 17 10 2 7" xfId="3531" xr:uid="{00000000-0005-0000-0000-0000EB4E0000}"/>
    <cellStyle name="Normal 17 10 2 7 2" xfId="51372" xr:uid="{00000000-0005-0000-0000-0000EC4E0000}"/>
    <cellStyle name="Normal 17 10 2 7 3" xfId="35272" xr:uid="{00000000-0005-0000-0000-0000ED4E0000}"/>
    <cellStyle name="Normal 17 10 2 7 4" xfId="16136" xr:uid="{00000000-0005-0000-0000-0000EE4E0000}"/>
    <cellStyle name="Normal 17 10 2 8" xfId="41805" xr:uid="{00000000-0005-0000-0000-0000EF4E0000}"/>
    <cellStyle name="Normal 17 10 2 9" xfId="25705" xr:uid="{00000000-0005-0000-0000-0000F04E0000}"/>
    <cellStyle name="Normal 17 10 3" xfId="716" xr:uid="{00000000-0005-0000-0000-0000F14E0000}"/>
    <cellStyle name="Normal 17 10 3 2" xfId="2744" xr:uid="{00000000-0005-0000-0000-0000F24E0000}"/>
    <cellStyle name="Normal 17 10 3 2 2" xfId="9276" xr:uid="{00000000-0005-0000-0000-0000F34E0000}"/>
    <cellStyle name="Normal 17 10 3 2 2 2" xfId="41017" xr:uid="{00000000-0005-0000-0000-0000F44E0000}"/>
    <cellStyle name="Normal 17 10 3 2 2 2 2" xfId="57117" xr:uid="{00000000-0005-0000-0000-0000F54E0000}"/>
    <cellStyle name="Normal 17 10 3 2 2 3" xfId="47550" xr:uid="{00000000-0005-0000-0000-0000F64E0000}"/>
    <cellStyle name="Normal 17 10 3 2 2 4" xfId="31450" xr:uid="{00000000-0005-0000-0000-0000F74E0000}"/>
    <cellStyle name="Normal 17 10 3 2 2 5" xfId="21881" xr:uid="{00000000-0005-0000-0000-0000F84E0000}"/>
    <cellStyle name="Normal 17 10 3 2 3" xfId="12312" xr:uid="{00000000-0005-0000-0000-0000F94E0000}"/>
    <cellStyle name="Normal 17 10 3 2 3 2" xfId="50586" xr:uid="{00000000-0005-0000-0000-0000FA4E0000}"/>
    <cellStyle name="Normal 17 10 3 2 3 3" xfId="34486" xr:uid="{00000000-0005-0000-0000-0000FB4E0000}"/>
    <cellStyle name="Normal 17 10 3 2 3 4" xfId="24917" xr:uid="{00000000-0005-0000-0000-0000FC4E0000}"/>
    <cellStyle name="Normal 17 10 3 2 4" xfId="6240" xr:uid="{00000000-0005-0000-0000-0000FD4E0000}"/>
    <cellStyle name="Normal 17 10 3 2 4 2" xfId="54081" xr:uid="{00000000-0005-0000-0000-0000FE4E0000}"/>
    <cellStyle name="Normal 17 10 3 2 4 3" xfId="37981" xr:uid="{00000000-0005-0000-0000-0000FF4E0000}"/>
    <cellStyle name="Normal 17 10 3 2 4 4" xfId="18845" xr:uid="{00000000-0005-0000-0000-0000004F0000}"/>
    <cellStyle name="Normal 17 10 3 2 5" xfId="44514" xr:uid="{00000000-0005-0000-0000-0000014F0000}"/>
    <cellStyle name="Normal 17 10 3 2 6" xfId="28414" xr:uid="{00000000-0005-0000-0000-0000024F0000}"/>
    <cellStyle name="Normal 17 10 3 2 7" xfId="15350" xr:uid="{00000000-0005-0000-0000-0000034F0000}"/>
    <cellStyle name="Normal 17 10 3 3" xfId="1726" xr:uid="{00000000-0005-0000-0000-0000044F0000}"/>
    <cellStyle name="Normal 17 10 3 3 2" xfId="8260" xr:uid="{00000000-0005-0000-0000-0000054F0000}"/>
    <cellStyle name="Normal 17 10 3 3 2 2" xfId="40001" xr:uid="{00000000-0005-0000-0000-0000064F0000}"/>
    <cellStyle name="Normal 17 10 3 3 2 2 2" xfId="56101" xr:uid="{00000000-0005-0000-0000-0000074F0000}"/>
    <cellStyle name="Normal 17 10 3 3 2 3" xfId="46534" xr:uid="{00000000-0005-0000-0000-0000084F0000}"/>
    <cellStyle name="Normal 17 10 3 3 2 4" xfId="30434" xr:uid="{00000000-0005-0000-0000-0000094F0000}"/>
    <cellStyle name="Normal 17 10 3 3 2 5" xfId="20865" xr:uid="{00000000-0005-0000-0000-00000A4F0000}"/>
    <cellStyle name="Normal 17 10 3 3 3" xfId="11296" xr:uid="{00000000-0005-0000-0000-00000B4F0000}"/>
    <cellStyle name="Normal 17 10 3 3 3 2" xfId="49570" xr:uid="{00000000-0005-0000-0000-00000C4F0000}"/>
    <cellStyle name="Normal 17 10 3 3 3 3" xfId="33470" xr:uid="{00000000-0005-0000-0000-00000D4F0000}"/>
    <cellStyle name="Normal 17 10 3 3 3 4" xfId="23901" xr:uid="{00000000-0005-0000-0000-00000E4F0000}"/>
    <cellStyle name="Normal 17 10 3 3 4" xfId="5224" xr:uid="{00000000-0005-0000-0000-00000F4F0000}"/>
    <cellStyle name="Normal 17 10 3 3 4 2" xfId="53065" xr:uid="{00000000-0005-0000-0000-0000104F0000}"/>
    <cellStyle name="Normal 17 10 3 3 4 3" xfId="36965" xr:uid="{00000000-0005-0000-0000-0000114F0000}"/>
    <cellStyle name="Normal 17 10 3 3 4 4" xfId="17829" xr:uid="{00000000-0005-0000-0000-0000124F0000}"/>
    <cellStyle name="Normal 17 10 3 3 5" xfId="43498" xr:uid="{00000000-0005-0000-0000-0000134F0000}"/>
    <cellStyle name="Normal 17 10 3 3 6" xfId="27398" xr:uid="{00000000-0005-0000-0000-0000144F0000}"/>
    <cellStyle name="Normal 17 10 3 3 7" xfId="14334" xr:uid="{00000000-0005-0000-0000-0000154F0000}"/>
    <cellStyle name="Normal 17 10 3 4" xfId="7250" xr:uid="{00000000-0005-0000-0000-0000164F0000}"/>
    <cellStyle name="Normal 17 10 3 4 2" xfId="38991" xr:uid="{00000000-0005-0000-0000-0000174F0000}"/>
    <cellStyle name="Normal 17 10 3 4 2 2" xfId="55091" xr:uid="{00000000-0005-0000-0000-0000184F0000}"/>
    <cellStyle name="Normal 17 10 3 4 3" xfId="45524" xr:uid="{00000000-0005-0000-0000-0000194F0000}"/>
    <cellStyle name="Normal 17 10 3 4 4" xfId="29424" xr:uid="{00000000-0005-0000-0000-00001A4F0000}"/>
    <cellStyle name="Normal 17 10 3 4 5" xfId="19855" xr:uid="{00000000-0005-0000-0000-00001B4F0000}"/>
    <cellStyle name="Normal 17 10 3 5" xfId="10286" xr:uid="{00000000-0005-0000-0000-00001C4F0000}"/>
    <cellStyle name="Normal 17 10 3 5 2" xfId="48560" xr:uid="{00000000-0005-0000-0000-00001D4F0000}"/>
    <cellStyle name="Normal 17 10 3 5 3" xfId="32460" xr:uid="{00000000-0005-0000-0000-00001E4F0000}"/>
    <cellStyle name="Normal 17 10 3 5 4" xfId="22891" xr:uid="{00000000-0005-0000-0000-00001F4F0000}"/>
    <cellStyle name="Normal 17 10 3 6" xfId="4214" xr:uid="{00000000-0005-0000-0000-0000204F0000}"/>
    <cellStyle name="Normal 17 10 3 6 2" xfId="52055" xr:uid="{00000000-0005-0000-0000-0000214F0000}"/>
    <cellStyle name="Normal 17 10 3 6 3" xfId="35955" xr:uid="{00000000-0005-0000-0000-0000224F0000}"/>
    <cellStyle name="Normal 17 10 3 6 4" xfId="16819" xr:uid="{00000000-0005-0000-0000-0000234F0000}"/>
    <cellStyle name="Normal 17 10 3 7" xfId="42488" xr:uid="{00000000-0005-0000-0000-0000244F0000}"/>
    <cellStyle name="Normal 17 10 3 8" xfId="26388" xr:uid="{00000000-0005-0000-0000-0000254F0000}"/>
    <cellStyle name="Normal 17 10 3 9" xfId="13324" xr:uid="{00000000-0005-0000-0000-0000264F0000}"/>
    <cellStyle name="Normal 17 10 4" xfId="2516" xr:uid="{00000000-0005-0000-0000-0000274F0000}"/>
    <cellStyle name="Normal 17 10 4 2" xfId="9048" xr:uid="{00000000-0005-0000-0000-0000284F0000}"/>
    <cellStyle name="Normal 17 10 4 2 2" xfId="40789" xr:uid="{00000000-0005-0000-0000-0000294F0000}"/>
    <cellStyle name="Normal 17 10 4 2 2 2" xfId="56889" xr:uid="{00000000-0005-0000-0000-00002A4F0000}"/>
    <cellStyle name="Normal 17 10 4 2 3" xfId="47322" xr:uid="{00000000-0005-0000-0000-00002B4F0000}"/>
    <cellStyle name="Normal 17 10 4 2 4" xfId="31222" xr:uid="{00000000-0005-0000-0000-00002C4F0000}"/>
    <cellStyle name="Normal 17 10 4 2 5" xfId="21653" xr:uid="{00000000-0005-0000-0000-00002D4F0000}"/>
    <cellStyle name="Normal 17 10 4 3" xfId="12084" xr:uid="{00000000-0005-0000-0000-00002E4F0000}"/>
    <cellStyle name="Normal 17 10 4 3 2" xfId="50358" xr:uid="{00000000-0005-0000-0000-00002F4F0000}"/>
    <cellStyle name="Normal 17 10 4 3 3" xfId="34258" xr:uid="{00000000-0005-0000-0000-0000304F0000}"/>
    <cellStyle name="Normal 17 10 4 3 4" xfId="24689" xr:uid="{00000000-0005-0000-0000-0000314F0000}"/>
    <cellStyle name="Normal 17 10 4 4" xfId="6012" xr:uid="{00000000-0005-0000-0000-0000324F0000}"/>
    <cellStyle name="Normal 17 10 4 4 2" xfId="53853" xr:uid="{00000000-0005-0000-0000-0000334F0000}"/>
    <cellStyle name="Normal 17 10 4 4 3" xfId="37753" xr:uid="{00000000-0005-0000-0000-0000344F0000}"/>
    <cellStyle name="Normal 17 10 4 4 4" xfId="18617" xr:uid="{00000000-0005-0000-0000-0000354F0000}"/>
    <cellStyle name="Normal 17 10 4 5" xfId="44286" xr:uid="{00000000-0005-0000-0000-0000364F0000}"/>
    <cellStyle name="Normal 17 10 4 6" xfId="28186" xr:uid="{00000000-0005-0000-0000-0000374F0000}"/>
    <cellStyle name="Normal 17 10 4 7" xfId="15122" xr:uid="{00000000-0005-0000-0000-0000384F0000}"/>
    <cellStyle name="Normal 17 10 5" xfId="1265" xr:uid="{00000000-0005-0000-0000-0000394F0000}"/>
    <cellStyle name="Normal 17 10 5 2" xfId="7799" xr:uid="{00000000-0005-0000-0000-00003A4F0000}"/>
    <cellStyle name="Normal 17 10 5 2 2" xfId="39540" xr:uid="{00000000-0005-0000-0000-00003B4F0000}"/>
    <cellStyle name="Normal 17 10 5 2 2 2" xfId="55640" xr:uid="{00000000-0005-0000-0000-00003C4F0000}"/>
    <cellStyle name="Normal 17 10 5 2 3" xfId="46073" xr:uid="{00000000-0005-0000-0000-00003D4F0000}"/>
    <cellStyle name="Normal 17 10 5 2 4" xfId="29973" xr:uid="{00000000-0005-0000-0000-00003E4F0000}"/>
    <cellStyle name="Normal 17 10 5 2 5" xfId="20404" xr:uid="{00000000-0005-0000-0000-00003F4F0000}"/>
    <cellStyle name="Normal 17 10 5 3" xfId="10835" xr:uid="{00000000-0005-0000-0000-0000404F0000}"/>
    <cellStyle name="Normal 17 10 5 3 2" xfId="49109" xr:uid="{00000000-0005-0000-0000-0000414F0000}"/>
    <cellStyle name="Normal 17 10 5 3 3" xfId="33009" xr:uid="{00000000-0005-0000-0000-0000424F0000}"/>
    <cellStyle name="Normal 17 10 5 3 4" xfId="23440" xr:uid="{00000000-0005-0000-0000-0000434F0000}"/>
    <cellStyle name="Normal 17 10 5 4" xfId="4763" xr:uid="{00000000-0005-0000-0000-0000444F0000}"/>
    <cellStyle name="Normal 17 10 5 4 2" xfId="52604" xr:uid="{00000000-0005-0000-0000-0000454F0000}"/>
    <cellStyle name="Normal 17 10 5 4 3" xfId="36504" xr:uid="{00000000-0005-0000-0000-0000464F0000}"/>
    <cellStyle name="Normal 17 10 5 4 4" xfId="17368" xr:uid="{00000000-0005-0000-0000-0000474F0000}"/>
    <cellStyle name="Normal 17 10 5 5" xfId="43037" xr:uid="{00000000-0005-0000-0000-0000484F0000}"/>
    <cellStyle name="Normal 17 10 5 6" xfId="26937" xr:uid="{00000000-0005-0000-0000-0000494F0000}"/>
    <cellStyle name="Normal 17 10 5 7" xfId="13873" xr:uid="{00000000-0005-0000-0000-00004A4F0000}"/>
    <cellStyle name="Normal 17 10 6" xfId="3753" xr:uid="{00000000-0005-0000-0000-00004B4F0000}"/>
    <cellStyle name="Normal 17 10 6 2" xfId="35494" xr:uid="{00000000-0005-0000-0000-00004C4F0000}"/>
    <cellStyle name="Normal 17 10 6 2 2" xfId="51594" xr:uid="{00000000-0005-0000-0000-00004D4F0000}"/>
    <cellStyle name="Normal 17 10 6 3" xfId="42027" xr:uid="{00000000-0005-0000-0000-00004E4F0000}"/>
    <cellStyle name="Normal 17 10 6 4" xfId="25927" xr:uid="{00000000-0005-0000-0000-00004F4F0000}"/>
    <cellStyle name="Normal 17 10 6 5" xfId="16358" xr:uid="{00000000-0005-0000-0000-0000504F0000}"/>
    <cellStyle name="Normal 17 10 7" xfId="6789" xr:uid="{00000000-0005-0000-0000-0000514F0000}"/>
    <cellStyle name="Normal 17 10 7 2" xfId="38530" xr:uid="{00000000-0005-0000-0000-0000524F0000}"/>
    <cellStyle name="Normal 17 10 7 2 2" xfId="54630" xr:uid="{00000000-0005-0000-0000-0000534F0000}"/>
    <cellStyle name="Normal 17 10 7 3" xfId="45063" xr:uid="{00000000-0005-0000-0000-0000544F0000}"/>
    <cellStyle name="Normal 17 10 7 4" xfId="28963" xr:uid="{00000000-0005-0000-0000-0000554F0000}"/>
    <cellStyle name="Normal 17 10 7 5" xfId="19394" xr:uid="{00000000-0005-0000-0000-0000564F0000}"/>
    <cellStyle name="Normal 17 10 8" xfId="9825" xr:uid="{00000000-0005-0000-0000-0000574F0000}"/>
    <cellStyle name="Normal 17 10 8 2" xfId="48099" xr:uid="{00000000-0005-0000-0000-0000584F0000}"/>
    <cellStyle name="Normal 17 10 8 3" xfId="31999" xr:uid="{00000000-0005-0000-0000-0000594F0000}"/>
    <cellStyle name="Normal 17 10 8 4" xfId="22430" xr:uid="{00000000-0005-0000-0000-00005A4F0000}"/>
    <cellStyle name="Normal 17 10 9" xfId="3293" xr:uid="{00000000-0005-0000-0000-00005B4F0000}"/>
    <cellStyle name="Normal 17 10 9 2" xfId="51135" xr:uid="{00000000-0005-0000-0000-00005C4F0000}"/>
    <cellStyle name="Normal 17 10 9 3" xfId="35035" xr:uid="{00000000-0005-0000-0000-00005D4F0000}"/>
    <cellStyle name="Normal 17 10 9 4" xfId="15899" xr:uid="{00000000-0005-0000-0000-00005E4F0000}"/>
    <cellStyle name="Normal 17 11" xfId="428" xr:uid="{00000000-0005-0000-0000-00005F4F0000}"/>
    <cellStyle name="Normal 17 11 10" xfId="41415" xr:uid="{00000000-0005-0000-0000-0000604F0000}"/>
    <cellStyle name="Normal 17 11 11" xfId="25315" xr:uid="{00000000-0005-0000-0000-0000614F0000}"/>
    <cellStyle name="Normal 17 11 12" xfId="12710" xr:uid="{00000000-0005-0000-0000-0000624F0000}"/>
    <cellStyle name="Normal 17 11 2" xfId="785" xr:uid="{00000000-0005-0000-0000-0000634F0000}"/>
    <cellStyle name="Normal 17 11 2 10" xfId="13393" xr:uid="{00000000-0005-0000-0000-0000644F0000}"/>
    <cellStyle name="Normal 17 11 2 2" xfId="2813" xr:uid="{00000000-0005-0000-0000-0000654F0000}"/>
    <cellStyle name="Normal 17 11 2 2 2" xfId="9345" xr:uid="{00000000-0005-0000-0000-0000664F0000}"/>
    <cellStyle name="Normal 17 11 2 2 2 2" xfId="41086" xr:uid="{00000000-0005-0000-0000-0000674F0000}"/>
    <cellStyle name="Normal 17 11 2 2 2 2 2" xfId="57186" xr:uid="{00000000-0005-0000-0000-0000684F0000}"/>
    <cellStyle name="Normal 17 11 2 2 2 3" xfId="47619" xr:uid="{00000000-0005-0000-0000-0000694F0000}"/>
    <cellStyle name="Normal 17 11 2 2 2 4" xfId="31519" xr:uid="{00000000-0005-0000-0000-00006A4F0000}"/>
    <cellStyle name="Normal 17 11 2 2 2 5" xfId="21950" xr:uid="{00000000-0005-0000-0000-00006B4F0000}"/>
    <cellStyle name="Normal 17 11 2 2 3" xfId="12381" xr:uid="{00000000-0005-0000-0000-00006C4F0000}"/>
    <cellStyle name="Normal 17 11 2 2 3 2" xfId="50655" xr:uid="{00000000-0005-0000-0000-00006D4F0000}"/>
    <cellStyle name="Normal 17 11 2 2 3 3" xfId="34555" xr:uid="{00000000-0005-0000-0000-00006E4F0000}"/>
    <cellStyle name="Normal 17 11 2 2 3 4" xfId="24986" xr:uid="{00000000-0005-0000-0000-00006F4F0000}"/>
    <cellStyle name="Normal 17 11 2 2 4" xfId="6309" xr:uid="{00000000-0005-0000-0000-0000704F0000}"/>
    <cellStyle name="Normal 17 11 2 2 4 2" xfId="54150" xr:uid="{00000000-0005-0000-0000-0000714F0000}"/>
    <cellStyle name="Normal 17 11 2 2 4 3" xfId="38050" xr:uid="{00000000-0005-0000-0000-0000724F0000}"/>
    <cellStyle name="Normal 17 11 2 2 4 4" xfId="18914" xr:uid="{00000000-0005-0000-0000-0000734F0000}"/>
    <cellStyle name="Normal 17 11 2 2 5" xfId="44583" xr:uid="{00000000-0005-0000-0000-0000744F0000}"/>
    <cellStyle name="Normal 17 11 2 2 6" xfId="28483" xr:uid="{00000000-0005-0000-0000-0000754F0000}"/>
    <cellStyle name="Normal 17 11 2 2 7" xfId="15419" xr:uid="{00000000-0005-0000-0000-0000764F0000}"/>
    <cellStyle name="Normal 17 11 2 3" xfId="1795" xr:uid="{00000000-0005-0000-0000-0000774F0000}"/>
    <cellStyle name="Normal 17 11 2 3 2" xfId="8329" xr:uid="{00000000-0005-0000-0000-0000784F0000}"/>
    <cellStyle name="Normal 17 11 2 3 2 2" xfId="40070" xr:uid="{00000000-0005-0000-0000-0000794F0000}"/>
    <cellStyle name="Normal 17 11 2 3 2 2 2" xfId="56170" xr:uid="{00000000-0005-0000-0000-00007A4F0000}"/>
    <cellStyle name="Normal 17 11 2 3 2 3" xfId="46603" xr:uid="{00000000-0005-0000-0000-00007B4F0000}"/>
    <cellStyle name="Normal 17 11 2 3 2 4" xfId="30503" xr:uid="{00000000-0005-0000-0000-00007C4F0000}"/>
    <cellStyle name="Normal 17 11 2 3 2 5" xfId="20934" xr:uid="{00000000-0005-0000-0000-00007D4F0000}"/>
    <cellStyle name="Normal 17 11 2 3 3" xfId="11365" xr:uid="{00000000-0005-0000-0000-00007E4F0000}"/>
    <cellStyle name="Normal 17 11 2 3 3 2" xfId="49639" xr:uid="{00000000-0005-0000-0000-00007F4F0000}"/>
    <cellStyle name="Normal 17 11 2 3 3 3" xfId="33539" xr:uid="{00000000-0005-0000-0000-0000804F0000}"/>
    <cellStyle name="Normal 17 11 2 3 3 4" xfId="23970" xr:uid="{00000000-0005-0000-0000-0000814F0000}"/>
    <cellStyle name="Normal 17 11 2 3 4" xfId="5293" xr:uid="{00000000-0005-0000-0000-0000824F0000}"/>
    <cellStyle name="Normal 17 11 2 3 4 2" xfId="53134" xr:uid="{00000000-0005-0000-0000-0000834F0000}"/>
    <cellStyle name="Normal 17 11 2 3 4 3" xfId="37034" xr:uid="{00000000-0005-0000-0000-0000844F0000}"/>
    <cellStyle name="Normal 17 11 2 3 4 4" xfId="17898" xr:uid="{00000000-0005-0000-0000-0000854F0000}"/>
    <cellStyle name="Normal 17 11 2 3 5" xfId="43567" xr:uid="{00000000-0005-0000-0000-0000864F0000}"/>
    <cellStyle name="Normal 17 11 2 3 6" xfId="27467" xr:uid="{00000000-0005-0000-0000-0000874F0000}"/>
    <cellStyle name="Normal 17 11 2 3 7" xfId="14403" xr:uid="{00000000-0005-0000-0000-0000884F0000}"/>
    <cellStyle name="Normal 17 11 2 4" xfId="4283" xr:uid="{00000000-0005-0000-0000-0000894F0000}"/>
    <cellStyle name="Normal 17 11 2 4 2" xfId="36024" xr:uid="{00000000-0005-0000-0000-00008A4F0000}"/>
    <cellStyle name="Normal 17 11 2 4 2 2" xfId="52124" xr:uid="{00000000-0005-0000-0000-00008B4F0000}"/>
    <cellStyle name="Normal 17 11 2 4 3" xfId="42557" xr:uid="{00000000-0005-0000-0000-00008C4F0000}"/>
    <cellStyle name="Normal 17 11 2 4 4" xfId="26457" xr:uid="{00000000-0005-0000-0000-00008D4F0000}"/>
    <cellStyle name="Normal 17 11 2 4 5" xfId="16888" xr:uid="{00000000-0005-0000-0000-00008E4F0000}"/>
    <cellStyle name="Normal 17 11 2 5" xfId="7319" xr:uid="{00000000-0005-0000-0000-00008F4F0000}"/>
    <cellStyle name="Normal 17 11 2 5 2" xfId="39060" xr:uid="{00000000-0005-0000-0000-0000904F0000}"/>
    <cellStyle name="Normal 17 11 2 5 2 2" xfId="55160" xr:uid="{00000000-0005-0000-0000-0000914F0000}"/>
    <cellStyle name="Normal 17 11 2 5 3" xfId="45593" xr:uid="{00000000-0005-0000-0000-0000924F0000}"/>
    <cellStyle name="Normal 17 11 2 5 4" xfId="29493" xr:uid="{00000000-0005-0000-0000-0000934F0000}"/>
    <cellStyle name="Normal 17 11 2 5 5" xfId="19924" xr:uid="{00000000-0005-0000-0000-0000944F0000}"/>
    <cellStyle name="Normal 17 11 2 6" xfId="10355" xr:uid="{00000000-0005-0000-0000-0000954F0000}"/>
    <cellStyle name="Normal 17 11 2 6 2" xfId="48629" xr:uid="{00000000-0005-0000-0000-0000964F0000}"/>
    <cellStyle name="Normal 17 11 2 6 3" xfId="32529" xr:uid="{00000000-0005-0000-0000-0000974F0000}"/>
    <cellStyle name="Normal 17 11 2 6 4" xfId="22960" xr:uid="{00000000-0005-0000-0000-0000984F0000}"/>
    <cellStyle name="Normal 17 11 2 7" xfId="3378" xr:uid="{00000000-0005-0000-0000-0000994F0000}"/>
    <cellStyle name="Normal 17 11 2 7 2" xfId="51219" xr:uid="{00000000-0005-0000-0000-00009A4F0000}"/>
    <cellStyle name="Normal 17 11 2 7 3" xfId="35119" xr:uid="{00000000-0005-0000-0000-00009B4F0000}"/>
    <cellStyle name="Normal 17 11 2 7 4" xfId="15983" xr:uid="{00000000-0005-0000-0000-00009C4F0000}"/>
    <cellStyle name="Normal 17 11 2 8" xfId="41652" xr:uid="{00000000-0005-0000-0000-00009D4F0000}"/>
    <cellStyle name="Normal 17 11 2 9" xfId="25552" xr:uid="{00000000-0005-0000-0000-00009E4F0000}"/>
    <cellStyle name="Normal 17 11 3" xfId="643" xr:uid="{00000000-0005-0000-0000-00009F4F0000}"/>
    <cellStyle name="Normal 17 11 3 2" xfId="2671" xr:uid="{00000000-0005-0000-0000-0000A04F0000}"/>
    <cellStyle name="Normal 17 11 3 2 2" xfId="9203" xr:uid="{00000000-0005-0000-0000-0000A14F0000}"/>
    <cellStyle name="Normal 17 11 3 2 2 2" xfId="40944" xr:uid="{00000000-0005-0000-0000-0000A24F0000}"/>
    <cellStyle name="Normal 17 11 3 2 2 2 2" xfId="57044" xr:uid="{00000000-0005-0000-0000-0000A34F0000}"/>
    <cellStyle name="Normal 17 11 3 2 2 3" xfId="47477" xr:uid="{00000000-0005-0000-0000-0000A44F0000}"/>
    <cellStyle name="Normal 17 11 3 2 2 4" xfId="31377" xr:uid="{00000000-0005-0000-0000-0000A54F0000}"/>
    <cellStyle name="Normal 17 11 3 2 2 5" xfId="21808" xr:uid="{00000000-0005-0000-0000-0000A64F0000}"/>
    <cellStyle name="Normal 17 11 3 2 3" xfId="12239" xr:uid="{00000000-0005-0000-0000-0000A74F0000}"/>
    <cellStyle name="Normal 17 11 3 2 3 2" xfId="50513" xr:uid="{00000000-0005-0000-0000-0000A84F0000}"/>
    <cellStyle name="Normal 17 11 3 2 3 3" xfId="34413" xr:uid="{00000000-0005-0000-0000-0000A94F0000}"/>
    <cellStyle name="Normal 17 11 3 2 3 4" xfId="24844" xr:uid="{00000000-0005-0000-0000-0000AA4F0000}"/>
    <cellStyle name="Normal 17 11 3 2 4" xfId="6167" xr:uid="{00000000-0005-0000-0000-0000AB4F0000}"/>
    <cellStyle name="Normal 17 11 3 2 4 2" xfId="54008" xr:uid="{00000000-0005-0000-0000-0000AC4F0000}"/>
    <cellStyle name="Normal 17 11 3 2 4 3" xfId="37908" xr:uid="{00000000-0005-0000-0000-0000AD4F0000}"/>
    <cellStyle name="Normal 17 11 3 2 4 4" xfId="18772" xr:uid="{00000000-0005-0000-0000-0000AE4F0000}"/>
    <cellStyle name="Normal 17 11 3 2 5" xfId="44441" xr:uid="{00000000-0005-0000-0000-0000AF4F0000}"/>
    <cellStyle name="Normal 17 11 3 2 6" xfId="28341" xr:uid="{00000000-0005-0000-0000-0000B04F0000}"/>
    <cellStyle name="Normal 17 11 3 2 7" xfId="15277" xr:uid="{00000000-0005-0000-0000-0000B14F0000}"/>
    <cellStyle name="Normal 17 11 3 3" xfId="1653" xr:uid="{00000000-0005-0000-0000-0000B24F0000}"/>
    <cellStyle name="Normal 17 11 3 3 2" xfId="8187" xr:uid="{00000000-0005-0000-0000-0000B34F0000}"/>
    <cellStyle name="Normal 17 11 3 3 2 2" xfId="39928" xr:uid="{00000000-0005-0000-0000-0000B44F0000}"/>
    <cellStyle name="Normal 17 11 3 3 2 2 2" xfId="56028" xr:uid="{00000000-0005-0000-0000-0000B54F0000}"/>
    <cellStyle name="Normal 17 11 3 3 2 3" xfId="46461" xr:uid="{00000000-0005-0000-0000-0000B64F0000}"/>
    <cellStyle name="Normal 17 11 3 3 2 4" xfId="30361" xr:uid="{00000000-0005-0000-0000-0000B74F0000}"/>
    <cellStyle name="Normal 17 11 3 3 2 5" xfId="20792" xr:uid="{00000000-0005-0000-0000-0000B84F0000}"/>
    <cellStyle name="Normal 17 11 3 3 3" xfId="11223" xr:uid="{00000000-0005-0000-0000-0000B94F0000}"/>
    <cellStyle name="Normal 17 11 3 3 3 2" xfId="49497" xr:uid="{00000000-0005-0000-0000-0000BA4F0000}"/>
    <cellStyle name="Normal 17 11 3 3 3 3" xfId="33397" xr:uid="{00000000-0005-0000-0000-0000BB4F0000}"/>
    <cellStyle name="Normal 17 11 3 3 3 4" xfId="23828" xr:uid="{00000000-0005-0000-0000-0000BC4F0000}"/>
    <cellStyle name="Normal 17 11 3 3 4" xfId="5151" xr:uid="{00000000-0005-0000-0000-0000BD4F0000}"/>
    <cellStyle name="Normal 17 11 3 3 4 2" xfId="52992" xr:uid="{00000000-0005-0000-0000-0000BE4F0000}"/>
    <cellStyle name="Normal 17 11 3 3 4 3" xfId="36892" xr:uid="{00000000-0005-0000-0000-0000BF4F0000}"/>
    <cellStyle name="Normal 17 11 3 3 4 4" xfId="17756" xr:uid="{00000000-0005-0000-0000-0000C04F0000}"/>
    <cellStyle name="Normal 17 11 3 3 5" xfId="43425" xr:uid="{00000000-0005-0000-0000-0000C14F0000}"/>
    <cellStyle name="Normal 17 11 3 3 6" xfId="27325" xr:uid="{00000000-0005-0000-0000-0000C24F0000}"/>
    <cellStyle name="Normal 17 11 3 3 7" xfId="14261" xr:uid="{00000000-0005-0000-0000-0000C34F0000}"/>
    <cellStyle name="Normal 17 11 3 4" xfId="7177" xr:uid="{00000000-0005-0000-0000-0000C44F0000}"/>
    <cellStyle name="Normal 17 11 3 4 2" xfId="38918" xr:uid="{00000000-0005-0000-0000-0000C54F0000}"/>
    <cellStyle name="Normal 17 11 3 4 2 2" xfId="55018" xr:uid="{00000000-0005-0000-0000-0000C64F0000}"/>
    <cellStyle name="Normal 17 11 3 4 3" xfId="45451" xr:uid="{00000000-0005-0000-0000-0000C74F0000}"/>
    <cellStyle name="Normal 17 11 3 4 4" xfId="29351" xr:uid="{00000000-0005-0000-0000-0000C84F0000}"/>
    <cellStyle name="Normal 17 11 3 4 5" xfId="19782" xr:uid="{00000000-0005-0000-0000-0000C94F0000}"/>
    <cellStyle name="Normal 17 11 3 5" xfId="10213" xr:uid="{00000000-0005-0000-0000-0000CA4F0000}"/>
    <cellStyle name="Normal 17 11 3 5 2" xfId="48487" xr:uid="{00000000-0005-0000-0000-0000CB4F0000}"/>
    <cellStyle name="Normal 17 11 3 5 3" xfId="32387" xr:uid="{00000000-0005-0000-0000-0000CC4F0000}"/>
    <cellStyle name="Normal 17 11 3 5 4" xfId="22818" xr:uid="{00000000-0005-0000-0000-0000CD4F0000}"/>
    <cellStyle name="Normal 17 11 3 6" xfId="4141" xr:uid="{00000000-0005-0000-0000-0000CE4F0000}"/>
    <cellStyle name="Normal 17 11 3 6 2" xfId="51982" xr:uid="{00000000-0005-0000-0000-0000CF4F0000}"/>
    <cellStyle name="Normal 17 11 3 6 3" xfId="35882" xr:uid="{00000000-0005-0000-0000-0000D04F0000}"/>
    <cellStyle name="Normal 17 11 3 6 4" xfId="16746" xr:uid="{00000000-0005-0000-0000-0000D14F0000}"/>
    <cellStyle name="Normal 17 11 3 7" xfId="42415" xr:uid="{00000000-0005-0000-0000-0000D24F0000}"/>
    <cellStyle name="Normal 17 11 3 8" xfId="26315" xr:uid="{00000000-0005-0000-0000-0000D34F0000}"/>
    <cellStyle name="Normal 17 11 3 9" xfId="13251" xr:uid="{00000000-0005-0000-0000-0000D44F0000}"/>
    <cellStyle name="Normal 17 11 4" xfId="2443" xr:uid="{00000000-0005-0000-0000-0000D54F0000}"/>
    <cellStyle name="Normal 17 11 4 2" xfId="8975" xr:uid="{00000000-0005-0000-0000-0000D64F0000}"/>
    <cellStyle name="Normal 17 11 4 2 2" xfId="40716" xr:uid="{00000000-0005-0000-0000-0000D74F0000}"/>
    <cellStyle name="Normal 17 11 4 2 2 2" xfId="56816" xr:uid="{00000000-0005-0000-0000-0000D84F0000}"/>
    <cellStyle name="Normal 17 11 4 2 3" xfId="47249" xr:uid="{00000000-0005-0000-0000-0000D94F0000}"/>
    <cellStyle name="Normal 17 11 4 2 4" xfId="31149" xr:uid="{00000000-0005-0000-0000-0000DA4F0000}"/>
    <cellStyle name="Normal 17 11 4 2 5" xfId="21580" xr:uid="{00000000-0005-0000-0000-0000DB4F0000}"/>
    <cellStyle name="Normal 17 11 4 3" xfId="12011" xr:uid="{00000000-0005-0000-0000-0000DC4F0000}"/>
    <cellStyle name="Normal 17 11 4 3 2" xfId="50285" xr:uid="{00000000-0005-0000-0000-0000DD4F0000}"/>
    <cellStyle name="Normal 17 11 4 3 3" xfId="34185" xr:uid="{00000000-0005-0000-0000-0000DE4F0000}"/>
    <cellStyle name="Normal 17 11 4 3 4" xfId="24616" xr:uid="{00000000-0005-0000-0000-0000DF4F0000}"/>
    <cellStyle name="Normal 17 11 4 4" xfId="5939" xr:uid="{00000000-0005-0000-0000-0000E04F0000}"/>
    <cellStyle name="Normal 17 11 4 4 2" xfId="53780" xr:uid="{00000000-0005-0000-0000-0000E14F0000}"/>
    <cellStyle name="Normal 17 11 4 4 3" xfId="37680" xr:uid="{00000000-0005-0000-0000-0000E24F0000}"/>
    <cellStyle name="Normal 17 11 4 4 4" xfId="18544" xr:uid="{00000000-0005-0000-0000-0000E34F0000}"/>
    <cellStyle name="Normal 17 11 4 5" xfId="44213" xr:uid="{00000000-0005-0000-0000-0000E44F0000}"/>
    <cellStyle name="Normal 17 11 4 6" xfId="28113" xr:uid="{00000000-0005-0000-0000-0000E54F0000}"/>
    <cellStyle name="Normal 17 11 4 7" xfId="15049" xr:uid="{00000000-0005-0000-0000-0000E64F0000}"/>
    <cellStyle name="Normal 17 11 5" xfId="1112" xr:uid="{00000000-0005-0000-0000-0000E74F0000}"/>
    <cellStyle name="Normal 17 11 5 2" xfId="7646" xr:uid="{00000000-0005-0000-0000-0000E84F0000}"/>
    <cellStyle name="Normal 17 11 5 2 2" xfId="39387" xr:uid="{00000000-0005-0000-0000-0000E94F0000}"/>
    <cellStyle name="Normal 17 11 5 2 2 2" xfId="55487" xr:uid="{00000000-0005-0000-0000-0000EA4F0000}"/>
    <cellStyle name="Normal 17 11 5 2 3" xfId="45920" xr:uid="{00000000-0005-0000-0000-0000EB4F0000}"/>
    <cellStyle name="Normal 17 11 5 2 4" xfId="29820" xr:uid="{00000000-0005-0000-0000-0000EC4F0000}"/>
    <cellStyle name="Normal 17 11 5 2 5" xfId="20251" xr:uid="{00000000-0005-0000-0000-0000ED4F0000}"/>
    <cellStyle name="Normal 17 11 5 3" xfId="10682" xr:uid="{00000000-0005-0000-0000-0000EE4F0000}"/>
    <cellStyle name="Normal 17 11 5 3 2" xfId="48956" xr:uid="{00000000-0005-0000-0000-0000EF4F0000}"/>
    <cellStyle name="Normal 17 11 5 3 3" xfId="32856" xr:uid="{00000000-0005-0000-0000-0000F04F0000}"/>
    <cellStyle name="Normal 17 11 5 3 4" xfId="23287" xr:uid="{00000000-0005-0000-0000-0000F14F0000}"/>
    <cellStyle name="Normal 17 11 5 4" xfId="4610" xr:uid="{00000000-0005-0000-0000-0000F24F0000}"/>
    <cellStyle name="Normal 17 11 5 4 2" xfId="52451" xr:uid="{00000000-0005-0000-0000-0000F34F0000}"/>
    <cellStyle name="Normal 17 11 5 4 3" xfId="36351" xr:uid="{00000000-0005-0000-0000-0000F44F0000}"/>
    <cellStyle name="Normal 17 11 5 4 4" xfId="17215" xr:uid="{00000000-0005-0000-0000-0000F54F0000}"/>
    <cellStyle name="Normal 17 11 5 5" xfId="42884" xr:uid="{00000000-0005-0000-0000-0000F64F0000}"/>
    <cellStyle name="Normal 17 11 5 6" xfId="26784" xr:uid="{00000000-0005-0000-0000-0000F74F0000}"/>
    <cellStyle name="Normal 17 11 5 7" xfId="13720" xr:uid="{00000000-0005-0000-0000-0000F84F0000}"/>
    <cellStyle name="Normal 17 11 6" xfId="3600" xr:uid="{00000000-0005-0000-0000-0000F94F0000}"/>
    <cellStyle name="Normal 17 11 6 2" xfId="35341" xr:uid="{00000000-0005-0000-0000-0000FA4F0000}"/>
    <cellStyle name="Normal 17 11 6 2 2" xfId="51441" xr:uid="{00000000-0005-0000-0000-0000FB4F0000}"/>
    <cellStyle name="Normal 17 11 6 3" xfId="41874" xr:uid="{00000000-0005-0000-0000-0000FC4F0000}"/>
    <cellStyle name="Normal 17 11 6 4" xfId="25774" xr:uid="{00000000-0005-0000-0000-0000FD4F0000}"/>
    <cellStyle name="Normal 17 11 6 5" xfId="16205" xr:uid="{00000000-0005-0000-0000-0000FE4F0000}"/>
    <cellStyle name="Normal 17 11 7" xfId="6636" xr:uid="{00000000-0005-0000-0000-0000FF4F0000}"/>
    <cellStyle name="Normal 17 11 7 2" xfId="38377" xr:uid="{00000000-0005-0000-0000-000000500000}"/>
    <cellStyle name="Normal 17 11 7 2 2" xfId="54477" xr:uid="{00000000-0005-0000-0000-000001500000}"/>
    <cellStyle name="Normal 17 11 7 3" xfId="44910" xr:uid="{00000000-0005-0000-0000-000002500000}"/>
    <cellStyle name="Normal 17 11 7 4" xfId="28810" xr:uid="{00000000-0005-0000-0000-000003500000}"/>
    <cellStyle name="Normal 17 11 7 5" xfId="19241" xr:uid="{00000000-0005-0000-0000-000004500000}"/>
    <cellStyle name="Normal 17 11 8" xfId="9672" xr:uid="{00000000-0005-0000-0000-000005500000}"/>
    <cellStyle name="Normal 17 11 8 2" xfId="47946" xr:uid="{00000000-0005-0000-0000-000006500000}"/>
    <cellStyle name="Normal 17 11 8 3" xfId="31846" xr:uid="{00000000-0005-0000-0000-000007500000}"/>
    <cellStyle name="Normal 17 11 8 4" xfId="22277" xr:uid="{00000000-0005-0000-0000-000008500000}"/>
    <cellStyle name="Normal 17 11 9" xfId="3140" xr:uid="{00000000-0005-0000-0000-000009500000}"/>
    <cellStyle name="Normal 17 11 9 2" xfId="50982" xr:uid="{00000000-0005-0000-0000-00000A500000}"/>
    <cellStyle name="Normal 17 11 9 3" xfId="34882" xr:uid="{00000000-0005-0000-0000-00000B500000}"/>
    <cellStyle name="Normal 17 11 9 4" xfId="15746" xr:uid="{00000000-0005-0000-0000-00000C500000}"/>
    <cellStyle name="Normal 17 12" xfId="408" xr:uid="{00000000-0005-0000-0000-00000D500000}"/>
    <cellStyle name="Normal 17 12 10" xfId="41398" xr:uid="{00000000-0005-0000-0000-00000E500000}"/>
    <cellStyle name="Normal 17 12 11" xfId="25298" xr:uid="{00000000-0005-0000-0000-00000F500000}"/>
    <cellStyle name="Normal 17 12 12" xfId="12693" xr:uid="{00000000-0005-0000-0000-000010500000}"/>
    <cellStyle name="Normal 17 12 2" xfId="768" xr:uid="{00000000-0005-0000-0000-000011500000}"/>
    <cellStyle name="Normal 17 12 2 10" xfId="13376" xr:uid="{00000000-0005-0000-0000-000012500000}"/>
    <cellStyle name="Normal 17 12 2 2" xfId="2796" xr:uid="{00000000-0005-0000-0000-000013500000}"/>
    <cellStyle name="Normal 17 12 2 2 2" xfId="9328" xr:uid="{00000000-0005-0000-0000-000014500000}"/>
    <cellStyle name="Normal 17 12 2 2 2 2" xfId="41069" xr:uid="{00000000-0005-0000-0000-000015500000}"/>
    <cellStyle name="Normal 17 12 2 2 2 2 2" xfId="57169" xr:uid="{00000000-0005-0000-0000-000016500000}"/>
    <cellStyle name="Normal 17 12 2 2 2 3" xfId="47602" xr:uid="{00000000-0005-0000-0000-000017500000}"/>
    <cellStyle name="Normal 17 12 2 2 2 4" xfId="31502" xr:uid="{00000000-0005-0000-0000-000018500000}"/>
    <cellStyle name="Normal 17 12 2 2 2 5" xfId="21933" xr:uid="{00000000-0005-0000-0000-000019500000}"/>
    <cellStyle name="Normal 17 12 2 2 3" xfId="12364" xr:uid="{00000000-0005-0000-0000-00001A500000}"/>
    <cellStyle name="Normal 17 12 2 2 3 2" xfId="50638" xr:uid="{00000000-0005-0000-0000-00001B500000}"/>
    <cellStyle name="Normal 17 12 2 2 3 3" xfId="34538" xr:uid="{00000000-0005-0000-0000-00001C500000}"/>
    <cellStyle name="Normal 17 12 2 2 3 4" xfId="24969" xr:uid="{00000000-0005-0000-0000-00001D500000}"/>
    <cellStyle name="Normal 17 12 2 2 4" xfId="6292" xr:uid="{00000000-0005-0000-0000-00001E500000}"/>
    <cellStyle name="Normal 17 12 2 2 4 2" xfId="54133" xr:uid="{00000000-0005-0000-0000-00001F500000}"/>
    <cellStyle name="Normal 17 12 2 2 4 3" xfId="38033" xr:uid="{00000000-0005-0000-0000-000020500000}"/>
    <cellStyle name="Normal 17 12 2 2 4 4" xfId="18897" xr:uid="{00000000-0005-0000-0000-000021500000}"/>
    <cellStyle name="Normal 17 12 2 2 5" xfId="44566" xr:uid="{00000000-0005-0000-0000-000022500000}"/>
    <cellStyle name="Normal 17 12 2 2 6" xfId="28466" xr:uid="{00000000-0005-0000-0000-000023500000}"/>
    <cellStyle name="Normal 17 12 2 2 7" xfId="15402" xr:uid="{00000000-0005-0000-0000-000024500000}"/>
    <cellStyle name="Normal 17 12 2 3" xfId="1778" xr:uid="{00000000-0005-0000-0000-000025500000}"/>
    <cellStyle name="Normal 17 12 2 3 2" xfId="8312" xr:uid="{00000000-0005-0000-0000-000026500000}"/>
    <cellStyle name="Normal 17 12 2 3 2 2" xfId="40053" xr:uid="{00000000-0005-0000-0000-000027500000}"/>
    <cellStyle name="Normal 17 12 2 3 2 2 2" xfId="56153" xr:uid="{00000000-0005-0000-0000-000028500000}"/>
    <cellStyle name="Normal 17 12 2 3 2 3" xfId="46586" xr:uid="{00000000-0005-0000-0000-000029500000}"/>
    <cellStyle name="Normal 17 12 2 3 2 4" xfId="30486" xr:uid="{00000000-0005-0000-0000-00002A500000}"/>
    <cellStyle name="Normal 17 12 2 3 2 5" xfId="20917" xr:uid="{00000000-0005-0000-0000-00002B500000}"/>
    <cellStyle name="Normal 17 12 2 3 3" xfId="11348" xr:uid="{00000000-0005-0000-0000-00002C500000}"/>
    <cellStyle name="Normal 17 12 2 3 3 2" xfId="49622" xr:uid="{00000000-0005-0000-0000-00002D500000}"/>
    <cellStyle name="Normal 17 12 2 3 3 3" xfId="33522" xr:uid="{00000000-0005-0000-0000-00002E500000}"/>
    <cellStyle name="Normal 17 12 2 3 3 4" xfId="23953" xr:uid="{00000000-0005-0000-0000-00002F500000}"/>
    <cellStyle name="Normal 17 12 2 3 4" xfId="5276" xr:uid="{00000000-0005-0000-0000-000030500000}"/>
    <cellStyle name="Normal 17 12 2 3 4 2" xfId="53117" xr:uid="{00000000-0005-0000-0000-000031500000}"/>
    <cellStyle name="Normal 17 12 2 3 4 3" xfId="37017" xr:uid="{00000000-0005-0000-0000-000032500000}"/>
    <cellStyle name="Normal 17 12 2 3 4 4" xfId="17881" xr:uid="{00000000-0005-0000-0000-000033500000}"/>
    <cellStyle name="Normal 17 12 2 3 5" xfId="43550" xr:uid="{00000000-0005-0000-0000-000034500000}"/>
    <cellStyle name="Normal 17 12 2 3 6" xfId="27450" xr:uid="{00000000-0005-0000-0000-000035500000}"/>
    <cellStyle name="Normal 17 12 2 3 7" xfId="14386" xr:uid="{00000000-0005-0000-0000-000036500000}"/>
    <cellStyle name="Normal 17 12 2 4" xfId="4266" xr:uid="{00000000-0005-0000-0000-000037500000}"/>
    <cellStyle name="Normal 17 12 2 4 2" xfId="36007" xr:uid="{00000000-0005-0000-0000-000038500000}"/>
    <cellStyle name="Normal 17 12 2 4 2 2" xfId="52107" xr:uid="{00000000-0005-0000-0000-000039500000}"/>
    <cellStyle name="Normal 17 12 2 4 3" xfId="42540" xr:uid="{00000000-0005-0000-0000-00003A500000}"/>
    <cellStyle name="Normal 17 12 2 4 4" xfId="26440" xr:uid="{00000000-0005-0000-0000-00003B500000}"/>
    <cellStyle name="Normal 17 12 2 4 5" xfId="16871" xr:uid="{00000000-0005-0000-0000-00003C500000}"/>
    <cellStyle name="Normal 17 12 2 5" xfId="7302" xr:uid="{00000000-0005-0000-0000-00003D500000}"/>
    <cellStyle name="Normal 17 12 2 5 2" xfId="39043" xr:uid="{00000000-0005-0000-0000-00003E500000}"/>
    <cellStyle name="Normal 17 12 2 5 2 2" xfId="55143" xr:uid="{00000000-0005-0000-0000-00003F500000}"/>
    <cellStyle name="Normal 17 12 2 5 3" xfId="45576" xr:uid="{00000000-0005-0000-0000-000040500000}"/>
    <cellStyle name="Normal 17 12 2 5 4" xfId="29476" xr:uid="{00000000-0005-0000-0000-000041500000}"/>
    <cellStyle name="Normal 17 12 2 5 5" xfId="19907" xr:uid="{00000000-0005-0000-0000-000042500000}"/>
    <cellStyle name="Normal 17 12 2 6" xfId="10338" xr:uid="{00000000-0005-0000-0000-000043500000}"/>
    <cellStyle name="Normal 17 12 2 6 2" xfId="48612" xr:uid="{00000000-0005-0000-0000-000044500000}"/>
    <cellStyle name="Normal 17 12 2 6 3" xfId="32512" xr:uid="{00000000-0005-0000-0000-000045500000}"/>
    <cellStyle name="Normal 17 12 2 6 4" xfId="22943" xr:uid="{00000000-0005-0000-0000-000046500000}"/>
    <cellStyle name="Normal 17 12 2 7" xfId="3361" xr:uid="{00000000-0005-0000-0000-000047500000}"/>
    <cellStyle name="Normal 17 12 2 7 2" xfId="51202" xr:uid="{00000000-0005-0000-0000-000048500000}"/>
    <cellStyle name="Normal 17 12 2 7 3" xfId="35102" xr:uid="{00000000-0005-0000-0000-000049500000}"/>
    <cellStyle name="Normal 17 12 2 7 4" xfId="15966" xr:uid="{00000000-0005-0000-0000-00004A500000}"/>
    <cellStyle name="Normal 17 12 2 8" xfId="41635" xr:uid="{00000000-0005-0000-0000-00004B500000}"/>
    <cellStyle name="Normal 17 12 2 9" xfId="25535" xr:uid="{00000000-0005-0000-0000-00004C500000}"/>
    <cellStyle name="Normal 17 12 3" xfId="626" xr:uid="{00000000-0005-0000-0000-00004D500000}"/>
    <cellStyle name="Normal 17 12 3 2" xfId="2654" xr:uid="{00000000-0005-0000-0000-00004E500000}"/>
    <cellStyle name="Normal 17 12 3 2 2" xfId="9186" xr:uid="{00000000-0005-0000-0000-00004F500000}"/>
    <cellStyle name="Normal 17 12 3 2 2 2" xfId="40927" xr:uid="{00000000-0005-0000-0000-000050500000}"/>
    <cellStyle name="Normal 17 12 3 2 2 2 2" xfId="57027" xr:uid="{00000000-0005-0000-0000-000051500000}"/>
    <cellStyle name="Normal 17 12 3 2 2 3" xfId="47460" xr:uid="{00000000-0005-0000-0000-000052500000}"/>
    <cellStyle name="Normal 17 12 3 2 2 4" xfId="31360" xr:uid="{00000000-0005-0000-0000-000053500000}"/>
    <cellStyle name="Normal 17 12 3 2 2 5" xfId="21791" xr:uid="{00000000-0005-0000-0000-000054500000}"/>
    <cellStyle name="Normal 17 12 3 2 3" xfId="12222" xr:uid="{00000000-0005-0000-0000-000055500000}"/>
    <cellStyle name="Normal 17 12 3 2 3 2" xfId="50496" xr:uid="{00000000-0005-0000-0000-000056500000}"/>
    <cellStyle name="Normal 17 12 3 2 3 3" xfId="34396" xr:uid="{00000000-0005-0000-0000-000057500000}"/>
    <cellStyle name="Normal 17 12 3 2 3 4" xfId="24827" xr:uid="{00000000-0005-0000-0000-000058500000}"/>
    <cellStyle name="Normal 17 12 3 2 4" xfId="6150" xr:uid="{00000000-0005-0000-0000-000059500000}"/>
    <cellStyle name="Normal 17 12 3 2 4 2" xfId="53991" xr:uid="{00000000-0005-0000-0000-00005A500000}"/>
    <cellStyle name="Normal 17 12 3 2 4 3" xfId="37891" xr:uid="{00000000-0005-0000-0000-00005B500000}"/>
    <cellStyle name="Normal 17 12 3 2 4 4" xfId="18755" xr:uid="{00000000-0005-0000-0000-00005C500000}"/>
    <cellStyle name="Normal 17 12 3 2 5" xfId="44424" xr:uid="{00000000-0005-0000-0000-00005D500000}"/>
    <cellStyle name="Normal 17 12 3 2 6" xfId="28324" xr:uid="{00000000-0005-0000-0000-00005E500000}"/>
    <cellStyle name="Normal 17 12 3 2 7" xfId="15260" xr:uid="{00000000-0005-0000-0000-00005F500000}"/>
    <cellStyle name="Normal 17 12 3 3" xfId="1636" xr:uid="{00000000-0005-0000-0000-000060500000}"/>
    <cellStyle name="Normal 17 12 3 3 2" xfId="8170" xr:uid="{00000000-0005-0000-0000-000061500000}"/>
    <cellStyle name="Normal 17 12 3 3 2 2" xfId="39911" xr:uid="{00000000-0005-0000-0000-000062500000}"/>
    <cellStyle name="Normal 17 12 3 3 2 2 2" xfId="56011" xr:uid="{00000000-0005-0000-0000-000063500000}"/>
    <cellStyle name="Normal 17 12 3 3 2 3" xfId="46444" xr:uid="{00000000-0005-0000-0000-000064500000}"/>
    <cellStyle name="Normal 17 12 3 3 2 4" xfId="30344" xr:uid="{00000000-0005-0000-0000-000065500000}"/>
    <cellStyle name="Normal 17 12 3 3 2 5" xfId="20775" xr:uid="{00000000-0005-0000-0000-000066500000}"/>
    <cellStyle name="Normal 17 12 3 3 3" xfId="11206" xr:uid="{00000000-0005-0000-0000-000067500000}"/>
    <cellStyle name="Normal 17 12 3 3 3 2" xfId="49480" xr:uid="{00000000-0005-0000-0000-000068500000}"/>
    <cellStyle name="Normal 17 12 3 3 3 3" xfId="33380" xr:uid="{00000000-0005-0000-0000-000069500000}"/>
    <cellStyle name="Normal 17 12 3 3 3 4" xfId="23811" xr:uid="{00000000-0005-0000-0000-00006A500000}"/>
    <cellStyle name="Normal 17 12 3 3 4" xfId="5134" xr:uid="{00000000-0005-0000-0000-00006B500000}"/>
    <cellStyle name="Normal 17 12 3 3 4 2" xfId="52975" xr:uid="{00000000-0005-0000-0000-00006C500000}"/>
    <cellStyle name="Normal 17 12 3 3 4 3" xfId="36875" xr:uid="{00000000-0005-0000-0000-00006D500000}"/>
    <cellStyle name="Normal 17 12 3 3 4 4" xfId="17739" xr:uid="{00000000-0005-0000-0000-00006E500000}"/>
    <cellStyle name="Normal 17 12 3 3 5" xfId="43408" xr:uid="{00000000-0005-0000-0000-00006F500000}"/>
    <cellStyle name="Normal 17 12 3 3 6" xfId="27308" xr:uid="{00000000-0005-0000-0000-000070500000}"/>
    <cellStyle name="Normal 17 12 3 3 7" xfId="14244" xr:uid="{00000000-0005-0000-0000-000071500000}"/>
    <cellStyle name="Normal 17 12 3 4" xfId="7160" xr:uid="{00000000-0005-0000-0000-000072500000}"/>
    <cellStyle name="Normal 17 12 3 4 2" xfId="38901" xr:uid="{00000000-0005-0000-0000-000073500000}"/>
    <cellStyle name="Normal 17 12 3 4 2 2" xfId="55001" xr:uid="{00000000-0005-0000-0000-000074500000}"/>
    <cellStyle name="Normal 17 12 3 4 3" xfId="45434" xr:uid="{00000000-0005-0000-0000-000075500000}"/>
    <cellStyle name="Normal 17 12 3 4 4" xfId="29334" xr:uid="{00000000-0005-0000-0000-000076500000}"/>
    <cellStyle name="Normal 17 12 3 4 5" xfId="19765" xr:uid="{00000000-0005-0000-0000-000077500000}"/>
    <cellStyle name="Normal 17 12 3 5" xfId="10196" xr:uid="{00000000-0005-0000-0000-000078500000}"/>
    <cellStyle name="Normal 17 12 3 5 2" xfId="48470" xr:uid="{00000000-0005-0000-0000-000079500000}"/>
    <cellStyle name="Normal 17 12 3 5 3" xfId="32370" xr:uid="{00000000-0005-0000-0000-00007A500000}"/>
    <cellStyle name="Normal 17 12 3 5 4" xfId="22801" xr:uid="{00000000-0005-0000-0000-00007B500000}"/>
    <cellStyle name="Normal 17 12 3 6" xfId="4124" xr:uid="{00000000-0005-0000-0000-00007C500000}"/>
    <cellStyle name="Normal 17 12 3 6 2" xfId="51965" xr:uid="{00000000-0005-0000-0000-00007D500000}"/>
    <cellStyle name="Normal 17 12 3 6 3" xfId="35865" xr:uid="{00000000-0005-0000-0000-00007E500000}"/>
    <cellStyle name="Normal 17 12 3 6 4" xfId="16729" xr:uid="{00000000-0005-0000-0000-00007F500000}"/>
    <cellStyle name="Normal 17 12 3 7" xfId="42398" xr:uid="{00000000-0005-0000-0000-000080500000}"/>
    <cellStyle name="Normal 17 12 3 8" xfId="26298" xr:uid="{00000000-0005-0000-0000-000081500000}"/>
    <cellStyle name="Normal 17 12 3 9" xfId="13234" xr:uid="{00000000-0005-0000-0000-000082500000}"/>
    <cellStyle name="Normal 17 12 4" xfId="2426" xr:uid="{00000000-0005-0000-0000-000083500000}"/>
    <cellStyle name="Normal 17 12 4 2" xfId="8958" xr:uid="{00000000-0005-0000-0000-000084500000}"/>
    <cellStyle name="Normal 17 12 4 2 2" xfId="40699" xr:uid="{00000000-0005-0000-0000-000085500000}"/>
    <cellStyle name="Normal 17 12 4 2 2 2" xfId="56799" xr:uid="{00000000-0005-0000-0000-000086500000}"/>
    <cellStyle name="Normal 17 12 4 2 3" xfId="47232" xr:uid="{00000000-0005-0000-0000-000087500000}"/>
    <cellStyle name="Normal 17 12 4 2 4" xfId="31132" xr:uid="{00000000-0005-0000-0000-000088500000}"/>
    <cellStyle name="Normal 17 12 4 2 5" xfId="21563" xr:uid="{00000000-0005-0000-0000-000089500000}"/>
    <cellStyle name="Normal 17 12 4 3" xfId="11994" xr:uid="{00000000-0005-0000-0000-00008A500000}"/>
    <cellStyle name="Normal 17 12 4 3 2" xfId="50268" xr:uid="{00000000-0005-0000-0000-00008B500000}"/>
    <cellStyle name="Normal 17 12 4 3 3" xfId="34168" xr:uid="{00000000-0005-0000-0000-00008C500000}"/>
    <cellStyle name="Normal 17 12 4 3 4" xfId="24599" xr:uid="{00000000-0005-0000-0000-00008D500000}"/>
    <cellStyle name="Normal 17 12 4 4" xfId="5922" xr:uid="{00000000-0005-0000-0000-00008E500000}"/>
    <cellStyle name="Normal 17 12 4 4 2" xfId="53763" xr:uid="{00000000-0005-0000-0000-00008F500000}"/>
    <cellStyle name="Normal 17 12 4 4 3" xfId="37663" xr:uid="{00000000-0005-0000-0000-000090500000}"/>
    <cellStyle name="Normal 17 12 4 4 4" xfId="18527" xr:uid="{00000000-0005-0000-0000-000091500000}"/>
    <cellStyle name="Normal 17 12 4 5" xfId="44196" xr:uid="{00000000-0005-0000-0000-000092500000}"/>
    <cellStyle name="Normal 17 12 4 6" xfId="28096" xr:uid="{00000000-0005-0000-0000-000093500000}"/>
    <cellStyle name="Normal 17 12 4 7" xfId="15032" xr:uid="{00000000-0005-0000-0000-000094500000}"/>
    <cellStyle name="Normal 17 12 5" xfId="1095" xr:uid="{00000000-0005-0000-0000-000095500000}"/>
    <cellStyle name="Normal 17 12 5 2" xfId="7629" xr:uid="{00000000-0005-0000-0000-000096500000}"/>
    <cellStyle name="Normal 17 12 5 2 2" xfId="39370" xr:uid="{00000000-0005-0000-0000-000097500000}"/>
    <cellStyle name="Normal 17 12 5 2 2 2" xfId="55470" xr:uid="{00000000-0005-0000-0000-000098500000}"/>
    <cellStyle name="Normal 17 12 5 2 3" xfId="45903" xr:uid="{00000000-0005-0000-0000-000099500000}"/>
    <cellStyle name="Normal 17 12 5 2 4" xfId="29803" xr:uid="{00000000-0005-0000-0000-00009A500000}"/>
    <cellStyle name="Normal 17 12 5 2 5" xfId="20234" xr:uid="{00000000-0005-0000-0000-00009B500000}"/>
    <cellStyle name="Normal 17 12 5 3" xfId="10665" xr:uid="{00000000-0005-0000-0000-00009C500000}"/>
    <cellStyle name="Normal 17 12 5 3 2" xfId="48939" xr:uid="{00000000-0005-0000-0000-00009D500000}"/>
    <cellStyle name="Normal 17 12 5 3 3" xfId="32839" xr:uid="{00000000-0005-0000-0000-00009E500000}"/>
    <cellStyle name="Normal 17 12 5 3 4" xfId="23270" xr:uid="{00000000-0005-0000-0000-00009F500000}"/>
    <cellStyle name="Normal 17 12 5 4" xfId="4593" xr:uid="{00000000-0005-0000-0000-0000A0500000}"/>
    <cellStyle name="Normal 17 12 5 4 2" xfId="52434" xr:uid="{00000000-0005-0000-0000-0000A1500000}"/>
    <cellStyle name="Normal 17 12 5 4 3" xfId="36334" xr:uid="{00000000-0005-0000-0000-0000A2500000}"/>
    <cellStyle name="Normal 17 12 5 4 4" xfId="17198" xr:uid="{00000000-0005-0000-0000-0000A3500000}"/>
    <cellStyle name="Normal 17 12 5 5" xfId="42867" xr:uid="{00000000-0005-0000-0000-0000A4500000}"/>
    <cellStyle name="Normal 17 12 5 6" xfId="26767" xr:uid="{00000000-0005-0000-0000-0000A5500000}"/>
    <cellStyle name="Normal 17 12 5 7" xfId="13703" xr:uid="{00000000-0005-0000-0000-0000A6500000}"/>
    <cellStyle name="Normal 17 12 6" xfId="3583" xr:uid="{00000000-0005-0000-0000-0000A7500000}"/>
    <cellStyle name="Normal 17 12 6 2" xfId="35324" xr:uid="{00000000-0005-0000-0000-0000A8500000}"/>
    <cellStyle name="Normal 17 12 6 2 2" xfId="51424" xr:uid="{00000000-0005-0000-0000-0000A9500000}"/>
    <cellStyle name="Normal 17 12 6 3" xfId="41857" xr:uid="{00000000-0005-0000-0000-0000AA500000}"/>
    <cellStyle name="Normal 17 12 6 4" xfId="25757" xr:uid="{00000000-0005-0000-0000-0000AB500000}"/>
    <cellStyle name="Normal 17 12 6 5" xfId="16188" xr:uid="{00000000-0005-0000-0000-0000AC500000}"/>
    <cellStyle name="Normal 17 12 7" xfId="6619" xr:uid="{00000000-0005-0000-0000-0000AD500000}"/>
    <cellStyle name="Normal 17 12 7 2" xfId="38360" xr:uid="{00000000-0005-0000-0000-0000AE500000}"/>
    <cellStyle name="Normal 17 12 7 2 2" xfId="54460" xr:uid="{00000000-0005-0000-0000-0000AF500000}"/>
    <cellStyle name="Normal 17 12 7 3" xfId="44893" xr:uid="{00000000-0005-0000-0000-0000B0500000}"/>
    <cellStyle name="Normal 17 12 7 4" xfId="28793" xr:uid="{00000000-0005-0000-0000-0000B1500000}"/>
    <cellStyle name="Normal 17 12 7 5" xfId="19224" xr:uid="{00000000-0005-0000-0000-0000B2500000}"/>
    <cellStyle name="Normal 17 12 8" xfId="9655" xr:uid="{00000000-0005-0000-0000-0000B3500000}"/>
    <cellStyle name="Normal 17 12 8 2" xfId="47929" xr:uid="{00000000-0005-0000-0000-0000B4500000}"/>
    <cellStyle name="Normal 17 12 8 3" xfId="31829" xr:uid="{00000000-0005-0000-0000-0000B5500000}"/>
    <cellStyle name="Normal 17 12 8 4" xfId="22260" xr:uid="{00000000-0005-0000-0000-0000B6500000}"/>
    <cellStyle name="Normal 17 12 9" xfId="3123" xr:uid="{00000000-0005-0000-0000-0000B7500000}"/>
    <cellStyle name="Normal 17 12 9 2" xfId="50965" xr:uid="{00000000-0005-0000-0000-0000B8500000}"/>
    <cellStyle name="Normal 17 12 9 3" xfId="34865" xr:uid="{00000000-0005-0000-0000-0000B9500000}"/>
    <cellStyle name="Normal 17 12 9 4" xfId="15729" xr:uid="{00000000-0005-0000-0000-0000BA500000}"/>
    <cellStyle name="Normal 17 13" xfId="508" xr:uid="{00000000-0005-0000-0000-0000BB500000}"/>
    <cellStyle name="Normal 17 13 10" xfId="25491" xr:uid="{00000000-0005-0000-0000-0000BC500000}"/>
    <cellStyle name="Normal 17 13 11" xfId="12885" xr:uid="{00000000-0005-0000-0000-0000BD500000}"/>
    <cellStyle name="Normal 17 13 2" xfId="960" xr:uid="{00000000-0005-0000-0000-0000BE500000}"/>
    <cellStyle name="Normal 17 13 2 2" xfId="2988" xr:uid="{00000000-0005-0000-0000-0000BF500000}"/>
    <cellStyle name="Normal 17 13 2 2 2" xfId="9520" xr:uid="{00000000-0005-0000-0000-0000C0500000}"/>
    <cellStyle name="Normal 17 13 2 2 2 2" xfId="41261" xr:uid="{00000000-0005-0000-0000-0000C1500000}"/>
    <cellStyle name="Normal 17 13 2 2 2 2 2" xfId="57361" xr:uid="{00000000-0005-0000-0000-0000C2500000}"/>
    <cellStyle name="Normal 17 13 2 2 2 3" xfId="47794" xr:uid="{00000000-0005-0000-0000-0000C3500000}"/>
    <cellStyle name="Normal 17 13 2 2 2 4" xfId="31694" xr:uid="{00000000-0005-0000-0000-0000C4500000}"/>
    <cellStyle name="Normal 17 13 2 2 2 5" xfId="22125" xr:uid="{00000000-0005-0000-0000-0000C5500000}"/>
    <cellStyle name="Normal 17 13 2 2 3" xfId="12556" xr:uid="{00000000-0005-0000-0000-0000C6500000}"/>
    <cellStyle name="Normal 17 13 2 2 3 2" xfId="50830" xr:uid="{00000000-0005-0000-0000-0000C7500000}"/>
    <cellStyle name="Normal 17 13 2 2 3 3" xfId="34730" xr:uid="{00000000-0005-0000-0000-0000C8500000}"/>
    <cellStyle name="Normal 17 13 2 2 3 4" xfId="25161" xr:uid="{00000000-0005-0000-0000-0000C9500000}"/>
    <cellStyle name="Normal 17 13 2 2 4" xfId="6484" xr:uid="{00000000-0005-0000-0000-0000CA500000}"/>
    <cellStyle name="Normal 17 13 2 2 4 2" xfId="54325" xr:uid="{00000000-0005-0000-0000-0000CB500000}"/>
    <cellStyle name="Normal 17 13 2 2 4 3" xfId="38225" xr:uid="{00000000-0005-0000-0000-0000CC500000}"/>
    <cellStyle name="Normal 17 13 2 2 4 4" xfId="19089" xr:uid="{00000000-0005-0000-0000-0000CD500000}"/>
    <cellStyle name="Normal 17 13 2 2 5" xfId="44758" xr:uid="{00000000-0005-0000-0000-0000CE500000}"/>
    <cellStyle name="Normal 17 13 2 2 6" xfId="28658" xr:uid="{00000000-0005-0000-0000-0000CF500000}"/>
    <cellStyle name="Normal 17 13 2 2 7" xfId="15594" xr:uid="{00000000-0005-0000-0000-0000D0500000}"/>
    <cellStyle name="Normal 17 13 2 3" xfId="1970" xr:uid="{00000000-0005-0000-0000-0000D1500000}"/>
    <cellStyle name="Normal 17 13 2 3 2" xfId="8504" xr:uid="{00000000-0005-0000-0000-0000D2500000}"/>
    <cellStyle name="Normal 17 13 2 3 2 2" xfId="40245" xr:uid="{00000000-0005-0000-0000-0000D3500000}"/>
    <cellStyle name="Normal 17 13 2 3 2 2 2" xfId="56345" xr:uid="{00000000-0005-0000-0000-0000D4500000}"/>
    <cellStyle name="Normal 17 13 2 3 2 3" xfId="46778" xr:uid="{00000000-0005-0000-0000-0000D5500000}"/>
    <cellStyle name="Normal 17 13 2 3 2 4" xfId="30678" xr:uid="{00000000-0005-0000-0000-0000D6500000}"/>
    <cellStyle name="Normal 17 13 2 3 2 5" xfId="21109" xr:uid="{00000000-0005-0000-0000-0000D7500000}"/>
    <cellStyle name="Normal 17 13 2 3 3" xfId="11540" xr:uid="{00000000-0005-0000-0000-0000D8500000}"/>
    <cellStyle name="Normal 17 13 2 3 3 2" xfId="49814" xr:uid="{00000000-0005-0000-0000-0000D9500000}"/>
    <cellStyle name="Normal 17 13 2 3 3 3" xfId="33714" xr:uid="{00000000-0005-0000-0000-0000DA500000}"/>
    <cellStyle name="Normal 17 13 2 3 3 4" xfId="24145" xr:uid="{00000000-0005-0000-0000-0000DB500000}"/>
    <cellStyle name="Normal 17 13 2 3 4" xfId="5468" xr:uid="{00000000-0005-0000-0000-0000DC500000}"/>
    <cellStyle name="Normal 17 13 2 3 4 2" xfId="53309" xr:uid="{00000000-0005-0000-0000-0000DD500000}"/>
    <cellStyle name="Normal 17 13 2 3 4 3" xfId="37209" xr:uid="{00000000-0005-0000-0000-0000DE500000}"/>
    <cellStyle name="Normal 17 13 2 3 4 4" xfId="18073" xr:uid="{00000000-0005-0000-0000-0000DF500000}"/>
    <cellStyle name="Normal 17 13 2 3 5" xfId="43742" xr:uid="{00000000-0005-0000-0000-0000E0500000}"/>
    <cellStyle name="Normal 17 13 2 3 6" xfId="27642" xr:uid="{00000000-0005-0000-0000-0000E1500000}"/>
    <cellStyle name="Normal 17 13 2 3 7" xfId="14578" xr:uid="{00000000-0005-0000-0000-0000E2500000}"/>
    <cellStyle name="Normal 17 13 2 4" xfId="7494" xr:uid="{00000000-0005-0000-0000-0000E3500000}"/>
    <cellStyle name="Normal 17 13 2 4 2" xfId="39235" xr:uid="{00000000-0005-0000-0000-0000E4500000}"/>
    <cellStyle name="Normal 17 13 2 4 2 2" xfId="55335" xr:uid="{00000000-0005-0000-0000-0000E5500000}"/>
    <cellStyle name="Normal 17 13 2 4 3" xfId="45768" xr:uid="{00000000-0005-0000-0000-0000E6500000}"/>
    <cellStyle name="Normal 17 13 2 4 4" xfId="29668" xr:uid="{00000000-0005-0000-0000-0000E7500000}"/>
    <cellStyle name="Normal 17 13 2 4 5" xfId="20099" xr:uid="{00000000-0005-0000-0000-0000E8500000}"/>
    <cellStyle name="Normal 17 13 2 5" xfId="10530" xr:uid="{00000000-0005-0000-0000-0000E9500000}"/>
    <cellStyle name="Normal 17 13 2 5 2" xfId="48804" xr:uid="{00000000-0005-0000-0000-0000EA500000}"/>
    <cellStyle name="Normal 17 13 2 5 3" xfId="32704" xr:uid="{00000000-0005-0000-0000-0000EB500000}"/>
    <cellStyle name="Normal 17 13 2 5 4" xfId="23135" xr:uid="{00000000-0005-0000-0000-0000EC500000}"/>
    <cellStyle name="Normal 17 13 2 6" xfId="4458" xr:uid="{00000000-0005-0000-0000-0000ED500000}"/>
    <cellStyle name="Normal 17 13 2 6 2" xfId="52299" xr:uid="{00000000-0005-0000-0000-0000EE500000}"/>
    <cellStyle name="Normal 17 13 2 6 3" xfId="36199" xr:uid="{00000000-0005-0000-0000-0000EF500000}"/>
    <cellStyle name="Normal 17 13 2 6 4" xfId="17063" xr:uid="{00000000-0005-0000-0000-0000F0500000}"/>
    <cellStyle name="Normal 17 13 2 7" xfId="42732" xr:uid="{00000000-0005-0000-0000-0000F1500000}"/>
    <cellStyle name="Normal 17 13 2 8" xfId="26632" xr:uid="{00000000-0005-0000-0000-0000F2500000}"/>
    <cellStyle name="Normal 17 13 2 9" xfId="13568" xr:uid="{00000000-0005-0000-0000-0000F3500000}"/>
    <cellStyle name="Normal 17 13 3" xfId="2538" xr:uid="{00000000-0005-0000-0000-0000F4500000}"/>
    <cellStyle name="Normal 17 13 3 2" xfId="9070" xr:uid="{00000000-0005-0000-0000-0000F5500000}"/>
    <cellStyle name="Normal 17 13 3 2 2" xfId="40811" xr:uid="{00000000-0005-0000-0000-0000F6500000}"/>
    <cellStyle name="Normal 17 13 3 2 2 2" xfId="56911" xr:uid="{00000000-0005-0000-0000-0000F7500000}"/>
    <cellStyle name="Normal 17 13 3 2 3" xfId="47344" xr:uid="{00000000-0005-0000-0000-0000F8500000}"/>
    <cellStyle name="Normal 17 13 3 2 4" xfId="31244" xr:uid="{00000000-0005-0000-0000-0000F9500000}"/>
    <cellStyle name="Normal 17 13 3 2 5" xfId="21675" xr:uid="{00000000-0005-0000-0000-0000FA500000}"/>
    <cellStyle name="Normal 17 13 3 3" xfId="12106" xr:uid="{00000000-0005-0000-0000-0000FB500000}"/>
    <cellStyle name="Normal 17 13 3 3 2" xfId="50380" xr:uid="{00000000-0005-0000-0000-0000FC500000}"/>
    <cellStyle name="Normal 17 13 3 3 3" xfId="34280" xr:uid="{00000000-0005-0000-0000-0000FD500000}"/>
    <cellStyle name="Normal 17 13 3 3 4" xfId="24711" xr:uid="{00000000-0005-0000-0000-0000FE500000}"/>
    <cellStyle name="Normal 17 13 3 4" xfId="6034" xr:uid="{00000000-0005-0000-0000-0000FF500000}"/>
    <cellStyle name="Normal 17 13 3 4 2" xfId="53875" xr:uid="{00000000-0005-0000-0000-000000510000}"/>
    <cellStyle name="Normal 17 13 3 4 3" xfId="37775" xr:uid="{00000000-0005-0000-0000-000001510000}"/>
    <cellStyle name="Normal 17 13 3 4 4" xfId="18639" xr:uid="{00000000-0005-0000-0000-000002510000}"/>
    <cellStyle name="Normal 17 13 3 5" xfId="44308" xr:uid="{00000000-0005-0000-0000-000003510000}"/>
    <cellStyle name="Normal 17 13 3 6" xfId="28208" xr:uid="{00000000-0005-0000-0000-000004510000}"/>
    <cellStyle name="Normal 17 13 3 7" xfId="15144" xr:uid="{00000000-0005-0000-0000-000005510000}"/>
    <cellStyle name="Normal 17 13 4" xfId="1287" xr:uid="{00000000-0005-0000-0000-000006510000}"/>
    <cellStyle name="Normal 17 13 4 2" xfId="7821" xr:uid="{00000000-0005-0000-0000-000007510000}"/>
    <cellStyle name="Normal 17 13 4 2 2" xfId="39562" xr:uid="{00000000-0005-0000-0000-000008510000}"/>
    <cellStyle name="Normal 17 13 4 2 2 2" xfId="55662" xr:uid="{00000000-0005-0000-0000-000009510000}"/>
    <cellStyle name="Normal 17 13 4 2 3" xfId="46095" xr:uid="{00000000-0005-0000-0000-00000A510000}"/>
    <cellStyle name="Normal 17 13 4 2 4" xfId="29995" xr:uid="{00000000-0005-0000-0000-00000B510000}"/>
    <cellStyle name="Normal 17 13 4 2 5" xfId="20426" xr:uid="{00000000-0005-0000-0000-00000C510000}"/>
    <cellStyle name="Normal 17 13 4 3" xfId="10857" xr:uid="{00000000-0005-0000-0000-00000D510000}"/>
    <cellStyle name="Normal 17 13 4 3 2" xfId="49131" xr:uid="{00000000-0005-0000-0000-00000E510000}"/>
    <cellStyle name="Normal 17 13 4 3 3" xfId="33031" xr:uid="{00000000-0005-0000-0000-00000F510000}"/>
    <cellStyle name="Normal 17 13 4 3 4" xfId="23462" xr:uid="{00000000-0005-0000-0000-000010510000}"/>
    <cellStyle name="Normal 17 13 4 4" xfId="4785" xr:uid="{00000000-0005-0000-0000-000011510000}"/>
    <cellStyle name="Normal 17 13 4 4 2" xfId="52626" xr:uid="{00000000-0005-0000-0000-000012510000}"/>
    <cellStyle name="Normal 17 13 4 4 3" xfId="36526" xr:uid="{00000000-0005-0000-0000-000013510000}"/>
    <cellStyle name="Normal 17 13 4 4 4" xfId="17390" xr:uid="{00000000-0005-0000-0000-000014510000}"/>
    <cellStyle name="Normal 17 13 4 5" xfId="43059" xr:uid="{00000000-0005-0000-0000-000015510000}"/>
    <cellStyle name="Normal 17 13 4 6" xfId="26959" xr:uid="{00000000-0005-0000-0000-000016510000}"/>
    <cellStyle name="Normal 17 13 4 7" xfId="13895" xr:uid="{00000000-0005-0000-0000-000017510000}"/>
    <cellStyle name="Normal 17 13 5" xfId="3775" xr:uid="{00000000-0005-0000-0000-000018510000}"/>
    <cellStyle name="Normal 17 13 5 2" xfId="35516" xr:uid="{00000000-0005-0000-0000-000019510000}"/>
    <cellStyle name="Normal 17 13 5 2 2" xfId="51616" xr:uid="{00000000-0005-0000-0000-00001A510000}"/>
    <cellStyle name="Normal 17 13 5 3" xfId="42049" xr:uid="{00000000-0005-0000-0000-00001B510000}"/>
    <cellStyle name="Normal 17 13 5 4" xfId="25949" xr:uid="{00000000-0005-0000-0000-00001C510000}"/>
    <cellStyle name="Normal 17 13 5 5" xfId="16380" xr:uid="{00000000-0005-0000-0000-00001D510000}"/>
    <cellStyle name="Normal 17 13 6" xfId="6811" xr:uid="{00000000-0005-0000-0000-00001E510000}"/>
    <cellStyle name="Normal 17 13 6 2" xfId="38552" xr:uid="{00000000-0005-0000-0000-00001F510000}"/>
    <cellStyle name="Normal 17 13 6 2 2" xfId="54652" xr:uid="{00000000-0005-0000-0000-000020510000}"/>
    <cellStyle name="Normal 17 13 6 3" xfId="45085" xr:uid="{00000000-0005-0000-0000-000021510000}"/>
    <cellStyle name="Normal 17 13 6 4" xfId="28985" xr:uid="{00000000-0005-0000-0000-000022510000}"/>
    <cellStyle name="Normal 17 13 6 5" xfId="19416" xr:uid="{00000000-0005-0000-0000-000023510000}"/>
    <cellStyle name="Normal 17 13 7" xfId="9847" xr:uid="{00000000-0005-0000-0000-000024510000}"/>
    <cellStyle name="Normal 17 13 7 2" xfId="48121" xr:uid="{00000000-0005-0000-0000-000025510000}"/>
    <cellStyle name="Normal 17 13 7 3" xfId="32021" xr:uid="{00000000-0005-0000-0000-000026510000}"/>
    <cellStyle name="Normal 17 13 7 4" xfId="22452" xr:uid="{00000000-0005-0000-0000-000027510000}"/>
    <cellStyle name="Normal 17 13 8" xfId="3317" xr:uid="{00000000-0005-0000-0000-000028510000}"/>
    <cellStyle name="Normal 17 13 8 2" xfId="51158" xr:uid="{00000000-0005-0000-0000-000029510000}"/>
    <cellStyle name="Normal 17 13 8 3" xfId="35058" xr:uid="{00000000-0005-0000-0000-00002A510000}"/>
    <cellStyle name="Normal 17 13 8 4" xfId="15922" xr:uid="{00000000-0005-0000-0000-00002B510000}"/>
    <cellStyle name="Normal 17 13 9" xfId="41591" xr:uid="{00000000-0005-0000-0000-00002C510000}"/>
    <cellStyle name="Normal 17 14" xfId="738" xr:uid="{00000000-0005-0000-0000-00002D510000}"/>
    <cellStyle name="Normal 17 14 10" xfId="13346" xr:uid="{00000000-0005-0000-0000-00002E510000}"/>
    <cellStyle name="Normal 17 14 2" xfId="2766" xr:uid="{00000000-0005-0000-0000-00002F510000}"/>
    <cellStyle name="Normal 17 14 2 2" xfId="9298" xr:uid="{00000000-0005-0000-0000-000030510000}"/>
    <cellStyle name="Normal 17 14 2 2 2" xfId="41039" xr:uid="{00000000-0005-0000-0000-000031510000}"/>
    <cellStyle name="Normal 17 14 2 2 2 2" xfId="57139" xr:uid="{00000000-0005-0000-0000-000032510000}"/>
    <cellStyle name="Normal 17 14 2 2 3" xfId="47572" xr:uid="{00000000-0005-0000-0000-000033510000}"/>
    <cellStyle name="Normal 17 14 2 2 4" xfId="31472" xr:uid="{00000000-0005-0000-0000-000034510000}"/>
    <cellStyle name="Normal 17 14 2 2 5" xfId="21903" xr:uid="{00000000-0005-0000-0000-000035510000}"/>
    <cellStyle name="Normal 17 14 2 3" xfId="12334" xr:uid="{00000000-0005-0000-0000-000036510000}"/>
    <cellStyle name="Normal 17 14 2 3 2" xfId="50608" xr:uid="{00000000-0005-0000-0000-000037510000}"/>
    <cellStyle name="Normal 17 14 2 3 3" xfId="34508" xr:uid="{00000000-0005-0000-0000-000038510000}"/>
    <cellStyle name="Normal 17 14 2 3 4" xfId="24939" xr:uid="{00000000-0005-0000-0000-000039510000}"/>
    <cellStyle name="Normal 17 14 2 4" xfId="6262" xr:uid="{00000000-0005-0000-0000-00003A510000}"/>
    <cellStyle name="Normal 17 14 2 4 2" xfId="54103" xr:uid="{00000000-0005-0000-0000-00003B510000}"/>
    <cellStyle name="Normal 17 14 2 4 3" xfId="38003" xr:uid="{00000000-0005-0000-0000-00003C510000}"/>
    <cellStyle name="Normal 17 14 2 4 4" xfId="18867" xr:uid="{00000000-0005-0000-0000-00003D510000}"/>
    <cellStyle name="Normal 17 14 2 5" xfId="44536" xr:uid="{00000000-0005-0000-0000-00003E510000}"/>
    <cellStyle name="Normal 17 14 2 6" xfId="28436" xr:uid="{00000000-0005-0000-0000-00003F510000}"/>
    <cellStyle name="Normal 17 14 2 7" xfId="15372" xr:uid="{00000000-0005-0000-0000-000040510000}"/>
    <cellStyle name="Normal 17 14 3" xfId="1748" xr:uid="{00000000-0005-0000-0000-000041510000}"/>
    <cellStyle name="Normal 17 14 3 2" xfId="8282" xr:uid="{00000000-0005-0000-0000-000042510000}"/>
    <cellStyle name="Normal 17 14 3 2 2" xfId="40023" xr:uid="{00000000-0005-0000-0000-000043510000}"/>
    <cellStyle name="Normal 17 14 3 2 2 2" xfId="56123" xr:uid="{00000000-0005-0000-0000-000044510000}"/>
    <cellStyle name="Normal 17 14 3 2 3" xfId="46556" xr:uid="{00000000-0005-0000-0000-000045510000}"/>
    <cellStyle name="Normal 17 14 3 2 4" xfId="30456" xr:uid="{00000000-0005-0000-0000-000046510000}"/>
    <cellStyle name="Normal 17 14 3 2 5" xfId="20887" xr:uid="{00000000-0005-0000-0000-000047510000}"/>
    <cellStyle name="Normal 17 14 3 3" xfId="11318" xr:uid="{00000000-0005-0000-0000-000048510000}"/>
    <cellStyle name="Normal 17 14 3 3 2" xfId="49592" xr:uid="{00000000-0005-0000-0000-000049510000}"/>
    <cellStyle name="Normal 17 14 3 3 3" xfId="33492" xr:uid="{00000000-0005-0000-0000-00004A510000}"/>
    <cellStyle name="Normal 17 14 3 3 4" xfId="23923" xr:uid="{00000000-0005-0000-0000-00004B510000}"/>
    <cellStyle name="Normal 17 14 3 4" xfId="5246" xr:uid="{00000000-0005-0000-0000-00004C510000}"/>
    <cellStyle name="Normal 17 14 3 4 2" xfId="53087" xr:uid="{00000000-0005-0000-0000-00004D510000}"/>
    <cellStyle name="Normal 17 14 3 4 3" xfId="36987" xr:uid="{00000000-0005-0000-0000-00004E510000}"/>
    <cellStyle name="Normal 17 14 3 4 4" xfId="17851" xr:uid="{00000000-0005-0000-0000-00004F510000}"/>
    <cellStyle name="Normal 17 14 3 5" xfId="43520" xr:uid="{00000000-0005-0000-0000-000050510000}"/>
    <cellStyle name="Normal 17 14 3 6" xfId="27420" xr:uid="{00000000-0005-0000-0000-000051510000}"/>
    <cellStyle name="Normal 17 14 3 7" xfId="14356" xr:uid="{00000000-0005-0000-0000-000052510000}"/>
    <cellStyle name="Normal 17 14 4" xfId="4236" xr:uid="{00000000-0005-0000-0000-000053510000}"/>
    <cellStyle name="Normal 17 14 4 2" xfId="35977" xr:uid="{00000000-0005-0000-0000-000054510000}"/>
    <cellStyle name="Normal 17 14 4 2 2" xfId="52077" xr:uid="{00000000-0005-0000-0000-000055510000}"/>
    <cellStyle name="Normal 17 14 4 3" xfId="42510" xr:uid="{00000000-0005-0000-0000-000056510000}"/>
    <cellStyle name="Normal 17 14 4 4" xfId="26410" xr:uid="{00000000-0005-0000-0000-000057510000}"/>
    <cellStyle name="Normal 17 14 4 5" xfId="16841" xr:uid="{00000000-0005-0000-0000-000058510000}"/>
    <cellStyle name="Normal 17 14 5" xfId="7272" xr:uid="{00000000-0005-0000-0000-000059510000}"/>
    <cellStyle name="Normal 17 14 5 2" xfId="39013" xr:uid="{00000000-0005-0000-0000-00005A510000}"/>
    <cellStyle name="Normal 17 14 5 2 2" xfId="55113" xr:uid="{00000000-0005-0000-0000-00005B510000}"/>
    <cellStyle name="Normal 17 14 5 3" xfId="45546" xr:uid="{00000000-0005-0000-0000-00005C510000}"/>
    <cellStyle name="Normal 17 14 5 4" xfId="29446" xr:uid="{00000000-0005-0000-0000-00005D510000}"/>
    <cellStyle name="Normal 17 14 5 5" xfId="19877" xr:uid="{00000000-0005-0000-0000-00005E510000}"/>
    <cellStyle name="Normal 17 14 6" xfId="10308" xr:uid="{00000000-0005-0000-0000-00005F510000}"/>
    <cellStyle name="Normal 17 14 6 2" xfId="48582" xr:uid="{00000000-0005-0000-0000-000060510000}"/>
    <cellStyle name="Normal 17 14 6 3" xfId="32482" xr:uid="{00000000-0005-0000-0000-000061510000}"/>
    <cellStyle name="Normal 17 14 6 4" xfId="22913" xr:uid="{00000000-0005-0000-0000-000062510000}"/>
    <cellStyle name="Normal 17 14 7" xfId="3331" xr:uid="{00000000-0005-0000-0000-000063510000}"/>
    <cellStyle name="Normal 17 14 7 2" xfId="51172" xr:uid="{00000000-0005-0000-0000-000064510000}"/>
    <cellStyle name="Normal 17 14 7 3" xfId="35072" xr:uid="{00000000-0005-0000-0000-000065510000}"/>
    <cellStyle name="Normal 17 14 7 4" xfId="15936" xr:uid="{00000000-0005-0000-0000-000066510000}"/>
    <cellStyle name="Normal 17 14 8" xfId="41605" xr:uid="{00000000-0005-0000-0000-000067510000}"/>
    <cellStyle name="Normal 17 14 9" xfId="25505" xr:uid="{00000000-0005-0000-0000-000068510000}"/>
    <cellStyle name="Normal 17 15" xfId="2075" xr:uid="{00000000-0005-0000-0000-000069510000}"/>
    <cellStyle name="Normal 17 15 2" xfId="8609" xr:uid="{00000000-0005-0000-0000-00006A510000}"/>
    <cellStyle name="Normal 17 15 2 2" xfId="40350" xr:uid="{00000000-0005-0000-0000-00006B510000}"/>
    <cellStyle name="Normal 17 15 2 2 2" xfId="56450" xr:uid="{00000000-0005-0000-0000-00006C510000}"/>
    <cellStyle name="Normal 17 15 2 3" xfId="46883" xr:uid="{00000000-0005-0000-0000-00006D510000}"/>
    <cellStyle name="Normal 17 15 2 4" xfId="30783" xr:uid="{00000000-0005-0000-0000-00006E510000}"/>
    <cellStyle name="Normal 17 15 2 5" xfId="21214" xr:uid="{00000000-0005-0000-0000-00006F510000}"/>
    <cellStyle name="Normal 17 15 3" xfId="11645" xr:uid="{00000000-0005-0000-0000-000070510000}"/>
    <cellStyle name="Normal 17 15 3 2" xfId="49919" xr:uid="{00000000-0005-0000-0000-000071510000}"/>
    <cellStyle name="Normal 17 15 3 3" xfId="33819" xr:uid="{00000000-0005-0000-0000-000072510000}"/>
    <cellStyle name="Normal 17 15 3 4" xfId="24250" xr:uid="{00000000-0005-0000-0000-000073510000}"/>
    <cellStyle name="Normal 17 15 4" xfId="5573" xr:uid="{00000000-0005-0000-0000-000074510000}"/>
    <cellStyle name="Normal 17 15 4 2" xfId="53414" xr:uid="{00000000-0005-0000-0000-000075510000}"/>
    <cellStyle name="Normal 17 15 4 3" xfId="37314" xr:uid="{00000000-0005-0000-0000-000076510000}"/>
    <cellStyle name="Normal 17 15 4 4" xfId="18178" xr:uid="{00000000-0005-0000-0000-000077510000}"/>
    <cellStyle name="Normal 17 15 5" xfId="43847" xr:uid="{00000000-0005-0000-0000-000078510000}"/>
    <cellStyle name="Normal 17 15 6" xfId="27747" xr:uid="{00000000-0005-0000-0000-000079510000}"/>
    <cellStyle name="Normal 17 15 7" xfId="14683" xr:uid="{00000000-0005-0000-0000-00007A510000}"/>
    <cellStyle name="Normal 17 16" xfId="1065" xr:uid="{00000000-0005-0000-0000-00007B510000}"/>
    <cellStyle name="Normal 17 16 2" xfId="7599" xr:uid="{00000000-0005-0000-0000-00007C510000}"/>
    <cellStyle name="Normal 17 16 2 2" xfId="39340" xr:uid="{00000000-0005-0000-0000-00007D510000}"/>
    <cellStyle name="Normal 17 16 2 2 2" xfId="55440" xr:uid="{00000000-0005-0000-0000-00007E510000}"/>
    <cellStyle name="Normal 17 16 2 3" xfId="45873" xr:uid="{00000000-0005-0000-0000-00007F510000}"/>
    <cellStyle name="Normal 17 16 2 4" xfId="29773" xr:uid="{00000000-0005-0000-0000-000080510000}"/>
    <cellStyle name="Normal 17 16 2 5" xfId="20204" xr:uid="{00000000-0005-0000-0000-000081510000}"/>
    <cellStyle name="Normal 17 16 3" xfId="10635" xr:uid="{00000000-0005-0000-0000-000082510000}"/>
    <cellStyle name="Normal 17 16 3 2" xfId="48909" xr:uid="{00000000-0005-0000-0000-000083510000}"/>
    <cellStyle name="Normal 17 16 3 3" xfId="32809" xr:uid="{00000000-0005-0000-0000-000084510000}"/>
    <cellStyle name="Normal 17 16 3 4" xfId="23240" xr:uid="{00000000-0005-0000-0000-000085510000}"/>
    <cellStyle name="Normal 17 16 4" xfId="4563" xr:uid="{00000000-0005-0000-0000-000086510000}"/>
    <cellStyle name="Normal 17 16 4 2" xfId="52404" xr:uid="{00000000-0005-0000-0000-000087510000}"/>
    <cellStyle name="Normal 17 16 4 3" xfId="36304" xr:uid="{00000000-0005-0000-0000-000088510000}"/>
    <cellStyle name="Normal 17 16 4 4" xfId="17168" xr:uid="{00000000-0005-0000-0000-000089510000}"/>
    <cellStyle name="Normal 17 16 5" xfId="42837" xr:uid="{00000000-0005-0000-0000-00008A510000}"/>
    <cellStyle name="Normal 17 16 6" xfId="26737" xr:uid="{00000000-0005-0000-0000-00008B510000}"/>
    <cellStyle name="Normal 17 16 7" xfId="13673" xr:uid="{00000000-0005-0000-0000-00008C510000}"/>
    <cellStyle name="Normal 17 17" xfId="3553" xr:uid="{00000000-0005-0000-0000-00008D510000}"/>
    <cellStyle name="Normal 17 17 2" xfId="35294" xr:uid="{00000000-0005-0000-0000-00008E510000}"/>
    <cellStyle name="Normal 17 17 2 2" xfId="51394" xr:uid="{00000000-0005-0000-0000-00008F510000}"/>
    <cellStyle name="Normal 17 17 3" xfId="41827" xr:uid="{00000000-0005-0000-0000-000090510000}"/>
    <cellStyle name="Normal 17 17 4" xfId="25727" xr:uid="{00000000-0005-0000-0000-000091510000}"/>
    <cellStyle name="Normal 17 17 5" xfId="16158" xr:uid="{00000000-0005-0000-0000-000092510000}"/>
    <cellStyle name="Normal 17 18" xfId="6589" xr:uid="{00000000-0005-0000-0000-000093510000}"/>
    <cellStyle name="Normal 17 18 2" xfId="38330" xr:uid="{00000000-0005-0000-0000-000094510000}"/>
    <cellStyle name="Normal 17 18 2 2" xfId="54430" xr:uid="{00000000-0005-0000-0000-000095510000}"/>
    <cellStyle name="Normal 17 18 3" xfId="44863" xr:uid="{00000000-0005-0000-0000-000096510000}"/>
    <cellStyle name="Normal 17 18 4" xfId="28763" xr:uid="{00000000-0005-0000-0000-000097510000}"/>
    <cellStyle name="Normal 17 18 5" xfId="19194" xr:uid="{00000000-0005-0000-0000-000098510000}"/>
    <cellStyle name="Normal 17 19" xfId="9625" xr:uid="{00000000-0005-0000-0000-000099510000}"/>
    <cellStyle name="Normal 17 19 2" xfId="47899" xr:uid="{00000000-0005-0000-0000-00009A510000}"/>
    <cellStyle name="Normal 17 19 3" xfId="31799" xr:uid="{00000000-0005-0000-0000-00009B510000}"/>
    <cellStyle name="Normal 17 19 4" xfId="22230" xr:uid="{00000000-0005-0000-0000-00009C510000}"/>
    <cellStyle name="Normal 17 2" xfId="70" xr:uid="{00000000-0005-0000-0000-00009D510000}"/>
    <cellStyle name="Normal 17 2 10" xfId="3571" xr:uid="{00000000-0005-0000-0000-00009E510000}"/>
    <cellStyle name="Normal 17 2 10 2" xfId="35312" xr:uid="{00000000-0005-0000-0000-00009F510000}"/>
    <cellStyle name="Normal 17 2 10 2 2" xfId="51412" xr:uid="{00000000-0005-0000-0000-0000A0510000}"/>
    <cellStyle name="Normal 17 2 10 3" xfId="41845" xr:uid="{00000000-0005-0000-0000-0000A1510000}"/>
    <cellStyle name="Normal 17 2 10 4" xfId="25745" xr:uid="{00000000-0005-0000-0000-0000A2510000}"/>
    <cellStyle name="Normal 17 2 10 5" xfId="16176" xr:uid="{00000000-0005-0000-0000-0000A3510000}"/>
    <cellStyle name="Normal 17 2 11" xfId="6607" xr:uid="{00000000-0005-0000-0000-0000A4510000}"/>
    <cellStyle name="Normal 17 2 11 2" xfId="38348" xr:uid="{00000000-0005-0000-0000-0000A5510000}"/>
    <cellStyle name="Normal 17 2 11 2 2" xfId="54448" xr:uid="{00000000-0005-0000-0000-0000A6510000}"/>
    <cellStyle name="Normal 17 2 11 3" xfId="44881" xr:uid="{00000000-0005-0000-0000-0000A7510000}"/>
    <cellStyle name="Normal 17 2 11 4" xfId="28781" xr:uid="{00000000-0005-0000-0000-0000A8510000}"/>
    <cellStyle name="Normal 17 2 11 5" xfId="19212" xr:uid="{00000000-0005-0000-0000-0000A9510000}"/>
    <cellStyle name="Normal 17 2 12" xfId="9643" xr:uid="{00000000-0005-0000-0000-0000AA510000}"/>
    <cellStyle name="Normal 17 2 12 2" xfId="47917" xr:uid="{00000000-0005-0000-0000-0000AB510000}"/>
    <cellStyle name="Normal 17 2 12 3" xfId="31817" xr:uid="{00000000-0005-0000-0000-0000AC510000}"/>
    <cellStyle name="Normal 17 2 12 4" xfId="22248" xr:uid="{00000000-0005-0000-0000-0000AD510000}"/>
    <cellStyle name="Normal 17 2 13" xfId="3111" xr:uid="{00000000-0005-0000-0000-0000AE510000}"/>
    <cellStyle name="Normal 17 2 13 2" xfId="50953" xr:uid="{00000000-0005-0000-0000-0000AF510000}"/>
    <cellStyle name="Normal 17 2 13 3" xfId="34853" xr:uid="{00000000-0005-0000-0000-0000B0510000}"/>
    <cellStyle name="Normal 17 2 13 4" xfId="15717" xr:uid="{00000000-0005-0000-0000-0000B1510000}"/>
    <cellStyle name="Normal 17 2 14" xfId="41386" xr:uid="{00000000-0005-0000-0000-0000B2510000}"/>
    <cellStyle name="Normal 17 2 15" xfId="25286" xr:uid="{00000000-0005-0000-0000-0000B3510000}"/>
    <cellStyle name="Normal 17 2 16" xfId="12681" xr:uid="{00000000-0005-0000-0000-0000B4510000}"/>
    <cellStyle name="Normal 17 2 2" xfId="141" xr:uid="{00000000-0005-0000-0000-0000B5510000}"/>
    <cellStyle name="Normal 17 2 2 10" xfId="9689" xr:uid="{00000000-0005-0000-0000-0000B6510000}"/>
    <cellStyle name="Normal 17 2 2 10 2" xfId="47963" xr:uid="{00000000-0005-0000-0000-0000B7510000}"/>
    <cellStyle name="Normal 17 2 2 10 3" xfId="31863" xr:uid="{00000000-0005-0000-0000-0000B8510000}"/>
    <cellStyle name="Normal 17 2 2 10 4" xfId="22294" xr:uid="{00000000-0005-0000-0000-0000B9510000}"/>
    <cellStyle name="Normal 17 2 2 11" xfId="3157" xr:uid="{00000000-0005-0000-0000-0000BA510000}"/>
    <cellStyle name="Normal 17 2 2 11 2" xfId="50999" xr:uid="{00000000-0005-0000-0000-0000BB510000}"/>
    <cellStyle name="Normal 17 2 2 11 3" xfId="34899" xr:uid="{00000000-0005-0000-0000-0000BC510000}"/>
    <cellStyle name="Normal 17 2 2 11 4" xfId="15763" xr:uid="{00000000-0005-0000-0000-0000BD510000}"/>
    <cellStyle name="Normal 17 2 2 12" xfId="41432" xr:uid="{00000000-0005-0000-0000-0000BE510000}"/>
    <cellStyle name="Normal 17 2 2 13" xfId="25332" xr:uid="{00000000-0005-0000-0000-0000BF510000}"/>
    <cellStyle name="Normal 17 2 2 14" xfId="12727" xr:uid="{00000000-0005-0000-0000-0000C0510000}"/>
    <cellStyle name="Normal 17 2 2 2" xfId="216" xr:uid="{00000000-0005-0000-0000-0000C1510000}"/>
    <cellStyle name="Normal 17 2 2 2 10" xfId="41669" xr:uid="{00000000-0005-0000-0000-0000C2510000}"/>
    <cellStyle name="Normal 17 2 2 2 11" xfId="25569" xr:uid="{00000000-0005-0000-0000-0000C3510000}"/>
    <cellStyle name="Normal 17 2 2 2 12" xfId="13045" xr:uid="{00000000-0005-0000-0000-0000C4510000}"/>
    <cellStyle name="Normal 17 2 2 2 2" xfId="393" xr:uid="{00000000-0005-0000-0000-0000C5510000}"/>
    <cellStyle name="Normal 17 2 2 2 2 2" xfId="2412" xr:uid="{00000000-0005-0000-0000-0000C6510000}"/>
    <cellStyle name="Normal 17 2 2 2 2 2 2" xfId="8946" xr:uid="{00000000-0005-0000-0000-0000C7510000}"/>
    <cellStyle name="Normal 17 2 2 2 2 2 2 2" xfId="40687" xr:uid="{00000000-0005-0000-0000-0000C8510000}"/>
    <cellStyle name="Normal 17 2 2 2 2 2 2 2 2" xfId="56787" xr:uid="{00000000-0005-0000-0000-0000C9510000}"/>
    <cellStyle name="Normal 17 2 2 2 2 2 2 3" xfId="47220" xr:uid="{00000000-0005-0000-0000-0000CA510000}"/>
    <cellStyle name="Normal 17 2 2 2 2 2 2 4" xfId="31120" xr:uid="{00000000-0005-0000-0000-0000CB510000}"/>
    <cellStyle name="Normal 17 2 2 2 2 2 2 5" xfId="21551" xr:uid="{00000000-0005-0000-0000-0000CC510000}"/>
    <cellStyle name="Normal 17 2 2 2 2 2 3" xfId="11982" xr:uid="{00000000-0005-0000-0000-0000CD510000}"/>
    <cellStyle name="Normal 17 2 2 2 2 2 3 2" xfId="50256" xr:uid="{00000000-0005-0000-0000-0000CE510000}"/>
    <cellStyle name="Normal 17 2 2 2 2 2 3 3" xfId="34156" xr:uid="{00000000-0005-0000-0000-0000CF510000}"/>
    <cellStyle name="Normal 17 2 2 2 2 2 3 4" xfId="24587" xr:uid="{00000000-0005-0000-0000-0000D0510000}"/>
    <cellStyle name="Normal 17 2 2 2 2 2 4" xfId="5910" xr:uid="{00000000-0005-0000-0000-0000D1510000}"/>
    <cellStyle name="Normal 17 2 2 2 2 2 4 2" xfId="53751" xr:uid="{00000000-0005-0000-0000-0000D2510000}"/>
    <cellStyle name="Normal 17 2 2 2 2 2 4 3" xfId="37651" xr:uid="{00000000-0005-0000-0000-0000D3510000}"/>
    <cellStyle name="Normal 17 2 2 2 2 2 4 4" xfId="18515" xr:uid="{00000000-0005-0000-0000-0000D4510000}"/>
    <cellStyle name="Normal 17 2 2 2 2 2 5" xfId="44184" xr:uid="{00000000-0005-0000-0000-0000D5510000}"/>
    <cellStyle name="Normal 17 2 2 2 2 2 6" xfId="28084" xr:uid="{00000000-0005-0000-0000-0000D6510000}"/>
    <cellStyle name="Normal 17 2 2 2 2 2 7" xfId="15020" xr:uid="{00000000-0005-0000-0000-0000D7510000}"/>
    <cellStyle name="Normal 17 2 2 2 2 3" xfId="1624" xr:uid="{00000000-0005-0000-0000-0000D8510000}"/>
    <cellStyle name="Normal 17 2 2 2 2 3 2" xfId="8158" xr:uid="{00000000-0005-0000-0000-0000D9510000}"/>
    <cellStyle name="Normal 17 2 2 2 2 3 2 2" xfId="39899" xr:uid="{00000000-0005-0000-0000-0000DA510000}"/>
    <cellStyle name="Normal 17 2 2 2 2 3 2 2 2" xfId="55999" xr:uid="{00000000-0005-0000-0000-0000DB510000}"/>
    <cellStyle name="Normal 17 2 2 2 2 3 2 3" xfId="46432" xr:uid="{00000000-0005-0000-0000-0000DC510000}"/>
    <cellStyle name="Normal 17 2 2 2 2 3 2 4" xfId="30332" xr:uid="{00000000-0005-0000-0000-0000DD510000}"/>
    <cellStyle name="Normal 17 2 2 2 2 3 2 5" xfId="20763" xr:uid="{00000000-0005-0000-0000-0000DE510000}"/>
    <cellStyle name="Normal 17 2 2 2 2 3 3" xfId="11194" xr:uid="{00000000-0005-0000-0000-0000DF510000}"/>
    <cellStyle name="Normal 17 2 2 2 2 3 3 2" xfId="49468" xr:uid="{00000000-0005-0000-0000-0000E0510000}"/>
    <cellStyle name="Normal 17 2 2 2 2 3 3 3" xfId="33368" xr:uid="{00000000-0005-0000-0000-0000E1510000}"/>
    <cellStyle name="Normal 17 2 2 2 2 3 3 4" xfId="23799" xr:uid="{00000000-0005-0000-0000-0000E2510000}"/>
    <cellStyle name="Normal 17 2 2 2 2 3 4" xfId="5122" xr:uid="{00000000-0005-0000-0000-0000E3510000}"/>
    <cellStyle name="Normal 17 2 2 2 2 3 4 2" xfId="52963" xr:uid="{00000000-0005-0000-0000-0000E4510000}"/>
    <cellStyle name="Normal 17 2 2 2 2 3 4 3" xfId="36863" xr:uid="{00000000-0005-0000-0000-0000E5510000}"/>
    <cellStyle name="Normal 17 2 2 2 2 3 4 4" xfId="17727" xr:uid="{00000000-0005-0000-0000-0000E6510000}"/>
    <cellStyle name="Normal 17 2 2 2 2 3 5" xfId="43396" xr:uid="{00000000-0005-0000-0000-0000E7510000}"/>
    <cellStyle name="Normal 17 2 2 2 2 3 6" xfId="27296" xr:uid="{00000000-0005-0000-0000-0000E8510000}"/>
    <cellStyle name="Normal 17 2 2 2 2 3 7" xfId="14232" xr:uid="{00000000-0005-0000-0000-0000E9510000}"/>
    <cellStyle name="Normal 17 2 2 2 2 4" xfId="7148" xr:uid="{00000000-0005-0000-0000-0000EA510000}"/>
    <cellStyle name="Normal 17 2 2 2 2 4 2" xfId="38889" xr:uid="{00000000-0005-0000-0000-0000EB510000}"/>
    <cellStyle name="Normal 17 2 2 2 2 4 2 2" xfId="54989" xr:uid="{00000000-0005-0000-0000-0000EC510000}"/>
    <cellStyle name="Normal 17 2 2 2 2 4 3" xfId="45422" xr:uid="{00000000-0005-0000-0000-0000ED510000}"/>
    <cellStyle name="Normal 17 2 2 2 2 4 4" xfId="29322" xr:uid="{00000000-0005-0000-0000-0000EE510000}"/>
    <cellStyle name="Normal 17 2 2 2 2 4 5" xfId="19753" xr:uid="{00000000-0005-0000-0000-0000EF510000}"/>
    <cellStyle name="Normal 17 2 2 2 2 5" xfId="10184" xr:uid="{00000000-0005-0000-0000-0000F0510000}"/>
    <cellStyle name="Normal 17 2 2 2 2 5 2" xfId="48458" xr:uid="{00000000-0005-0000-0000-0000F1510000}"/>
    <cellStyle name="Normal 17 2 2 2 2 5 3" xfId="32358" xr:uid="{00000000-0005-0000-0000-0000F2510000}"/>
    <cellStyle name="Normal 17 2 2 2 2 5 4" xfId="22789" xr:uid="{00000000-0005-0000-0000-0000F3510000}"/>
    <cellStyle name="Normal 17 2 2 2 2 6" xfId="4112" xr:uid="{00000000-0005-0000-0000-0000F4510000}"/>
    <cellStyle name="Normal 17 2 2 2 2 6 2" xfId="51953" xr:uid="{00000000-0005-0000-0000-0000F5510000}"/>
    <cellStyle name="Normal 17 2 2 2 2 6 3" xfId="35853" xr:uid="{00000000-0005-0000-0000-0000F6510000}"/>
    <cellStyle name="Normal 17 2 2 2 2 6 4" xfId="16717" xr:uid="{00000000-0005-0000-0000-0000F7510000}"/>
    <cellStyle name="Normal 17 2 2 2 2 7" xfId="42386" xr:uid="{00000000-0005-0000-0000-0000F8510000}"/>
    <cellStyle name="Normal 17 2 2 2 2 8" xfId="26286" xr:uid="{00000000-0005-0000-0000-0000F9510000}"/>
    <cellStyle name="Normal 17 2 2 2 2 9" xfId="13222" xr:uid="{00000000-0005-0000-0000-0000FA510000}"/>
    <cellStyle name="Normal 17 2 2 2 3" xfId="1031" xr:uid="{00000000-0005-0000-0000-0000FB510000}"/>
    <cellStyle name="Normal 17 2 2 2 3 2" xfId="3059" xr:uid="{00000000-0005-0000-0000-0000FC510000}"/>
    <cellStyle name="Normal 17 2 2 2 3 2 2" xfId="9591" xr:uid="{00000000-0005-0000-0000-0000FD510000}"/>
    <cellStyle name="Normal 17 2 2 2 3 2 2 2" xfId="41332" xr:uid="{00000000-0005-0000-0000-0000FE510000}"/>
    <cellStyle name="Normal 17 2 2 2 3 2 2 2 2" xfId="57432" xr:uid="{00000000-0005-0000-0000-0000FF510000}"/>
    <cellStyle name="Normal 17 2 2 2 3 2 2 3" xfId="47865" xr:uid="{00000000-0005-0000-0000-000000520000}"/>
    <cellStyle name="Normal 17 2 2 2 3 2 2 4" xfId="31765" xr:uid="{00000000-0005-0000-0000-000001520000}"/>
    <cellStyle name="Normal 17 2 2 2 3 2 2 5" xfId="22196" xr:uid="{00000000-0005-0000-0000-000002520000}"/>
    <cellStyle name="Normal 17 2 2 2 3 2 3" xfId="12627" xr:uid="{00000000-0005-0000-0000-000003520000}"/>
    <cellStyle name="Normal 17 2 2 2 3 2 3 2" xfId="50901" xr:uid="{00000000-0005-0000-0000-000004520000}"/>
    <cellStyle name="Normal 17 2 2 2 3 2 3 3" xfId="34801" xr:uid="{00000000-0005-0000-0000-000005520000}"/>
    <cellStyle name="Normal 17 2 2 2 3 2 3 4" xfId="25232" xr:uid="{00000000-0005-0000-0000-000006520000}"/>
    <cellStyle name="Normal 17 2 2 2 3 2 4" xfId="6555" xr:uid="{00000000-0005-0000-0000-000007520000}"/>
    <cellStyle name="Normal 17 2 2 2 3 2 4 2" xfId="54396" xr:uid="{00000000-0005-0000-0000-000008520000}"/>
    <cellStyle name="Normal 17 2 2 2 3 2 4 3" xfId="38296" xr:uid="{00000000-0005-0000-0000-000009520000}"/>
    <cellStyle name="Normal 17 2 2 2 3 2 4 4" xfId="19160" xr:uid="{00000000-0005-0000-0000-00000A520000}"/>
    <cellStyle name="Normal 17 2 2 2 3 2 5" xfId="44829" xr:uid="{00000000-0005-0000-0000-00000B520000}"/>
    <cellStyle name="Normal 17 2 2 2 3 2 6" xfId="28729" xr:uid="{00000000-0005-0000-0000-00000C520000}"/>
    <cellStyle name="Normal 17 2 2 2 3 2 7" xfId="15665" xr:uid="{00000000-0005-0000-0000-00000D520000}"/>
    <cellStyle name="Normal 17 2 2 2 3 3" xfId="2041" xr:uid="{00000000-0005-0000-0000-00000E520000}"/>
    <cellStyle name="Normal 17 2 2 2 3 3 2" xfId="8575" xr:uid="{00000000-0005-0000-0000-00000F520000}"/>
    <cellStyle name="Normal 17 2 2 2 3 3 2 2" xfId="40316" xr:uid="{00000000-0005-0000-0000-000010520000}"/>
    <cellStyle name="Normal 17 2 2 2 3 3 2 2 2" xfId="56416" xr:uid="{00000000-0005-0000-0000-000011520000}"/>
    <cellStyle name="Normal 17 2 2 2 3 3 2 3" xfId="46849" xr:uid="{00000000-0005-0000-0000-000012520000}"/>
    <cellStyle name="Normal 17 2 2 2 3 3 2 4" xfId="30749" xr:uid="{00000000-0005-0000-0000-000013520000}"/>
    <cellStyle name="Normal 17 2 2 2 3 3 2 5" xfId="21180" xr:uid="{00000000-0005-0000-0000-000014520000}"/>
    <cellStyle name="Normal 17 2 2 2 3 3 3" xfId="11611" xr:uid="{00000000-0005-0000-0000-000015520000}"/>
    <cellStyle name="Normal 17 2 2 2 3 3 3 2" xfId="49885" xr:uid="{00000000-0005-0000-0000-000016520000}"/>
    <cellStyle name="Normal 17 2 2 2 3 3 3 3" xfId="33785" xr:uid="{00000000-0005-0000-0000-000017520000}"/>
    <cellStyle name="Normal 17 2 2 2 3 3 3 4" xfId="24216" xr:uid="{00000000-0005-0000-0000-000018520000}"/>
    <cellStyle name="Normal 17 2 2 2 3 3 4" xfId="5539" xr:uid="{00000000-0005-0000-0000-000019520000}"/>
    <cellStyle name="Normal 17 2 2 2 3 3 4 2" xfId="53380" xr:uid="{00000000-0005-0000-0000-00001A520000}"/>
    <cellStyle name="Normal 17 2 2 2 3 3 4 3" xfId="37280" xr:uid="{00000000-0005-0000-0000-00001B520000}"/>
    <cellStyle name="Normal 17 2 2 2 3 3 4 4" xfId="18144" xr:uid="{00000000-0005-0000-0000-00001C520000}"/>
    <cellStyle name="Normal 17 2 2 2 3 3 5" xfId="43813" xr:uid="{00000000-0005-0000-0000-00001D520000}"/>
    <cellStyle name="Normal 17 2 2 2 3 3 6" xfId="27713" xr:uid="{00000000-0005-0000-0000-00001E520000}"/>
    <cellStyle name="Normal 17 2 2 2 3 3 7" xfId="14649" xr:uid="{00000000-0005-0000-0000-00001F520000}"/>
    <cellStyle name="Normal 17 2 2 2 3 4" xfId="7565" xr:uid="{00000000-0005-0000-0000-000020520000}"/>
    <cellStyle name="Normal 17 2 2 2 3 4 2" xfId="39306" xr:uid="{00000000-0005-0000-0000-000021520000}"/>
    <cellStyle name="Normal 17 2 2 2 3 4 2 2" xfId="55406" xr:uid="{00000000-0005-0000-0000-000022520000}"/>
    <cellStyle name="Normal 17 2 2 2 3 4 3" xfId="45839" xr:uid="{00000000-0005-0000-0000-000023520000}"/>
    <cellStyle name="Normal 17 2 2 2 3 4 4" xfId="29739" xr:uid="{00000000-0005-0000-0000-000024520000}"/>
    <cellStyle name="Normal 17 2 2 2 3 4 5" xfId="20170" xr:uid="{00000000-0005-0000-0000-000025520000}"/>
    <cellStyle name="Normal 17 2 2 2 3 5" xfId="10601" xr:uid="{00000000-0005-0000-0000-000026520000}"/>
    <cellStyle name="Normal 17 2 2 2 3 5 2" xfId="48875" xr:uid="{00000000-0005-0000-0000-000027520000}"/>
    <cellStyle name="Normal 17 2 2 2 3 5 3" xfId="32775" xr:uid="{00000000-0005-0000-0000-000028520000}"/>
    <cellStyle name="Normal 17 2 2 2 3 5 4" xfId="23206" xr:uid="{00000000-0005-0000-0000-000029520000}"/>
    <cellStyle name="Normal 17 2 2 2 3 6" xfId="4529" xr:uid="{00000000-0005-0000-0000-00002A520000}"/>
    <cellStyle name="Normal 17 2 2 2 3 6 2" xfId="52370" xr:uid="{00000000-0005-0000-0000-00002B520000}"/>
    <cellStyle name="Normal 17 2 2 2 3 6 3" xfId="36270" xr:uid="{00000000-0005-0000-0000-00002C520000}"/>
    <cellStyle name="Normal 17 2 2 2 3 6 4" xfId="17134" xr:uid="{00000000-0005-0000-0000-00002D520000}"/>
    <cellStyle name="Normal 17 2 2 2 3 7" xfId="42803" xr:uid="{00000000-0005-0000-0000-00002E520000}"/>
    <cellStyle name="Normal 17 2 2 2 3 8" xfId="26703" xr:uid="{00000000-0005-0000-0000-00002F520000}"/>
    <cellStyle name="Normal 17 2 2 2 3 9" xfId="13639" xr:uid="{00000000-0005-0000-0000-000030520000}"/>
    <cellStyle name="Normal 17 2 2 2 4" xfId="2235" xr:uid="{00000000-0005-0000-0000-000031520000}"/>
    <cellStyle name="Normal 17 2 2 2 4 2" xfId="8769" xr:uid="{00000000-0005-0000-0000-000032520000}"/>
    <cellStyle name="Normal 17 2 2 2 4 2 2" xfId="40510" xr:uid="{00000000-0005-0000-0000-000033520000}"/>
    <cellStyle name="Normal 17 2 2 2 4 2 2 2" xfId="56610" xr:uid="{00000000-0005-0000-0000-000034520000}"/>
    <cellStyle name="Normal 17 2 2 2 4 2 3" xfId="47043" xr:uid="{00000000-0005-0000-0000-000035520000}"/>
    <cellStyle name="Normal 17 2 2 2 4 2 4" xfId="30943" xr:uid="{00000000-0005-0000-0000-000036520000}"/>
    <cellStyle name="Normal 17 2 2 2 4 2 5" xfId="21374" xr:uid="{00000000-0005-0000-0000-000037520000}"/>
    <cellStyle name="Normal 17 2 2 2 4 3" xfId="11805" xr:uid="{00000000-0005-0000-0000-000038520000}"/>
    <cellStyle name="Normal 17 2 2 2 4 3 2" xfId="50079" xr:uid="{00000000-0005-0000-0000-000039520000}"/>
    <cellStyle name="Normal 17 2 2 2 4 3 3" xfId="33979" xr:uid="{00000000-0005-0000-0000-00003A520000}"/>
    <cellStyle name="Normal 17 2 2 2 4 3 4" xfId="24410" xr:uid="{00000000-0005-0000-0000-00003B520000}"/>
    <cellStyle name="Normal 17 2 2 2 4 4" xfId="5733" xr:uid="{00000000-0005-0000-0000-00003C520000}"/>
    <cellStyle name="Normal 17 2 2 2 4 4 2" xfId="53574" xr:uid="{00000000-0005-0000-0000-00003D520000}"/>
    <cellStyle name="Normal 17 2 2 2 4 4 3" xfId="37474" xr:uid="{00000000-0005-0000-0000-00003E520000}"/>
    <cellStyle name="Normal 17 2 2 2 4 4 4" xfId="18338" xr:uid="{00000000-0005-0000-0000-00003F520000}"/>
    <cellStyle name="Normal 17 2 2 2 4 5" xfId="44007" xr:uid="{00000000-0005-0000-0000-000040520000}"/>
    <cellStyle name="Normal 17 2 2 2 4 6" xfId="27907" xr:uid="{00000000-0005-0000-0000-000041520000}"/>
    <cellStyle name="Normal 17 2 2 2 4 7" xfId="14843" xr:uid="{00000000-0005-0000-0000-000042520000}"/>
    <cellStyle name="Normal 17 2 2 2 5" xfId="1447" xr:uid="{00000000-0005-0000-0000-000043520000}"/>
    <cellStyle name="Normal 17 2 2 2 5 2" xfId="7981" xr:uid="{00000000-0005-0000-0000-000044520000}"/>
    <cellStyle name="Normal 17 2 2 2 5 2 2" xfId="39722" xr:uid="{00000000-0005-0000-0000-000045520000}"/>
    <cellStyle name="Normal 17 2 2 2 5 2 2 2" xfId="55822" xr:uid="{00000000-0005-0000-0000-000046520000}"/>
    <cellStyle name="Normal 17 2 2 2 5 2 3" xfId="46255" xr:uid="{00000000-0005-0000-0000-000047520000}"/>
    <cellStyle name="Normal 17 2 2 2 5 2 4" xfId="30155" xr:uid="{00000000-0005-0000-0000-000048520000}"/>
    <cellStyle name="Normal 17 2 2 2 5 2 5" xfId="20586" xr:uid="{00000000-0005-0000-0000-000049520000}"/>
    <cellStyle name="Normal 17 2 2 2 5 3" xfId="11017" xr:uid="{00000000-0005-0000-0000-00004A520000}"/>
    <cellStyle name="Normal 17 2 2 2 5 3 2" xfId="49291" xr:uid="{00000000-0005-0000-0000-00004B520000}"/>
    <cellStyle name="Normal 17 2 2 2 5 3 3" xfId="33191" xr:uid="{00000000-0005-0000-0000-00004C520000}"/>
    <cellStyle name="Normal 17 2 2 2 5 3 4" xfId="23622" xr:uid="{00000000-0005-0000-0000-00004D520000}"/>
    <cellStyle name="Normal 17 2 2 2 5 4" xfId="4945" xr:uid="{00000000-0005-0000-0000-00004E520000}"/>
    <cellStyle name="Normal 17 2 2 2 5 4 2" xfId="52786" xr:uid="{00000000-0005-0000-0000-00004F520000}"/>
    <cellStyle name="Normal 17 2 2 2 5 4 3" xfId="36686" xr:uid="{00000000-0005-0000-0000-000050520000}"/>
    <cellStyle name="Normal 17 2 2 2 5 4 4" xfId="17550" xr:uid="{00000000-0005-0000-0000-000051520000}"/>
    <cellStyle name="Normal 17 2 2 2 5 5" xfId="43219" xr:uid="{00000000-0005-0000-0000-000052520000}"/>
    <cellStyle name="Normal 17 2 2 2 5 6" xfId="27119" xr:uid="{00000000-0005-0000-0000-000053520000}"/>
    <cellStyle name="Normal 17 2 2 2 5 7" xfId="14055" xr:uid="{00000000-0005-0000-0000-000054520000}"/>
    <cellStyle name="Normal 17 2 2 2 6" xfId="3935" xr:uid="{00000000-0005-0000-0000-000055520000}"/>
    <cellStyle name="Normal 17 2 2 2 6 2" xfId="35676" xr:uid="{00000000-0005-0000-0000-000056520000}"/>
    <cellStyle name="Normal 17 2 2 2 6 2 2" xfId="51776" xr:uid="{00000000-0005-0000-0000-000057520000}"/>
    <cellStyle name="Normal 17 2 2 2 6 3" xfId="42209" xr:uid="{00000000-0005-0000-0000-000058520000}"/>
    <cellStyle name="Normal 17 2 2 2 6 4" xfId="26109" xr:uid="{00000000-0005-0000-0000-000059520000}"/>
    <cellStyle name="Normal 17 2 2 2 6 5" xfId="16540" xr:uid="{00000000-0005-0000-0000-00005A520000}"/>
    <cellStyle name="Normal 17 2 2 2 7" xfId="6971" xr:uid="{00000000-0005-0000-0000-00005B520000}"/>
    <cellStyle name="Normal 17 2 2 2 7 2" xfId="38712" xr:uid="{00000000-0005-0000-0000-00005C520000}"/>
    <cellStyle name="Normal 17 2 2 2 7 2 2" xfId="54812" xr:uid="{00000000-0005-0000-0000-00005D520000}"/>
    <cellStyle name="Normal 17 2 2 2 7 3" xfId="45245" xr:uid="{00000000-0005-0000-0000-00005E520000}"/>
    <cellStyle name="Normal 17 2 2 2 7 4" xfId="29145" xr:uid="{00000000-0005-0000-0000-00005F520000}"/>
    <cellStyle name="Normal 17 2 2 2 7 5" xfId="19576" xr:uid="{00000000-0005-0000-0000-000060520000}"/>
    <cellStyle name="Normal 17 2 2 2 8" xfId="10007" xr:uid="{00000000-0005-0000-0000-000061520000}"/>
    <cellStyle name="Normal 17 2 2 2 8 2" xfId="48281" xr:uid="{00000000-0005-0000-0000-000062520000}"/>
    <cellStyle name="Normal 17 2 2 2 8 3" xfId="32181" xr:uid="{00000000-0005-0000-0000-000063520000}"/>
    <cellStyle name="Normal 17 2 2 2 8 4" xfId="22612" xr:uid="{00000000-0005-0000-0000-000064520000}"/>
    <cellStyle name="Normal 17 2 2 2 9" xfId="3395" xr:uid="{00000000-0005-0000-0000-000065520000}"/>
    <cellStyle name="Normal 17 2 2 2 9 2" xfId="51236" xr:uid="{00000000-0005-0000-0000-000066520000}"/>
    <cellStyle name="Normal 17 2 2 2 9 3" xfId="35136" xr:uid="{00000000-0005-0000-0000-000067520000}"/>
    <cellStyle name="Normal 17 2 2 2 9 4" xfId="16000" xr:uid="{00000000-0005-0000-0000-000068520000}"/>
    <cellStyle name="Normal 17 2 2 3" xfId="322" xr:uid="{00000000-0005-0000-0000-000069520000}"/>
    <cellStyle name="Normal 17 2 2 3 2" xfId="2341" xr:uid="{00000000-0005-0000-0000-00006A520000}"/>
    <cellStyle name="Normal 17 2 2 3 2 2" xfId="8875" xr:uid="{00000000-0005-0000-0000-00006B520000}"/>
    <cellStyle name="Normal 17 2 2 3 2 2 2" xfId="40616" xr:uid="{00000000-0005-0000-0000-00006C520000}"/>
    <cellStyle name="Normal 17 2 2 3 2 2 2 2" xfId="56716" xr:uid="{00000000-0005-0000-0000-00006D520000}"/>
    <cellStyle name="Normal 17 2 2 3 2 2 3" xfId="47149" xr:uid="{00000000-0005-0000-0000-00006E520000}"/>
    <cellStyle name="Normal 17 2 2 3 2 2 4" xfId="31049" xr:uid="{00000000-0005-0000-0000-00006F520000}"/>
    <cellStyle name="Normal 17 2 2 3 2 2 5" xfId="21480" xr:uid="{00000000-0005-0000-0000-000070520000}"/>
    <cellStyle name="Normal 17 2 2 3 2 3" xfId="11911" xr:uid="{00000000-0005-0000-0000-000071520000}"/>
    <cellStyle name="Normal 17 2 2 3 2 3 2" xfId="50185" xr:uid="{00000000-0005-0000-0000-000072520000}"/>
    <cellStyle name="Normal 17 2 2 3 2 3 3" xfId="34085" xr:uid="{00000000-0005-0000-0000-000073520000}"/>
    <cellStyle name="Normal 17 2 2 3 2 3 4" xfId="24516" xr:uid="{00000000-0005-0000-0000-000074520000}"/>
    <cellStyle name="Normal 17 2 2 3 2 4" xfId="5839" xr:uid="{00000000-0005-0000-0000-000075520000}"/>
    <cellStyle name="Normal 17 2 2 3 2 4 2" xfId="53680" xr:uid="{00000000-0005-0000-0000-000076520000}"/>
    <cellStyle name="Normal 17 2 2 3 2 4 3" xfId="37580" xr:uid="{00000000-0005-0000-0000-000077520000}"/>
    <cellStyle name="Normal 17 2 2 3 2 4 4" xfId="18444" xr:uid="{00000000-0005-0000-0000-000078520000}"/>
    <cellStyle name="Normal 17 2 2 3 2 5" xfId="44113" xr:uid="{00000000-0005-0000-0000-000079520000}"/>
    <cellStyle name="Normal 17 2 2 3 2 6" xfId="28013" xr:uid="{00000000-0005-0000-0000-00007A520000}"/>
    <cellStyle name="Normal 17 2 2 3 2 7" xfId="14949" xr:uid="{00000000-0005-0000-0000-00007B520000}"/>
    <cellStyle name="Normal 17 2 2 3 3" xfId="1553" xr:uid="{00000000-0005-0000-0000-00007C520000}"/>
    <cellStyle name="Normal 17 2 2 3 3 2" xfId="8087" xr:uid="{00000000-0005-0000-0000-00007D520000}"/>
    <cellStyle name="Normal 17 2 2 3 3 2 2" xfId="39828" xr:uid="{00000000-0005-0000-0000-00007E520000}"/>
    <cellStyle name="Normal 17 2 2 3 3 2 2 2" xfId="55928" xr:uid="{00000000-0005-0000-0000-00007F520000}"/>
    <cellStyle name="Normal 17 2 2 3 3 2 3" xfId="46361" xr:uid="{00000000-0005-0000-0000-000080520000}"/>
    <cellStyle name="Normal 17 2 2 3 3 2 4" xfId="30261" xr:uid="{00000000-0005-0000-0000-000081520000}"/>
    <cellStyle name="Normal 17 2 2 3 3 2 5" xfId="20692" xr:uid="{00000000-0005-0000-0000-000082520000}"/>
    <cellStyle name="Normal 17 2 2 3 3 3" xfId="11123" xr:uid="{00000000-0005-0000-0000-000083520000}"/>
    <cellStyle name="Normal 17 2 2 3 3 3 2" xfId="49397" xr:uid="{00000000-0005-0000-0000-000084520000}"/>
    <cellStyle name="Normal 17 2 2 3 3 3 3" xfId="33297" xr:uid="{00000000-0005-0000-0000-000085520000}"/>
    <cellStyle name="Normal 17 2 2 3 3 3 4" xfId="23728" xr:uid="{00000000-0005-0000-0000-000086520000}"/>
    <cellStyle name="Normal 17 2 2 3 3 4" xfId="5051" xr:uid="{00000000-0005-0000-0000-000087520000}"/>
    <cellStyle name="Normal 17 2 2 3 3 4 2" xfId="52892" xr:uid="{00000000-0005-0000-0000-000088520000}"/>
    <cellStyle name="Normal 17 2 2 3 3 4 3" xfId="36792" xr:uid="{00000000-0005-0000-0000-000089520000}"/>
    <cellStyle name="Normal 17 2 2 3 3 4 4" xfId="17656" xr:uid="{00000000-0005-0000-0000-00008A520000}"/>
    <cellStyle name="Normal 17 2 2 3 3 5" xfId="43325" xr:uid="{00000000-0005-0000-0000-00008B520000}"/>
    <cellStyle name="Normal 17 2 2 3 3 6" xfId="27225" xr:uid="{00000000-0005-0000-0000-00008C520000}"/>
    <cellStyle name="Normal 17 2 2 3 3 7" xfId="14161" xr:uid="{00000000-0005-0000-0000-00008D520000}"/>
    <cellStyle name="Normal 17 2 2 3 4" xfId="7077" xr:uid="{00000000-0005-0000-0000-00008E520000}"/>
    <cellStyle name="Normal 17 2 2 3 4 2" xfId="38818" xr:uid="{00000000-0005-0000-0000-00008F520000}"/>
    <cellStyle name="Normal 17 2 2 3 4 2 2" xfId="54918" xr:uid="{00000000-0005-0000-0000-000090520000}"/>
    <cellStyle name="Normal 17 2 2 3 4 3" xfId="45351" xr:uid="{00000000-0005-0000-0000-000091520000}"/>
    <cellStyle name="Normal 17 2 2 3 4 4" xfId="29251" xr:uid="{00000000-0005-0000-0000-000092520000}"/>
    <cellStyle name="Normal 17 2 2 3 4 5" xfId="19682" xr:uid="{00000000-0005-0000-0000-000093520000}"/>
    <cellStyle name="Normal 17 2 2 3 5" xfId="10113" xr:uid="{00000000-0005-0000-0000-000094520000}"/>
    <cellStyle name="Normal 17 2 2 3 5 2" xfId="48387" xr:uid="{00000000-0005-0000-0000-000095520000}"/>
    <cellStyle name="Normal 17 2 2 3 5 3" xfId="32287" xr:uid="{00000000-0005-0000-0000-000096520000}"/>
    <cellStyle name="Normal 17 2 2 3 5 4" xfId="22718" xr:uid="{00000000-0005-0000-0000-000097520000}"/>
    <cellStyle name="Normal 17 2 2 3 6" xfId="4041" xr:uid="{00000000-0005-0000-0000-000098520000}"/>
    <cellStyle name="Normal 17 2 2 3 6 2" xfId="51882" xr:uid="{00000000-0005-0000-0000-000099520000}"/>
    <cellStyle name="Normal 17 2 2 3 6 3" xfId="35782" xr:uid="{00000000-0005-0000-0000-00009A520000}"/>
    <cellStyle name="Normal 17 2 2 3 6 4" xfId="16646" xr:uid="{00000000-0005-0000-0000-00009B520000}"/>
    <cellStyle name="Normal 17 2 2 3 7" xfId="42315" xr:uid="{00000000-0005-0000-0000-00009C520000}"/>
    <cellStyle name="Normal 17 2 2 3 8" xfId="26215" xr:uid="{00000000-0005-0000-0000-00009D520000}"/>
    <cellStyle name="Normal 17 2 2 3 9" xfId="13151" xr:uid="{00000000-0005-0000-0000-00009E520000}"/>
    <cellStyle name="Normal 17 2 2 4" xfId="579" xr:uid="{00000000-0005-0000-0000-00009F520000}"/>
    <cellStyle name="Normal 17 2 2 4 2" xfId="2608" xr:uid="{00000000-0005-0000-0000-0000A0520000}"/>
    <cellStyle name="Normal 17 2 2 4 2 2" xfId="9140" xr:uid="{00000000-0005-0000-0000-0000A1520000}"/>
    <cellStyle name="Normal 17 2 2 4 2 2 2" xfId="40881" xr:uid="{00000000-0005-0000-0000-0000A2520000}"/>
    <cellStyle name="Normal 17 2 2 4 2 2 2 2" xfId="56981" xr:uid="{00000000-0005-0000-0000-0000A3520000}"/>
    <cellStyle name="Normal 17 2 2 4 2 2 3" xfId="47414" xr:uid="{00000000-0005-0000-0000-0000A4520000}"/>
    <cellStyle name="Normal 17 2 2 4 2 2 4" xfId="31314" xr:uid="{00000000-0005-0000-0000-0000A5520000}"/>
    <cellStyle name="Normal 17 2 2 4 2 2 5" xfId="21745" xr:uid="{00000000-0005-0000-0000-0000A6520000}"/>
    <cellStyle name="Normal 17 2 2 4 2 3" xfId="12176" xr:uid="{00000000-0005-0000-0000-0000A7520000}"/>
    <cellStyle name="Normal 17 2 2 4 2 3 2" xfId="50450" xr:uid="{00000000-0005-0000-0000-0000A8520000}"/>
    <cellStyle name="Normal 17 2 2 4 2 3 3" xfId="34350" xr:uid="{00000000-0005-0000-0000-0000A9520000}"/>
    <cellStyle name="Normal 17 2 2 4 2 3 4" xfId="24781" xr:uid="{00000000-0005-0000-0000-0000AA520000}"/>
    <cellStyle name="Normal 17 2 2 4 2 4" xfId="6104" xr:uid="{00000000-0005-0000-0000-0000AB520000}"/>
    <cellStyle name="Normal 17 2 2 4 2 4 2" xfId="53945" xr:uid="{00000000-0005-0000-0000-0000AC520000}"/>
    <cellStyle name="Normal 17 2 2 4 2 4 3" xfId="37845" xr:uid="{00000000-0005-0000-0000-0000AD520000}"/>
    <cellStyle name="Normal 17 2 2 4 2 4 4" xfId="18709" xr:uid="{00000000-0005-0000-0000-0000AE520000}"/>
    <cellStyle name="Normal 17 2 2 4 2 5" xfId="44378" xr:uid="{00000000-0005-0000-0000-0000AF520000}"/>
    <cellStyle name="Normal 17 2 2 4 2 6" xfId="28278" xr:uid="{00000000-0005-0000-0000-0000B0520000}"/>
    <cellStyle name="Normal 17 2 2 4 2 7" xfId="15214" xr:uid="{00000000-0005-0000-0000-0000B1520000}"/>
    <cellStyle name="Normal 17 2 2 4 3" xfId="1376" xr:uid="{00000000-0005-0000-0000-0000B2520000}"/>
    <cellStyle name="Normal 17 2 2 4 3 2" xfId="7910" xr:uid="{00000000-0005-0000-0000-0000B3520000}"/>
    <cellStyle name="Normal 17 2 2 4 3 2 2" xfId="39651" xr:uid="{00000000-0005-0000-0000-0000B4520000}"/>
    <cellStyle name="Normal 17 2 2 4 3 2 2 2" xfId="55751" xr:uid="{00000000-0005-0000-0000-0000B5520000}"/>
    <cellStyle name="Normal 17 2 2 4 3 2 3" xfId="46184" xr:uid="{00000000-0005-0000-0000-0000B6520000}"/>
    <cellStyle name="Normal 17 2 2 4 3 2 4" xfId="30084" xr:uid="{00000000-0005-0000-0000-0000B7520000}"/>
    <cellStyle name="Normal 17 2 2 4 3 2 5" xfId="20515" xr:uid="{00000000-0005-0000-0000-0000B8520000}"/>
    <cellStyle name="Normal 17 2 2 4 3 3" xfId="10946" xr:uid="{00000000-0005-0000-0000-0000B9520000}"/>
    <cellStyle name="Normal 17 2 2 4 3 3 2" xfId="49220" xr:uid="{00000000-0005-0000-0000-0000BA520000}"/>
    <cellStyle name="Normal 17 2 2 4 3 3 3" xfId="33120" xr:uid="{00000000-0005-0000-0000-0000BB520000}"/>
    <cellStyle name="Normal 17 2 2 4 3 3 4" xfId="23551" xr:uid="{00000000-0005-0000-0000-0000BC520000}"/>
    <cellStyle name="Normal 17 2 2 4 3 4" xfId="4874" xr:uid="{00000000-0005-0000-0000-0000BD520000}"/>
    <cellStyle name="Normal 17 2 2 4 3 4 2" xfId="52715" xr:uid="{00000000-0005-0000-0000-0000BE520000}"/>
    <cellStyle name="Normal 17 2 2 4 3 4 3" xfId="36615" xr:uid="{00000000-0005-0000-0000-0000BF520000}"/>
    <cellStyle name="Normal 17 2 2 4 3 4 4" xfId="17479" xr:uid="{00000000-0005-0000-0000-0000C0520000}"/>
    <cellStyle name="Normal 17 2 2 4 3 5" xfId="43148" xr:uid="{00000000-0005-0000-0000-0000C1520000}"/>
    <cellStyle name="Normal 17 2 2 4 3 6" xfId="27048" xr:uid="{00000000-0005-0000-0000-0000C2520000}"/>
    <cellStyle name="Normal 17 2 2 4 3 7" xfId="13984" xr:uid="{00000000-0005-0000-0000-0000C3520000}"/>
    <cellStyle name="Normal 17 2 2 4 4" xfId="6900" xr:uid="{00000000-0005-0000-0000-0000C4520000}"/>
    <cellStyle name="Normal 17 2 2 4 4 2" xfId="38641" xr:uid="{00000000-0005-0000-0000-0000C5520000}"/>
    <cellStyle name="Normal 17 2 2 4 4 2 2" xfId="54741" xr:uid="{00000000-0005-0000-0000-0000C6520000}"/>
    <cellStyle name="Normal 17 2 2 4 4 3" xfId="45174" xr:uid="{00000000-0005-0000-0000-0000C7520000}"/>
    <cellStyle name="Normal 17 2 2 4 4 4" xfId="29074" xr:uid="{00000000-0005-0000-0000-0000C8520000}"/>
    <cellStyle name="Normal 17 2 2 4 4 5" xfId="19505" xr:uid="{00000000-0005-0000-0000-0000C9520000}"/>
    <cellStyle name="Normal 17 2 2 4 5" xfId="9936" xr:uid="{00000000-0005-0000-0000-0000CA520000}"/>
    <cellStyle name="Normal 17 2 2 4 5 2" xfId="48210" xr:uid="{00000000-0005-0000-0000-0000CB520000}"/>
    <cellStyle name="Normal 17 2 2 4 5 3" xfId="32110" xr:uid="{00000000-0005-0000-0000-0000CC520000}"/>
    <cellStyle name="Normal 17 2 2 4 5 4" xfId="22541" xr:uid="{00000000-0005-0000-0000-0000CD520000}"/>
    <cellStyle name="Normal 17 2 2 4 6" xfId="3864" xr:uid="{00000000-0005-0000-0000-0000CE520000}"/>
    <cellStyle name="Normal 17 2 2 4 6 2" xfId="51705" xr:uid="{00000000-0005-0000-0000-0000CF520000}"/>
    <cellStyle name="Normal 17 2 2 4 6 3" xfId="35605" xr:uid="{00000000-0005-0000-0000-0000D0520000}"/>
    <cellStyle name="Normal 17 2 2 4 6 4" xfId="16469" xr:uid="{00000000-0005-0000-0000-0000D1520000}"/>
    <cellStyle name="Normal 17 2 2 4 7" xfId="42138" xr:uid="{00000000-0005-0000-0000-0000D2520000}"/>
    <cellStyle name="Normal 17 2 2 4 8" xfId="26038" xr:uid="{00000000-0005-0000-0000-0000D3520000}"/>
    <cellStyle name="Normal 17 2 2 4 9" xfId="12974" xr:uid="{00000000-0005-0000-0000-0000D4520000}"/>
    <cellStyle name="Normal 17 2 2 5" xfId="802" xr:uid="{00000000-0005-0000-0000-0000D5520000}"/>
    <cellStyle name="Normal 17 2 2 5 2" xfId="2830" xr:uid="{00000000-0005-0000-0000-0000D6520000}"/>
    <cellStyle name="Normal 17 2 2 5 2 2" xfId="9362" xr:uid="{00000000-0005-0000-0000-0000D7520000}"/>
    <cellStyle name="Normal 17 2 2 5 2 2 2" xfId="41103" xr:uid="{00000000-0005-0000-0000-0000D8520000}"/>
    <cellStyle name="Normal 17 2 2 5 2 2 2 2" xfId="57203" xr:uid="{00000000-0005-0000-0000-0000D9520000}"/>
    <cellStyle name="Normal 17 2 2 5 2 2 3" xfId="47636" xr:uid="{00000000-0005-0000-0000-0000DA520000}"/>
    <cellStyle name="Normal 17 2 2 5 2 2 4" xfId="31536" xr:uid="{00000000-0005-0000-0000-0000DB520000}"/>
    <cellStyle name="Normal 17 2 2 5 2 2 5" xfId="21967" xr:uid="{00000000-0005-0000-0000-0000DC520000}"/>
    <cellStyle name="Normal 17 2 2 5 2 3" xfId="12398" xr:uid="{00000000-0005-0000-0000-0000DD520000}"/>
    <cellStyle name="Normal 17 2 2 5 2 3 2" xfId="50672" xr:uid="{00000000-0005-0000-0000-0000DE520000}"/>
    <cellStyle name="Normal 17 2 2 5 2 3 3" xfId="34572" xr:uid="{00000000-0005-0000-0000-0000DF520000}"/>
    <cellStyle name="Normal 17 2 2 5 2 3 4" xfId="25003" xr:uid="{00000000-0005-0000-0000-0000E0520000}"/>
    <cellStyle name="Normal 17 2 2 5 2 4" xfId="6326" xr:uid="{00000000-0005-0000-0000-0000E1520000}"/>
    <cellStyle name="Normal 17 2 2 5 2 4 2" xfId="54167" xr:uid="{00000000-0005-0000-0000-0000E2520000}"/>
    <cellStyle name="Normal 17 2 2 5 2 4 3" xfId="38067" xr:uid="{00000000-0005-0000-0000-0000E3520000}"/>
    <cellStyle name="Normal 17 2 2 5 2 4 4" xfId="18931" xr:uid="{00000000-0005-0000-0000-0000E4520000}"/>
    <cellStyle name="Normal 17 2 2 5 2 5" xfId="44600" xr:uid="{00000000-0005-0000-0000-0000E5520000}"/>
    <cellStyle name="Normal 17 2 2 5 2 6" xfId="28500" xr:uid="{00000000-0005-0000-0000-0000E6520000}"/>
    <cellStyle name="Normal 17 2 2 5 2 7" xfId="15436" xr:uid="{00000000-0005-0000-0000-0000E7520000}"/>
    <cellStyle name="Normal 17 2 2 5 3" xfId="1812" xr:uid="{00000000-0005-0000-0000-0000E8520000}"/>
    <cellStyle name="Normal 17 2 2 5 3 2" xfId="8346" xr:uid="{00000000-0005-0000-0000-0000E9520000}"/>
    <cellStyle name="Normal 17 2 2 5 3 2 2" xfId="40087" xr:uid="{00000000-0005-0000-0000-0000EA520000}"/>
    <cellStyle name="Normal 17 2 2 5 3 2 2 2" xfId="56187" xr:uid="{00000000-0005-0000-0000-0000EB520000}"/>
    <cellStyle name="Normal 17 2 2 5 3 2 3" xfId="46620" xr:uid="{00000000-0005-0000-0000-0000EC520000}"/>
    <cellStyle name="Normal 17 2 2 5 3 2 4" xfId="30520" xr:uid="{00000000-0005-0000-0000-0000ED520000}"/>
    <cellStyle name="Normal 17 2 2 5 3 2 5" xfId="20951" xr:uid="{00000000-0005-0000-0000-0000EE520000}"/>
    <cellStyle name="Normal 17 2 2 5 3 3" xfId="11382" xr:uid="{00000000-0005-0000-0000-0000EF520000}"/>
    <cellStyle name="Normal 17 2 2 5 3 3 2" xfId="49656" xr:uid="{00000000-0005-0000-0000-0000F0520000}"/>
    <cellStyle name="Normal 17 2 2 5 3 3 3" xfId="33556" xr:uid="{00000000-0005-0000-0000-0000F1520000}"/>
    <cellStyle name="Normal 17 2 2 5 3 3 4" xfId="23987" xr:uid="{00000000-0005-0000-0000-0000F2520000}"/>
    <cellStyle name="Normal 17 2 2 5 3 4" xfId="5310" xr:uid="{00000000-0005-0000-0000-0000F3520000}"/>
    <cellStyle name="Normal 17 2 2 5 3 4 2" xfId="53151" xr:uid="{00000000-0005-0000-0000-0000F4520000}"/>
    <cellStyle name="Normal 17 2 2 5 3 4 3" xfId="37051" xr:uid="{00000000-0005-0000-0000-0000F5520000}"/>
    <cellStyle name="Normal 17 2 2 5 3 4 4" xfId="17915" xr:uid="{00000000-0005-0000-0000-0000F6520000}"/>
    <cellStyle name="Normal 17 2 2 5 3 5" xfId="43584" xr:uid="{00000000-0005-0000-0000-0000F7520000}"/>
    <cellStyle name="Normal 17 2 2 5 3 6" xfId="27484" xr:uid="{00000000-0005-0000-0000-0000F8520000}"/>
    <cellStyle name="Normal 17 2 2 5 3 7" xfId="14420" xr:uid="{00000000-0005-0000-0000-0000F9520000}"/>
    <cellStyle name="Normal 17 2 2 5 4" xfId="7336" xr:uid="{00000000-0005-0000-0000-0000FA520000}"/>
    <cellStyle name="Normal 17 2 2 5 4 2" xfId="39077" xr:uid="{00000000-0005-0000-0000-0000FB520000}"/>
    <cellStyle name="Normal 17 2 2 5 4 2 2" xfId="55177" xr:uid="{00000000-0005-0000-0000-0000FC520000}"/>
    <cellStyle name="Normal 17 2 2 5 4 3" xfId="45610" xr:uid="{00000000-0005-0000-0000-0000FD520000}"/>
    <cellStyle name="Normal 17 2 2 5 4 4" xfId="29510" xr:uid="{00000000-0005-0000-0000-0000FE520000}"/>
    <cellStyle name="Normal 17 2 2 5 4 5" xfId="19941" xr:uid="{00000000-0005-0000-0000-0000FF520000}"/>
    <cellStyle name="Normal 17 2 2 5 5" xfId="10372" xr:uid="{00000000-0005-0000-0000-000000530000}"/>
    <cellStyle name="Normal 17 2 2 5 5 2" xfId="48646" xr:uid="{00000000-0005-0000-0000-000001530000}"/>
    <cellStyle name="Normal 17 2 2 5 5 3" xfId="32546" xr:uid="{00000000-0005-0000-0000-000002530000}"/>
    <cellStyle name="Normal 17 2 2 5 5 4" xfId="22977" xr:uid="{00000000-0005-0000-0000-000003530000}"/>
    <cellStyle name="Normal 17 2 2 5 6" xfId="4300" xr:uid="{00000000-0005-0000-0000-000004530000}"/>
    <cellStyle name="Normal 17 2 2 5 6 2" xfId="52141" xr:uid="{00000000-0005-0000-0000-000005530000}"/>
    <cellStyle name="Normal 17 2 2 5 6 3" xfId="36041" xr:uid="{00000000-0005-0000-0000-000006530000}"/>
    <cellStyle name="Normal 17 2 2 5 6 4" xfId="16905" xr:uid="{00000000-0005-0000-0000-000007530000}"/>
    <cellStyle name="Normal 17 2 2 5 7" xfId="42574" xr:uid="{00000000-0005-0000-0000-000008530000}"/>
    <cellStyle name="Normal 17 2 2 5 8" xfId="26474" xr:uid="{00000000-0005-0000-0000-000009530000}"/>
    <cellStyle name="Normal 17 2 2 5 9" xfId="13410" xr:uid="{00000000-0005-0000-0000-00000A530000}"/>
    <cellStyle name="Normal 17 2 2 6" xfId="2164" xr:uid="{00000000-0005-0000-0000-00000B530000}"/>
    <cellStyle name="Normal 17 2 2 6 2" xfId="8698" xr:uid="{00000000-0005-0000-0000-00000C530000}"/>
    <cellStyle name="Normal 17 2 2 6 2 2" xfId="40439" xr:uid="{00000000-0005-0000-0000-00000D530000}"/>
    <cellStyle name="Normal 17 2 2 6 2 2 2" xfId="56539" xr:uid="{00000000-0005-0000-0000-00000E530000}"/>
    <cellStyle name="Normal 17 2 2 6 2 3" xfId="46972" xr:uid="{00000000-0005-0000-0000-00000F530000}"/>
    <cellStyle name="Normal 17 2 2 6 2 4" xfId="30872" xr:uid="{00000000-0005-0000-0000-000010530000}"/>
    <cellStyle name="Normal 17 2 2 6 2 5" xfId="21303" xr:uid="{00000000-0005-0000-0000-000011530000}"/>
    <cellStyle name="Normal 17 2 2 6 3" xfId="11734" xr:uid="{00000000-0005-0000-0000-000012530000}"/>
    <cellStyle name="Normal 17 2 2 6 3 2" xfId="50008" xr:uid="{00000000-0005-0000-0000-000013530000}"/>
    <cellStyle name="Normal 17 2 2 6 3 3" xfId="33908" xr:uid="{00000000-0005-0000-0000-000014530000}"/>
    <cellStyle name="Normal 17 2 2 6 3 4" xfId="24339" xr:uid="{00000000-0005-0000-0000-000015530000}"/>
    <cellStyle name="Normal 17 2 2 6 4" xfId="5662" xr:uid="{00000000-0005-0000-0000-000016530000}"/>
    <cellStyle name="Normal 17 2 2 6 4 2" xfId="53503" xr:uid="{00000000-0005-0000-0000-000017530000}"/>
    <cellStyle name="Normal 17 2 2 6 4 3" xfId="37403" xr:uid="{00000000-0005-0000-0000-000018530000}"/>
    <cellStyle name="Normal 17 2 2 6 4 4" xfId="18267" xr:uid="{00000000-0005-0000-0000-000019530000}"/>
    <cellStyle name="Normal 17 2 2 6 5" xfId="43936" xr:uid="{00000000-0005-0000-0000-00001A530000}"/>
    <cellStyle name="Normal 17 2 2 6 6" xfId="27836" xr:uid="{00000000-0005-0000-0000-00001B530000}"/>
    <cellStyle name="Normal 17 2 2 6 7" xfId="14772" xr:uid="{00000000-0005-0000-0000-00001C530000}"/>
    <cellStyle name="Normal 17 2 2 7" xfId="1129" xr:uid="{00000000-0005-0000-0000-00001D530000}"/>
    <cellStyle name="Normal 17 2 2 7 2" xfId="7663" xr:uid="{00000000-0005-0000-0000-00001E530000}"/>
    <cellStyle name="Normal 17 2 2 7 2 2" xfId="39404" xr:uid="{00000000-0005-0000-0000-00001F530000}"/>
    <cellStyle name="Normal 17 2 2 7 2 2 2" xfId="55504" xr:uid="{00000000-0005-0000-0000-000020530000}"/>
    <cellStyle name="Normal 17 2 2 7 2 3" xfId="45937" xr:uid="{00000000-0005-0000-0000-000021530000}"/>
    <cellStyle name="Normal 17 2 2 7 2 4" xfId="29837" xr:uid="{00000000-0005-0000-0000-000022530000}"/>
    <cellStyle name="Normal 17 2 2 7 2 5" xfId="20268" xr:uid="{00000000-0005-0000-0000-000023530000}"/>
    <cellStyle name="Normal 17 2 2 7 3" xfId="10699" xr:uid="{00000000-0005-0000-0000-000024530000}"/>
    <cellStyle name="Normal 17 2 2 7 3 2" xfId="48973" xr:uid="{00000000-0005-0000-0000-000025530000}"/>
    <cellStyle name="Normal 17 2 2 7 3 3" xfId="32873" xr:uid="{00000000-0005-0000-0000-000026530000}"/>
    <cellStyle name="Normal 17 2 2 7 3 4" xfId="23304" xr:uid="{00000000-0005-0000-0000-000027530000}"/>
    <cellStyle name="Normal 17 2 2 7 4" xfId="4627" xr:uid="{00000000-0005-0000-0000-000028530000}"/>
    <cellStyle name="Normal 17 2 2 7 4 2" xfId="52468" xr:uid="{00000000-0005-0000-0000-000029530000}"/>
    <cellStyle name="Normal 17 2 2 7 4 3" xfId="36368" xr:uid="{00000000-0005-0000-0000-00002A530000}"/>
    <cellStyle name="Normal 17 2 2 7 4 4" xfId="17232" xr:uid="{00000000-0005-0000-0000-00002B530000}"/>
    <cellStyle name="Normal 17 2 2 7 5" xfId="42901" xr:uid="{00000000-0005-0000-0000-00002C530000}"/>
    <cellStyle name="Normal 17 2 2 7 6" xfId="26801" xr:uid="{00000000-0005-0000-0000-00002D530000}"/>
    <cellStyle name="Normal 17 2 2 7 7" xfId="13737" xr:uid="{00000000-0005-0000-0000-00002E530000}"/>
    <cellStyle name="Normal 17 2 2 8" xfId="3617" xr:uid="{00000000-0005-0000-0000-00002F530000}"/>
    <cellStyle name="Normal 17 2 2 8 2" xfId="35358" xr:uid="{00000000-0005-0000-0000-000030530000}"/>
    <cellStyle name="Normal 17 2 2 8 2 2" xfId="51458" xr:uid="{00000000-0005-0000-0000-000031530000}"/>
    <cellStyle name="Normal 17 2 2 8 3" xfId="41891" xr:uid="{00000000-0005-0000-0000-000032530000}"/>
    <cellStyle name="Normal 17 2 2 8 4" xfId="25791" xr:uid="{00000000-0005-0000-0000-000033530000}"/>
    <cellStyle name="Normal 17 2 2 8 5" xfId="16222" xr:uid="{00000000-0005-0000-0000-000034530000}"/>
    <cellStyle name="Normal 17 2 2 9" xfId="6653" xr:uid="{00000000-0005-0000-0000-000035530000}"/>
    <cellStyle name="Normal 17 2 2 9 2" xfId="38394" xr:uid="{00000000-0005-0000-0000-000036530000}"/>
    <cellStyle name="Normal 17 2 2 9 2 2" xfId="54494" xr:uid="{00000000-0005-0000-0000-000037530000}"/>
    <cellStyle name="Normal 17 2 2 9 3" xfId="44927" xr:uid="{00000000-0005-0000-0000-000038530000}"/>
    <cellStyle name="Normal 17 2 2 9 4" xfId="28827" xr:uid="{00000000-0005-0000-0000-000039530000}"/>
    <cellStyle name="Normal 17 2 2 9 5" xfId="19258" xr:uid="{00000000-0005-0000-0000-00003A530000}"/>
    <cellStyle name="Normal 17 2 3" xfId="105" xr:uid="{00000000-0005-0000-0000-00003B530000}"/>
    <cellStyle name="Normal 17 2 3 10" xfId="41623" xr:uid="{00000000-0005-0000-0000-00003C530000}"/>
    <cellStyle name="Normal 17 2 3 11" xfId="25523" xr:uid="{00000000-0005-0000-0000-00003D530000}"/>
    <cellStyle name="Normal 17 2 3 12" xfId="12938" xr:uid="{00000000-0005-0000-0000-00003E530000}"/>
    <cellStyle name="Normal 17 2 3 2" xfId="286" xr:uid="{00000000-0005-0000-0000-00003F530000}"/>
    <cellStyle name="Normal 17 2 3 2 2" xfId="2305" xr:uid="{00000000-0005-0000-0000-000040530000}"/>
    <cellStyle name="Normal 17 2 3 2 2 2" xfId="8839" xr:uid="{00000000-0005-0000-0000-000041530000}"/>
    <cellStyle name="Normal 17 2 3 2 2 2 2" xfId="40580" xr:uid="{00000000-0005-0000-0000-000042530000}"/>
    <cellStyle name="Normal 17 2 3 2 2 2 2 2" xfId="56680" xr:uid="{00000000-0005-0000-0000-000043530000}"/>
    <cellStyle name="Normal 17 2 3 2 2 2 3" xfId="47113" xr:uid="{00000000-0005-0000-0000-000044530000}"/>
    <cellStyle name="Normal 17 2 3 2 2 2 4" xfId="31013" xr:uid="{00000000-0005-0000-0000-000045530000}"/>
    <cellStyle name="Normal 17 2 3 2 2 2 5" xfId="21444" xr:uid="{00000000-0005-0000-0000-000046530000}"/>
    <cellStyle name="Normal 17 2 3 2 2 3" xfId="11875" xr:uid="{00000000-0005-0000-0000-000047530000}"/>
    <cellStyle name="Normal 17 2 3 2 2 3 2" xfId="50149" xr:uid="{00000000-0005-0000-0000-000048530000}"/>
    <cellStyle name="Normal 17 2 3 2 2 3 3" xfId="34049" xr:uid="{00000000-0005-0000-0000-000049530000}"/>
    <cellStyle name="Normal 17 2 3 2 2 3 4" xfId="24480" xr:uid="{00000000-0005-0000-0000-00004A530000}"/>
    <cellStyle name="Normal 17 2 3 2 2 4" xfId="5803" xr:uid="{00000000-0005-0000-0000-00004B530000}"/>
    <cellStyle name="Normal 17 2 3 2 2 4 2" xfId="53644" xr:uid="{00000000-0005-0000-0000-00004C530000}"/>
    <cellStyle name="Normal 17 2 3 2 2 4 3" xfId="37544" xr:uid="{00000000-0005-0000-0000-00004D530000}"/>
    <cellStyle name="Normal 17 2 3 2 2 4 4" xfId="18408" xr:uid="{00000000-0005-0000-0000-00004E530000}"/>
    <cellStyle name="Normal 17 2 3 2 2 5" xfId="44077" xr:uid="{00000000-0005-0000-0000-00004F530000}"/>
    <cellStyle name="Normal 17 2 3 2 2 6" xfId="27977" xr:uid="{00000000-0005-0000-0000-000050530000}"/>
    <cellStyle name="Normal 17 2 3 2 2 7" xfId="14913" xr:uid="{00000000-0005-0000-0000-000051530000}"/>
    <cellStyle name="Normal 17 2 3 2 3" xfId="1517" xr:uid="{00000000-0005-0000-0000-000052530000}"/>
    <cellStyle name="Normal 17 2 3 2 3 2" xfId="8051" xr:uid="{00000000-0005-0000-0000-000053530000}"/>
    <cellStyle name="Normal 17 2 3 2 3 2 2" xfId="39792" xr:uid="{00000000-0005-0000-0000-000054530000}"/>
    <cellStyle name="Normal 17 2 3 2 3 2 2 2" xfId="55892" xr:uid="{00000000-0005-0000-0000-000055530000}"/>
    <cellStyle name="Normal 17 2 3 2 3 2 3" xfId="46325" xr:uid="{00000000-0005-0000-0000-000056530000}"/>
    <cellStyle name="Normal 17 2 3 2 3 2 4" xfId="30225" xr:uid="{00000000-0005-0000-0000-000057530000}"/>
    <cellStyle name="Normal 17 2 3 2 3 2 5" xfId="20656" xr:uid="{00000000-0005-0000-0000-000058530000}"/>
    <cellStyle name="Normal 17 2 3 2 3 3" xfId="11087" xr:uid="{00000000-0005-0000-0000-000059530000}"/>
    <cellStyle name="Normal 17 2 3 2 3 3 2" xfId="49361" xr:uid="{00000000-0005-0000-0000-00005A530000}"/>
    <cellStyle name="Normal 17 2 3 2 3 3 3" xfId="33261" xr:uid="{00000000-0005-0000-0000-00005B530000}"/>
    <cellStyle name="Normal 17 2 3 2 3 3 4" xfId="23692" xr:uid="{00000000-0005-0000-0000-00005C530000}"/>
    <cellStyle name="Normal 17 2 3 2 3 4" xfId="5015" xr:uid="{00000000-0005-0000-0000-00005D530000}"/>
    <cellStyle name="Normal 17 2 3 2 3 4 2" xfId="52856" xr:uid="{00000000-0005-0000-0000-00005E530000}"/>
    <cellStyle name="Normal 17 2 3 2 3 4 3" xfId="36756" xr:uid="{00000000-0005-0000-0000-00005F530000}"/>
    <cellStyle name="Normal 17 2 3 2 3 4 4" xfId="17620" xr:uid="{00000000-0005-0000-0000-000060530000}"/>
    <cellStyle name="Normal 17 2 3 2 3 5" xfId="43289" xr:uid="{00000000-0005-0000-0000-000061530000}"/>
    <cellStyle name="Normal 17 2 3 2 3 6" xfId="27189" xr:uid="{00000000-0005-0000-0000-000062530000}"/>
    <cellStyle name="Normal 17 2 3 2 3 7" xfId="14125" xr:uid="{00000000-0005-0000-0000-000063530000}"/>
    <cellStyle name="Normal 17 2 3 2 4" xfId="7041" xr:uid="{00000000-0005-0000-0000-000064530000}"/>
    <cellStyle name="Normal 17 2 3 2 4 2" xfId="38782" xr:uid="{00000000-0005-0000-0000-000065530000}"/>
    <cellStyle name="Normal 17 2 3 2 4 2 2" xfId="54882" xr:uid="{00000000-0005-0000-0000-000066530000}"/>
    <cellStyle name="Normal 17 2 3 2 4 3" xfId="45315" xr:uid="{00000000-0005-0000-0000-000067530000}"/>
    <cellStyle name="Normal 17 2 3 2 4 4" xfId="29215" xr:uid="{00000000-0005-0000-0000-000068530000}"/>
    <cellStyle name="Normal 17 2 3 2 4 5" xfId="19646" xr:uid="{00000000-0005-0000-0000-000069530000}"/>
    <cellStyle name="Normal 17 2 3 2 5" xfId="10077" xr:uid="{00000000-0005-0000-0000-00006A530000}"/>
    <cellStyle name="Normal 17 2 3 2 5 2" xfId="48351" xr:uid="{00000000-0005-0000-0000-00006B530000}"/>
    <cellStyle name="Normal 17 2 3 2 5 3" xfId="32251" xr:uid="{00000000-0005-0000-0000-00006C530000}"/>
    <cellStyle name="Normal 17 2 3 2 5 4" xfId="22682" xr:uid="{00000000-0005-0000-0000-00006D530000}"/>
    <cellStyle name="Normal 17 2 3 2 6" xfId="4005" xr:uid="{00000000-0005-0000-0000-00006E530000}"/>
    <cellStyle name="Normal 17 2 3 2 6 2" xfId="51846" xr:uid="{00000000-0005-0000-0000-00006F530000}"/>
    <cellStyle name="Normal 17 2 3 2 6 3" xfId="35746" xr:uid="{00000000-0005-0000-0000-000070530000}"/>
    <cellStyle name="Normal 17 2 3 2 6 4" xfId="16610" xr:uid="{00000000-0005-0000-0000-000071530000}"/>
    <cellStyle name="Normal 17 2 3 2 7" xfId="42279" xr:uid="{00000000-0005-0000-0000-000072530000}"/>
    <cellStyle name="Normal 17 2 3 2 8" xfId="26179" xr:uid="{00000000-0005-0000-0000-000073530000}"/>
    <cellStyle name="Normal 17 2 3 2 9" xfId="13115" xr:uid="{00000000-0005-0000-0000-000074530000}"/>
    <cellStyle name="Normal 17 2 3 3" xfId="978" xr:uid="{00000000-0005-0000-0000-000075530000}"/>
    <cellStyle name="Normal 17 2 3 3 2" xfId="3006" xr:uid="{00000000-0005-0000-0000-000076530000}"/>
    <cellStyle name="Normal 17 2 3 3 2 2" xfId="9538" xr:uid="{00000000-0005-0000-0000-000077530000}"/>
    <cellStyle name="Normal 17 2 3 3 2 2 2" xfId="41279" xr:uid="{00000000-0005-0000-0000-000078530000}"/>
    <cellStyle name="Normal 17 2 3 3 2 2 2 2" xfId="57379" xr:uid="{00000000-0005-0000-0000-000079530000}"/>
    <cellStyle name="Normal 17 2 3 3 2 2 3" xfId="47812" xr:uid="{00000000-0005-0000-0000-00007A530000}"/>
    <cellStyle name="Normal 17 2 3 3 2 2 4" xfId="31712" xr:uid="{00000000-0005-0000-0000-00007B530000}"/>
    <cellStyle name="Normal 17 2 3 3 2 2 5" xfId="22143" xr:uid="{00000000-0005-0000-0000-00007C530000}"/>
    <cellStyle name="Normal 17 2 3 3 2 3" xfId="12574" xr:uid="{00000000-0005-0000-0000-00007D530000}"/>
    <cellStyle name="Normal 17 2 3 3 2 3 2" xfId="50848" xr:uid="{00000000-0005-0000-0000-00007E530000}"/>
    <cellStyle name="Normal 17 2 3 3 2 3 3" xfId="34748" xr:uid="{00000000-0005-0000-0000-00007F530000}"/>
    <cellStyle name="Normal 17 2 3 3 2 3 4" xfId="25179" xr:uid="{00000000-0005-0000-0000-000080530000}"/>
    <cellStyle name="Normal 17 2 3 3 2 4" xfId="6502" xr:uid="{00000000-0005-0000-0000-000081530000}"/>
    <cellStyle name="Normal 17 2 3 3 2 4 2" xfId="54343" xr:uid="{00000000-0005-0000-0000-000082530000}"/>
    <cellStyle name="Normal 17 2 3 3 2 4 3" xfId="38243" xr:uid="{00000000-0005-0000-0000-000083530000}"/>
    <cellStyle name="Normal 17 2 3 3 2 4 4" xfId="19107" xr:uid="{00000000-0005-0000-0000-000084530000}"/>
    <cellStyle name="Normal 17 2 3 3 2 5" xfId="44776" xr:uid="{00000000-0005-0000-0000-000085530000}"/>
    <cellStyle name="Normal 17 2 3 3 2 6" xfId="28676" xr:uid="{00000000-0005-0000-0000-000086530000}"/>
    <cellStyle name="Normal 17 2 3 3 2 7" xfId="15612" xr:uid="{00000000-0005-0000-0000-000087530000}"/>
    <cellStyle name="Normal 17 2 3 3 3" xfId="1988" xr:uid="{00000000-0005-0000-0000-000088530000}"/>
    <cellStyle name="Normal 17 2 3 3 3 2" xfId="8522" xr:uid="{00000000-0005-0000-0000-000089530000}"/>
    <cellStyle name="Normal 17 2 3 3 3 2 2" xfId="40263" xr:uid="{00000000-0005-0000-0000-00008A530000}"/>
    <cellStyle name="Normal 17 2 3 3 3 2 2 2" xfId="56363" xr:uid="{00000000-0005-0000-0000-00008B530000}"/>
    <cellStyle name="Normal 17 2 3 3 3 2 3" xfId="46796" xr:uid="{00000000-0005-0000-0000-00008C530000}"/>
    <cellStyle name="Normal 17 2 3 3 3 2 4" xfId="30696" xr:uid="{00000000-0005-0000-0000-00008D530000}"/>
    <cellStyle name="Normal 17 2 3 3 3 2 5" xfId="21127" xr:uid="{00000000-0005-0000-0000-00008E530000}"/>
    <cellStyle name="Normal 17 2 3 3 3 3" xfId="11558" xr:uid="{00000000-0005-0000-0000-00008F530000}"/>
    <cellStyle name="Normal 17 2 3 3 3 3 2" xfId="49832" xr:uid="{00000000-0005-0000-0000-000090530000}"/>
    <cellStyle name="Normal 17 2 3 3 3 3 3" xfId="33732" xr:uid="{00000000-0005-0000-0000-000091530000}"/>
    <cellStyle name="Normal 17 2 3 3 3 3 4" xfId="24163" xr:uid="{00000000-0005-0000-0000-000092530000}"/>
    <cellStyle name="Normal 17 2 3 3 3 4" xfId="5486" xr:uid="{00000000-0005-0000-0000-000093530000}"/>
    <cellStyle name="Normal 17 2 3 3 3 4 2" xfId="53327" xr:uid="{00000000-0005-0000-0000-000094530000}"/>
    <cellStyle name="Normal 17 2 3 3 3 4 3" xfId="37227" xr:uid="{00000000-0005-0000-0000-000095530000}"/>
    <cellStyle name="Normal 17 2 3 3 3 4 4" xfId="18091" xr:uid="{00000000-0005-0000-0000-000096530000}"/>
    <cellStyle name="Normal 17 2 3 3 3 5" xfId="43760" xr:uid="{00000000-0005-0000-0000-000097530000}"/>
    <cellStyle name="Normal 17 2 3 3 3 6" xfId="27660" xr:uid="{00000000-0005-0000-0000-000098530000}"/>
    <cellStyle name="Normal 17 2 3 3 3 7" xfId="14596" xr:uid="{00000000-0005-0000-0000-000099530000}"/>
    <cellStyle name="Normal 17 2 3 3 4" xfId="7512" xr:uid="{00000000-0005-0000-0000-00009A530000}"/>
    <cellStyle name="Normal 17 2 3 3 4 2" xfId="39253" xr:uid="{00000000-0005-0000-0000-00009B530000}"/>
    <cellStyle name="Normal 17 2 3 3 4 2 2" xfId="55353" xr:uid="{00000000-0005-0000-0000-00009C530000}"/>
    <cellStyle name="Normal 17 2 3 3 4 3" xfId="45786" xr:uid="{00000000-0005-0000-0000-00009D530000}"/>
    <cellStyle name="Normal 17 2 3 3 4 4" xfId="29686" xr:uid="{00000000-0005-0000-0000-00009E530000}"/>
    <cellStyle name="Normal 17 2 3 3 4 5" xfId="20117" xr:uid="{00000000-0005-0000-0000-00009F530000}"/>
    <cellStyle name="Normal 17 2 3 3 5" xfId="10548" xr:uid="{00000000-0005-0000-0000-0000A0530000}"/>
    <cellStyle name="Normal 17 2 3 3 5 2" xfId="48822" xr:uid="{00000000-0005-0000-0000-0000A1530000}"/>
    <cellStyle name="Normal 17 2 3 3 5 3" xfId="32722" xr:uid="{00000000-0005-0000-0000-0000A2530000}"/>
    <cellStyle name="Normal 17 2 3 3 5 4" xfId="23153" xr:uid="{00000000-0005-0000-0000-0000A3530000}"/>
    <cellStyle name="Normal 17 2 3 3 6" xfId="4476" xr:uid="{00000000-0005-0000-0000-0000A4530000}"/>
    <cellStyle name="Normal 17 2 3 3 6 2" xfId="52317" xr:uid="{00000000-0005-0000-0000-0000A5530000}"/>
    <cellStyle name="Normal 17 2 3 3 6 3" xfId="36217" xr:uid="{00000000-0005-0000-0000-0000A6530000}"/>
    <cellStyle name="Normal 17 2 3 3 6 4" xfId="17081" xr:uid="{00000000-0005-0000-0000-0000A7530000}"/>
    <cellStyle name="Normal 17 2 3 3 7" xfId="42750" xr:uid="{00000000-0005-0000-0000-0000A8530000}"/>
    <cellStyle name="Normal 17 2 3 3 8" xfId="26650" xr:uid="{00000000-0005-0000-0000-0000A9530000}"/>
    <cellStyle name="Normal 17 2 3 3 9" xfId="13586" xr:uid="{00000000-0005-0000-0000-0000AA530000}"/>
    <cellStyle name="Normal 17 2 3 4" xfId="2128" xr:uid="{00000000-0005-0000-0000-0000AB530000}"/>
    <cellStyle name="Normal 17 2 3 4 2" xfId="8662" xr:uid="{00000000-0005-0000-0000-0000AC530000}"/>
    <cellStyle name="Normal 17 2 3 4 2 2" xfId="40403" xr:uid="{00000000-0005-0000-0000-0000AD530000}"/>
    <cellStyle name="Normal 17 2 3 4 2 2 2" xfId="56503" xr:uid="{00000000-0005-0000-0000-0000AE530000}"/>
    <cellStyle name="Normal 17 2 3 4 2 3" xfId="46936" xr:uid="{00000000-0005-0000-0000-0000AF530000}"/>
    <cellStyle name="Normal 17 2 3 4 2 4" xfId="30836" xr:uid="{00000000-0005-0000-0000-0000B0530000}"/>
    <cellStyle name="Normal 17 2 3 4 2 5" xfId="21267" xr:uid="{00000000-0005-0000-0000-0000B1530000}"/>
    <cellStyle name="Normal 17 2 3 4 3" xfId="11698" xr:uid="{00000000-0005-0000-0000-0000B2530000}"/>
    <cellStyle name="Normal 17 2 3 4 3 2" xfId="49972" xr:uid="{00000000-0005-0000-0000-0000B3530000}"/>
    <cellStyle name="Normal 17 2 3 4 3 3" xfId="33872" xr:uid="{00000000-0005-0000-0000-0000B4530000}"/>
    <cellStyle name="Normal 17 2 3 4 3 4" xfId="24303" xr:uid="{00000000-0005-0000-0000-0000B5530000}"/>
    <cellStyle name="Normal 17 2 3 4 4" xfId="5626" xr:uid="{00000000-0005-0000-0000-0000B6530000}"/>
    <cellStyle name="Normal 17 2 3 4 4 2" xfId="53467" xr:uid="{00000000-0005-0000-0000-0000B7530000}"/>
    <cellStyle name="Normal 17 2 3 4 4 3" xfId="37367" xr:uid="{00000000-0005-0000-0000-0000B8530000}"/>
    <cellStyle name="Normal 17 2 3 4 4 4" xfId="18231" xr:uid="{00000000-0005-0000-0000-0000B9530000}"/>
    <cellStyle name="Normal 17 2 3 4 5" xfId="43900" xr:uid="{00000000-0005-0000-0000-0000BA530000}"/>
    <cellStyle name="Normal 17 2 3 4 6" xfId="27800" xr:uid="{00000000-0005-0000-0000-0000BB530000}"/>
    <cellStyle name="Normal 17 2 3 4 7" xfId="14736" xr:uid="{00000000-0005-0000-0000-0000BC530000}"/>
    <cellStyle name="Normal 17 2 3 5" xfId="1340" xr:uid="{00000000-0005-0000-0000-0000BD530000}"/>
    <cellStyle name="Normal 17 2 3 5 2" xfId="7874" xr:uid="{00000000-0005-0000-0000-0000BE530000}"/>
    <cellStyle name="Normal 17 2 3 5 2 2" xfId="39615" xr:uid="{00000000-0005-0000-0000-0000BF530000}"/>
    <cellStyle name="Normal 17 2 3 5 2 2 2" xfId="55715" xr:uid="{00000000-0005-0000-0000-0000C0530000}"/>
    <cellStyle name="Normal 17 2 3 5 2 3" xfId="46148" xr:uid="{00000000-0005-0000-0000-0000C1530000}"/>
    <cellStyle name="Normal 17 2 3 5 2 4" xfId="30048" xr:uid="{00000000-0005-0000-0000-0000C2530000}"/>
    <cellStyle name="Normal 17 2 3 5 2 5" xfId="20479" xr:uid="{00000000-0005-0000-0000-0000C3530000}"/>
    <cellStyle name="Normal 17 2 3 5 3" xfId="10910" xr:uid="{00000000-0005-0000-0000-0000C4530000}"/>
    <cellStyle name="Normal 17 2 3 5 3 2" xfId="49184" xr:uid="{00000000-0005-0000-0000-0000C5530000}"/>
    <cellStyle name="Normal 17 2 3 5 3 3" xfId="33084" xr:uid="{00000000-0005-0000-0000-0000C6530000}"/>
    <cellStyle name="Normal 17 2 3 5 3 4" xfId="23515" xr:uid="{00000000-0005-0000-0000-0000C7530000}"/>
    <cellStyle name="Normal 17 2 3 5 4" xfId="4838" xr:uid="{00000000-0005-0000-0000-0000C8530000}"/>
    <cellStyle name="Normal 17 2 3 5 4 2" xfId="52679" xr:uid="{00000000-0005-0000-0000-0000C9530000}"/>
    <cellStyle name="Normal 17 2 3 5 4 3" xfId="36579" xr:uid="{00000000-0005-0000-0000-0000CA530000}"/>
    <cellStyle name="Normal 17 2 3 5 4 4" xfId="17443" xr:uid="{00000000-0005-0000-0000-0000CB530000}"/>
    <cellStyle name="Normal 17 2 3 5 5" xfId="43112" xr:uid="{00000000-0005-0000-0000-0000CC530000}"/>
    <cellStyle name="Normal 17 2 3 5 6" xfId="27012" xr:uid="{00000000-0005-0000-0000-0000CD530000}"/>
    <cellStyle name="Normal 17 2 3 5 7" xfId="13948" xr:uid="{00000000-0005-0000-0000-0000CE530000}"/>
    <cellStyle name="Normal 17 2 3 6" xfId="3828" xr:uid="{00000000-0005-0000-0000-0000CF530000}"/>
    <cellStyle name="Normal 17 2 3 6 2" xfId="35569" xr:uid="{00000000-0005-0000-0000-0000D0530000}"/>
    <cellStyle name="Normal 17 2 3 6 2 2" xfId="51669" xr:uid="{00000000-0005-0000-0000-0000D1530000}"/>
    <cellStyle name="Normal 17 2 3 6 3" xfId="42102" xr:uid="{00000000-0005-0000-0000-0000D2530000}"/>
    <cellStyle name="Normal 17 2 3 6 4" xfId="26002" xr:uid="{00000000-0005-0000-0000-0000D3530000}"/>
    <cellStyle name="Normal 17 2 3 6 5" xfId="16433" xr:uid="{00000000-0005-0000-0000-0000D4530000}"/>
    <cellStyle name="Normal 17 2 3 7" xfId="6864" xr:uid="{00000000-0005-0000-0000-0000D5530000}"/>
    <cellStyle name="Normal 17 2 3 7 2" xfId="38605" xr:uid="{00000000-0005-0000-0000-0000D6530000}"/>
    <cellStyle name="Normal 17 2 3 7 2 2" xfId="54705" xr:uid="{00000000-0005-0000-0000-0000D7530000}"/>
    <cellStyle name="Normal 17 2 3 7 3" xfId="45138" xr:uid="{00000000-0005-0000-0000-0000D8530000}"/>
    <cellStyle name="Normal 17 2 3 7 4" xfId="29038" xr:uid="{00000000-0005-0000-0000-0000D9530000}"/>
    <cellStyle name="Normal 17 2 3 7 5" xfId="19469" xr:uid="{00000000-0005-0000-0000-0000DA530000}"/>
    <cellStyle name="Normal 17 2 3 8" xfId="9900" xr:uid="{00000000-0005-0000-0000-0000DB530000}"/>
    <cellStyle name="Normal 17 2 3 8 2" xfId="48174" xr:uid="{00000000-0005-0000-0000-0000DC530000}"/>
    <cellStyle name="Normal 17 2 3 8 3" xfId="32074" xr:uid="{00000000-0005-0000-0000-0000DD530000}"/>
    <cellStyle name="Normal 17 2 3 8 4" xfId="22505" xr:uid="{00000000-0005-0000-0000-0000DE530000}"/>
    <cellStyle name="Normal 17 2 3 9" xfId="3349" xr:uid="{00000000-0005-0000-0000-0000DF530000}"/>
    <cellStyle name="Normal 17 2 3 9 2" xfId="51190" xr:uid="{00000000-0005-0000-0000-0000E0530000}"/>
    <cellStyle name="Normal 17 2 3 9 3" xfId="35090" xr:uid="{00000000-0005-0000-0000-0000E1530000}"/>
    <cellStyle name="Normal 17 2 3 9 4" xfId="15954" xr:uid="{00000000-0005-0000-0000-0000E2530000}"/>
    <cellStyle name="Normal 17 2 4" xfId="180" xr:uid="{00000000-0005-0000-0000-0000E3530000}"/>
    <cellStyle name="Normal 17 2 4 10" xfId="26073" xr:uid="{00000000-0005-0000-0000-0000E4530000}"/>
    <cellStyle name="Normal 17 2 4 11" xfId="13009" xr:uid="{00000000-0005-0000-0000-0000E5530000}"/>
    <cellStyle name="Normal 17 2 4 2" xfId="357" xr:uid="{00000000-0005-0000-0000-0000E6530000}"/>
    <cellStyle name="Normal 17 2 4 2 2" xfId="2376" xr:uid="{00000000-0005-0000-0000-0000E7530000}"/>
    <cellStyle name="Normal 17 2 4 2 2 2" xfId="8910" xr:uid="{00000000-0005-0000-0000-0000E8530000}"/>
    <cellStyle name="Normal 17 2 4 2 2 2 2" xfId="40651" xr:uid="{00000000-0005-0000-0000-0000E9530000}"/>
    <cellStyle name="Normal 17 2 4 2 2 2 2 2" xfId="56751" xr:uid="{00000000-0005-0000-0000-0000EA530000}"/>
    <cellStyle name="Normal 17 2 4 2 2 2 3" xfId="47184" xr:uid="{00000000-0005-0000-0000-0000EB530000}"/>
    <cellStyle name="Normal 17 2 4 2 2 2 4" xfId="31084" xr:uid="{00000000-0005-0000-0000-0000EC530000}"/>
    <cellStyle name="Normal 17 2 4 2 2 2 5" xfId="21515" xr:uid="{00000000-0005-0000-0000-0000ED530000}"/>
    <cellStyle name="Normal 17 2 4 2 2 3" xfId="11946" xr:uid="{00000000-0005-0000-0000-0000EE530000}"/>
    <cellStyle name="Normal 17 2 4 2 2 3 2" xfId="50220" xr:uid="{00000000-0005-0000-0000-0000EF530000}"/>
    <cellStyle name="Normal 17 2 4 2 2 3 3" xfId="34120" xr:uid="{00000000-0005-0000-0000-0000F0530000}"/>
    <cellStyle name="Normal 17 2 4 2 2 3 4" xfId="24551" xr:uid="{00000000-0005-0000-0000-0000F1530000}"/>
    <cellStyle name="Normal 17 2 4 2 2 4" xfId="5874" xr:uid="{00000000-0005-0000-0000-0000F2530000}"/>
    <cellStyle name="Normal 17 2 4 2 2 4 2" xfId="53715" xr:uid="{00000000-0005-0000-0000-0000F3530000}"/>
    <cellStyle name="Normal 17 2 4 2 2 4 3" xfId="37615" xr:uid="{00000000-0005-0000-0000-0000F4530000}"/>
    <cellStyle name="Normal 17 2 4 2 2 4 4" xfId="18479" xr:uid="{00000000-0005-0000-0000-0000F5530000}"/>
    <cellStyle name="Normal 17 2 4 2 2 5" xfId="44148" xr:uid="{00000000-0005-0000-0000-0000F6530000}"/>
    <cellStyle name="Normal 17 2 4 2 2 6" xfId="28048" xr:uid="{00000000-0005-0000-0000-0000F7530000}"/>
    <cellStyle name="Normal 17 2 4 2 2 7" xfId="14984" xr:uid="{00000000-0005-0000-0000-0000F8530000}"/>
    <cellStyle name="Normal 17 2 4 2 3" xfId="1588" xr:uid="{00000000-0005-0000-0000-0000F9530000}"/>
    <cellStyle name="Normal 17 2 4 2 3 2" xfId="8122" xr:uid="{00000000-0005-0000-0000-0000FA530000}"/>
    <cellStyle name="Normal 17 2 4 2 3 2 2" xfId="39863" xr:uid="{00000000-0005-0000-0000-0000FB530000}"/>
    <cellStyle name="Normal 17 2 4 2 3 2 2 2" xfId="55963" xr:uid="{00000000-0005-0000-0000-0000FC530000}"/>
    <cellStyle name="Normal 17 2 4 2 3 2 3" xfId="46396" xr:uid="{00000000-0005-0000-0000-0000FD530000}"/>
    <cellStyle name="Normal 17 2 4 2 3 2 4" xfId="30296" xr:uid="{00000000-0005-0000-0000-0000FE530000}"/>
    <cellStyle name="Normal 17 2 4 2 3 2 5" xfId="20727" xr:uid="{00000000-0005-0000-0000-0000FF530000}"/>
    <cellStyle name="Normal 17 2 4 2 3 3" xfId="11158" xr:uid="{00000000-0005-0000-0000-000000540000}"/>
    <cellStyle name="Normal 17 2 4 2 3 3 2" xfId="49432" xr:uid="{00000000-0005-0000-0000-000001540000}"/>
    <cellStyle name="Normal 17 2 4 2 3 3 3" xfId="33332" xr:uid="{00000000-0005-0000-0000-000002540000}"/>
    <cellStyle name="Normal 17 2 4 2 3 3 4" xfId="23763" xr:uid="{00000000-0005-0000-0000-000003540000}"/>
    <cellStyle name="Normal 17 2 4 2 3 4" xfId="5086" xr:uid="{00000000-0005-0000-0000-000004540000}"/>
    <cellStyle name="Normal 17 2 4 2 3 4 2" xfId="52927" xr:uid="{00000000-0005-0000-0000-000005540000}"/>
    <cellStyle name="Normal 17 2 4 2 3 4 3" xfId="36827" xr:uid="{00000000-0005-0000-0000-000006540000}"/>
    <cellStyle name="Normal 17 2 4 2 3 4 4" xfId="17691" xr:uid="{00000000-0005-0000-0000-000007540000}"/>
    <cellStyle name="Normal 17 2 4 2 3 5" xfId="43360" xr:uid="{00000000-0005-0000-0000-000008540000}"/>
    <cellStyle name="Normal 17 2 4 2 3 6" xfId="27260" xr:uid="{00000000-0005-0000-0000-000009540000}"/>
    <cellStyle name="Normal 17 2 4 2 3 7" xfId="14196" xr:uid="{00000000-0005-0000-0000-00000A540000}"/>
    <cellStyle name="Normal 17 2 4 2 4" xfId="7112" xr:uid="{00000000-0005-0000-0000-00000B540000}"/>
    <cellStyle name="Normal 17 2 4 2 4 2" xfId="38853" xr:uid="{00000000-0005-0000-0000-00000C540000}"/>
    <cellStyle name="Normal 17 2 4 2 4 2 2" xfId="54953" xr:uid="{00000000-0005-0000-0000-00000D540000}"/>
    <cellStyle name="Normal 17 2 4 2 4 3" xfId="45386" xr:uid="{00000000-0005-0000-0000-00000E540000}"/>
    <cellStyle name="Normal 17 2 4 2 4 4" xfId="29286" xr:uid="{00000000-0005-0000-0000-00000F540000}"/>
    <cellStyle name="Normal 17 2 4 2 4 5" xfId="19717" xr:uid="{00000000-0005-0000-0000-000010540000}"/>
    <cellStyle name="Normal 17 2 4 2 5" xfId="10148" xr:uid="{00000000-0005-0000-0000-000011540000}"/>
    <cellStyle name="Normal 17 2 4 2 5 2" xfId="48422" xr:uid="{00000000-0005-0000-0000-000012540000}"/>
    <cellStyle name="Normal 17 2 4 2 5 3" xfId="32322" xr:uid="{00000000-0005-0000-0000-000013540000}"/>
    <cellStyle name="Normal 17 2 4 2 5 4" xfId="22753" xr:uid="{00000000-0005-0000-0000-000014540000}"/>
    <cellStyle name="Normal 17 2 4 2 6" xfId="4076" xr:uid="{00000000-0005-0000-0000-000015540000}"/>
    <cellStyle name="Normal 17 2 4 2 6 2" xfId="51917" xr:uid="{00000000-0005-0000-0000-000016540000}"/>
    <cellStyle name="Normal 17 2 4 2 6 3" xfId="35817" xr:uid="{00000000-0005-0000-0000-000017540000}"/>
    <cellStyle name="Normal 17 2 4 2 6 4" xfId="16681" xr:uid="{00000000-0005-0000-0000-000018540000}"/>
    <cellStyle name="Normal 17 2 4 2 7" xfId="42350" xr:uid="{00000000-0005-0000-0000-000019540000}"/>
    <cellStyle name="Normal 17 2 4 2 8" xfId="26250" xr:uid="{00000000-0005-0000-0000-00001A540000}"/>
    <cellStyle name="Normal 17 2 4 2 9" xfId="13186" xr:uid="{00000000-0005-0000-0000-00001B540000}"/>
    <cellStyle name="Normal 17 2 4 3" xfId="997" xr:uid="{00000000-0005-0000-0000-00001C540000}"/>
    <cellStyle name="Normal 17 2 4 3 2" xfId="3025" xr:uid="{00000000-0005-0000-0000-00001D540000}"/>
    <cellStyle name="Normal 17 2 4 3 2 2" xfId="9557" xr:uid="{00000000-0005-0000-0000-00001E540000}"/>
    <cellStyle name="Normal 17 2 4 3 2 2 2" xfId="41298" xr:uid="{00000000-0005-0000-0000-00001F540000}"/>
    <cellStyle name="Normal 17 2 4 3 2 2 2 2" xfId="57398" xr:uid="{00000000-0005-0000-0000-000020540000}"/>
    <cellStyle name="Normal 17 2 4 3 2 2 3" xfId="47831" xr:uid="{00000000-0005-0000-0000-000021540000}"/>
    <cellStyle name="Normal 17 2 4 3 2 2 4" xfId="31731" xr:uid="{00000000-0005-0000-0000-000022540000}"/>
    <cellStyle name="Normal 17 2 4 3 2 2 5" xfId="22162" xr:uid="{00000000-0005-0000-0000-000023540000}"/>
    <cellStyle name="Normal 17 2 4 3 2 3" xfId="12593" xr:uid="{00000000-0005-0000-0000-000024540000}"/>
    <cellStyle name="Normal 17 2 4 3 2 3 2" xfId="50867" xr:uid="{00000000-0005-0000-0000-000025540000}"/>
    <cellStyle name="Normal 17 2 4 3 2 3 3" xfId="34767" xr:uid="{00000000-0005-0000-0000-000026540000}"/>
    <cellStyle name="Normal 17 2 4 3 2 3 4" xfId="25198" xr:uid="{00000000-0005-0000-0000-000027540000}"/>
    <cellStyle name="Normal 17 2 4 3 2 4" xfId="6521" xr:uid="{00000000-0005-0000-0000-000028540000}"/>
    <cellStyle name="Normal 17 2 4 3 2 4 2" xfId="54362" xr:uid="{00000000-0005-0000-0000-000029540000}"/>
    <cellStyle name="Normal 17 2 4 3 2 4 3" xfId="38262" xr:uid="{00000000-0005-0000-0000-00002A540000}"/>
    <cellStyle name="Normal 17 2 4 3 2 4 4" xfId="19126" xr:uid="{00000000-0005-0000-0000-00002B540000}"/>
    <cellStyle name="Normal 17 2 4 3 2 5" xfId="44795" xr:uid="{00000000-0005-0000-0000-00002C540000}"/>
    <cellStyle name="Normal 17 2 4 3 2 6" xfId="28695" xr:uid="{00000000-0005-0000-0000-00002D540000}"/>
    <cellStyle name="Normal 17 2 4 3 2 7" xfId="15631" xr:uid="{00000000-0005-0000-0000-00002E540000}"/>
    <cellStyle name="Normal 17 2 4 3 3" xfId="2007" xr:uid="{00000000-0005-0000-0000-00002F540000}"/>
    <cellStyle name="Normal 17 2 4 3 3 2" xfId="8541" xr:uid="{00000000-0005-0000-0000-000030540000}"/>
    <cellStyle name="Normal 17 2 4 3 3 2 2" xfId="40282" xr:uid="{00000000-0005-0000-0000-000031540000}"/>
    <cellStyle name="Normal 17 2 4 3 3 2 2 2" xfId="56382" xr:uid="{00000000-0005-0000-0000-000032540000}"/>
    <cellStyle name="Normal 17 2 4 3 3 2 3" xfId="46815" xr:uid="{00000000-0005-0000-0000-000033540000}"/>
    <cellStyle name="Normal 17 2 4 3 3 2 4" xfId="30715" xr:uid="{00000000-0005-0000-0000-000034540000}"/>
    <cellStyle name="Normal 17 2 4 3 3 2 5" xfId="21146" xr:uid="{00000000-0005-0000-0000-000035540000}"/>
    <cellStyle name="Normal 17 2 4 3 3 3" xfId="11577" xr:uid="{00000000-0005-0000-0000-000036540000}"/>
    <cellStyle name="Normal 17 2 4 3 3 3 2" xfId="49851" xr:uid="{00000000-0005-0000-0000-000037540000}"/>
    <cellStyle name="Normal 17 2 4 3 3 3 3" xfId="33751" xr:uid="{00000000-0005-0000-0000-000038540000}"/>
    <cellStyle name="Normal 17 2 4 3 3 3 4" xfId="24182" xr:uid="{00000000-0005-0000-0000-000039540000}"/>
    <cellStyle name="Normal 17 2 4 3 3 4" xfId="5505" xr:uid="{00000000-0005-0000-0000-00003A540000}"/>
    <cellStyle name="Normal 17 2 4 3 3 4 2" xfId="53346" xr:uid="{00000000-0005-0000-0000-00003B540000}"/>
    <cellStyle name="Normal 17 2 4 3 3 4 3" xfId="37246" xr:uid="{00000000-0005-0000-0000-00003C540000}"/>
    <cellStyle name="Normal 17 2 4 3 3 4 4" xfId="18110" xr:uid="{00000000-0005-0000-0000-00003D540000}"/>
    <cellStyle name="Normal 17 2 4 3 3 5" xfId="43779" xr:uid="{00000000-0005-0000-0000-00003E540000}"/>
    <cellStyle name="Normal 17 2 4 3 3 6" xfId="27679" xr:uid="{00000000-0005-0000-0000-00003F540000}"/>
    <cellStyle name="Normal 17 2 4 3 3 7" xfId="14615" xr:uid="{00000000-0005-0000-0000-000040540000}"/>
    <cellStyle name="Normal 17 2 4 3 4" xfId="7531" xr:uid="{00000000-0005-0000-0000-000041540000}"/>
    <cellStyle name="Normal 17 2 4 3 4 2" xfId="39272" xr:uid="{00000000-0005-0000-0000-000042540000}"/>
    <cellStyle name="Normal 17 2 4 3 4 2 2" xfId="55372" xr:uid="{00000000-0005-0000-0000-000043540000}"/>
    <cellStyle name="Normal 17 2 4 3 4 3" xfId="45805" xr:uid="{00000000-0005-0000-0000-000044540000}"/>
    <cellStyle name="Normal 17 2 4 3 4 4" xfId="29705" xr:uid="{00000000-0005-0000-0000-000045540000}"/>
    <cellStyle name="Normal 17 2 4 3 4 5" xfId="20136" xr:uid="{00000000-0005-0000-0000-000046540000}"/>
    <cellStyle name="Normal 17 2 4 3 5" xfId="10567" xr:uid="{00000000-0005-0000-0000-000047540000}"/>
    <cellStyle name="Normal 17 2 4 3 5 2" xfId="48841" xr:uid="{00000000-0005-0000-0000-000048540000}"/>
    <cellStyle name="Normal 17 2 4 3 5 3" xfId="32741" xr:uid="{00000000-0005-0000-0000-000049540000}"/>
    <cellStyle name="Normal 17 2 4 3 5 4" xfId="23172" xr:uid="{00000000-0005-0000-0000-00004A540000}"/>
    <cellStyle name="Normal 17 2 4 3 6" xfId="4495" xr:uid="{00000000-0005-0000-0000-00004B540000}"/>
    <cellStyle name="Normal 17 2 4 3 6 2" xfId="52336" xr:uid="{00000000-0005-0000-0000-00004C540000}"/>
    <cellStyle name="Normal 17 2 4 3 6 3" xfId="36236" xr:uid="{00000000-0005-0000-0000-00004D540000}"/>
    <cellStyle name="Normal 17 2 4 3 6 4" xfId="17100" xr:uid="{00000000-0005-0000-0000-00004E540000}"/>
    <cellStyle name="Normal 17 2 4 3 7" xfId="42769" xr:uid="{00000000-0005-0000-0000-00004F540000}"/>
    <cellStyle name="Normal 17 2 4 3 8" xfId="26669" xr:uid="{00000000-0005-0000-0000-000050540000}"/>
    <cellStyle name="Normal 17 2 4 3 9" xfId="13605" xr:uid="{00000000-0005-0000-0000-000051540000}"/>
    <cellStyle name="Normal 17 2 4 4" xfId="2199" xr:uid="{00000000-0005-0000-0000-000052540000}"/>
    <cellStyle name="Normal 17 2 4 4 2" xfId="8733" xr:uid="{00000000-0005-0000-0000-000053540000}"/>
    <cellStyle name="Normal 17 2 4 4 2 2" xfId="40474" xr:uid="{00000000-0005-0000-0000-000054540000}"/>
    <cellStyle name="Normal 17 2 4 4 2 2 2" xfId="56574" xr:uid="{00000000-0005-0000-0000-000055540000}"/>
    <cellStyle name="Normal 17 2 4 4 2 3" xfId="47007" xr:uid="{00000000-0005-0000-0000-000056540000}"/>
    <cellStyle name="Normal 17 2 4 4 2 4" xfId="30907" xr:uid="{00000000-0005-0000-0000-000057540000}"/>
    <cellStyle name="Normal 17 2 4 4 2 5" xfId="21338" xr:uid="{00000000-0005-0000-0000-000058540000}"/>
    <cellStyle name="Normal 17 2 4 4 3" xfId="11769" xr:uid="{00000000-0005-0000-0000-000059540000}"/>
    <cellStyle name="Normal 17 2 4 4 3 2" xfId="50043" xr:uid="{00000000-0005-0000-0000-00005A540000}"/>
    <cellStyle name="Normal 17 2 4 4 3 3" xfId="33943" xr:uid="{00000000-0005-0000-0000-00005B540000}"/>
    <cellStyle name="Normal 17 2 4 4 3 4" xfId="24374" xr:uid="{00000000-0005-0000-0000-00005C540000}"/>
    <cellStyle name="Normal 17 2 4 4 4" xfId="5697" xr:uid="{00000000-0005-0000-0000-00005D540000}"/>
    <cellStyle name="Normal 17 2 4 4 4 2" xfId="53538" xr:uid="{00000000-0005-0000-0000-00005E540000}"/>
    <cellStyle name="Normal 17 2 4 4 4 3" xfId="37438" xr:uid="{00000000-0005-0000-0000-00005F540000}"/>
    <cellStyle name="Normal 17 2 4 4 4 4" xfId="18302" xr:uid="{00000000-0005-0000-0000-000060540000}"/>
    <cellStyle name="Normal 17 2 4 4 5" xfId="43971" xr:uid="{00000000-0005-0000-0000-000061540000}"/>
    <cellStyle name="Normal 17 2 4 4 6" xfId="27871" xr:uid="{00000000-0005-0000-0000-000062540000}"/>
    <cellStyle name="Normal 17 2 4 4 7" xfId="14807" xr:uid="{00000000-0005-0000-0000-000063540000}"/>
    <cellStyle name="Normal 17 2 4 5" xfId="1411" xr:uid="{00000000-0005-0000-0000-000064540000}"/>
    <cellStyle name="Normal 17 2 4 5 2" xfId="7945" xr:uid="{00000000-0005-0000-0000-000065540000}"/>
    <cellStyle name="Normal 17 2 4 5 2 2" xfId="39686" xr:uid="{00000000-0005-0000-0000-000066540000}"/>
    <cellStyle name="Normal 17 2 4 5 2 2 2" xfId="55786" xr:uid="{00000000-0005-0000-0000-000067540000}"/>
    <cellStyle name="Normal 17 2 4 5 2 3" xfId="46219" xr:uid="{00000000-0005-0000-0000-000068540000}"/>
    <cellStyle name="Normal 17 2 4 5 2 4" xfId="30119" xr:uid="{00000000-0005-0000-0000-000069540000}"/>
    <cellStyle name="Normal 17 2 4 5 2 5" xfId="20550" xr:uid="{00000000-0005-0000-0000-00006A540000}"/>
    <cellStyle name="Normal 17 2 4 5 3" xfId="10981" xr:uid="{00000000-0005-0000-0000-00006B540000}"/>
    <cellStyle name="Normal 17 2 4 5 3 2" xfId="49255" xr:uid="{00000000-0005-0000-0000-00006C540000}"/>
    <cellStyle name="Normal 17 2 4 5 3 3" xfId="33155" xr:uid="{00000000-0005-0000-0000-00006D540000}"/>
    <cellStyle name="Normal 17 2 4 5 3 4" xfId="23586" xr:uid="{00000000-0005-0000-0000-00006E540000}"/>
    <cellStyle name="Normal 17 2 4 5 4" xfId="4909" xr:uid="{00000000-0005-0000-0000-00006F540000}"/>
    <cellStyle name="Normal 17 2 4 5 4 2" xfId="52750" xr:uid="{00000000-0005-0000-0000-000070540000}"/>
    <cellStyle name="Normal 17 2 4 5 4 3" xfId="36650" xr:uid="{00000000-0005-0000-0000-000071540000}"/>
    <cellStyle name="Normal 17 2 4 5 4 4" xfId="17514" xr:uid="{00000000-0005-0000-0000-000072540000}"/>
    <cellStyle name="Normal 17 2 4 5 5" xfId="43183" xr:uid="{00000000-0005-0000-0000-000073540000}"/>
    <cellStyle name="Normal 17 2 4 5 6" xfId="27083" xr:uid="{00000000-0005-0000-0000-000074540000}"/>
    <cellStyle name="Normal 17 2 4 5 7" xfId="14019" xr:uid="{00000000-0005-0000-0000-000075540000}"/>
    <cellStyle name="Normal 17 2 4 6" xfId="6935" xr:uid="{00000000-0005-0000-0000-000076540000}"/>
    <cellStyle name="Normal 17 2 4 6 2" xfId="38676" xr:uid="{00000000-0005-0000-0000-000077540000}"/>
    <cellStyle name="Normal 17 2 4 6 2 2" xfId="54776" xr:uid="{00000000-0005-0000-0000-000078540000}"/>
    <cellStyle name="Normal 17 2 4 6 3" xfId="45209" xr:uid="{00000000-0005-0000-0000-000079540000}"/>
    <cellStyle name="Normal 17 2 4 6 4" xfId="29109" xr:uid="{00000000-0005-0000-0000-00007A540000}"/>
    <cellStyle name="Normal 17 2 4 6 5" xfId="19540" xr:uid="{00000000-0005-0000-0000-00007B540000}"/>
    <cellStyle name="Normal 17 2 4 7" xfId="9971" xr:uid="{00000000-0005-0000-0000-00007C540000}"/>
    <cellStyle name="Normal 17 2 4 7 2" xfId="48245" xr:uid="{00000000-0005-0000-0000-00007D540000}"/>
    <cellStyle name="Normal 17 2 4 7 3" xfId="32145" xr:uid="{00000000-0005-0000-0000-00007E540000}"/>
    <cellStyle name="Normal 17 2 4 7 4" xfId="22576" xr:uid="{00000000-0005-0000-0000-00007F540000}"/>
    <cellStyle name="Normal 17 2 4 8" xfId="3899" xr:uid="{00000000-0005-0000-0000-000080540000}"/>
    <cellStyle name="Normal 17 2 4 8 2" xfId="51740" xr:uid="{00000000-0005-0000-0000-000081540000}"/>
    <cellStyle name="Normal 17 2 4 8 3" xfId="35640" xr:uid="{00000000-0005-0000-0000-000082540000}"/>
    <cellStyle name="Normal 17 2 4 8 4" xfId="16504" xr:uid="{00000000-0005-0000-0000-000083540000}"/>
    <cellStyle name="Normal 17 2 4 9" xfId="42173" xr:uid="{00000000-0005-0000-0000-000084540000}"/>
    <cellStyle name="Normal 17 2 5" xfId="251" xr:uid="{00000000-0005-0000-0000-000085540000}"/>
    <cellStyle name="Normal 17 2 5 2" xfId="2270" xr:uid="{00000000-0005-0000-0000-000086540000}"/>
    <cellStyle name="Normal 17 2 5 2 2" xfId="8804" xr:uid="{00000000-0005-0000-0000-000087540000}"/>
    <cellStyle name="Normal 17 2 5 2 2 2" xfId="40545" xr:uid="{00000000-0005-0000-0000-000088540000}"/>
    <cellStyle name="Normal 17 2 5 2 2 2 2" xfId="56645" xr:uid="{00000000-0005-0000-0000-000089540000}"/>
    <cellStyle name="Normal 17 2 5 2 2 3" xfId="47078" xr:uid="{00000000-0005-0000-0000-00008A540000}"/>
    <cellStyle name="Normal 17 2 5 2 2 4" xfId="30978" xr:uid="{00000000-0005-0000-0000-00008B540000}"/>
    <cellStyle name="Normal 17 2 5 2 2 5" xfId="21409" xr:uid="{00000000-0005-0000-0000-00008C540000}"/>
    <cellStyle name="Normal 17 2 5 2 3" xfId="11840" xr:uid="{00000000-0005-0000-0000-00008D540000}"/>
    <cellStyle name="Normal 17 2 5 2 3 2" xfId="50114" xr:uid="{00000000-0005-0000-0000-00008E540000}"/>
    <cellStyle name="Normal 17 2 5 2 3 3" xfId="34014" xr:uid="{00000000-0005-0000-0000-00008F540000}"/>
    <cellStyle name="Normal 17 2 5 2 3 4" xfId="24445" xr:uid="{00000000-0005-0000-0000-000090540000}"/>
    <cellStyle name="Normal 17 2 5 2 4" xfId="5768" xr:uid="{00000000-0005-0000-0000-000091540000}"/>
    <cellStyle name="Normal 17 2 5 2 4 2" xfId="53609" xr:uid="{00000000-0005-0000-0000-000092540000}"/>
    <cellStyle name="Normal 17 2 5 2 4 3" xfId="37509" xr:uid="{00000000-0005-0000-0000-000093540000}"/>
    <cellStyle name="Normal 17 2 5 2 4 4" xfId="18373" xr:uid="{00000000-0005-0000-0000-000094540000}"/>
    <cellStyle name="Normal 17 2 5 2 5" xfId="44042" xr:uid="{00000000-0005-0000-0000-000095540000}"/>
    <cellStyle name="Normal 17 2 5 2 6" xfId="27942" xr:uid="{00000000-0005-0000-0000-000096540000}"/>
    <cellStyle name="Normal 17 2 5 2 7" xfId="14878" xr:uid="{00000000-0005-0000-0000-000097540000}"/>
    <cellStyle name="Normal 17 2 5 3" xfId="1482" xr:uid="{00000000-0005-0000-0000-000098540000}"/>
    <cellStyle name="Normal 17 2 5 3 2" xfId="8016" xr:uid="{00000000-0005-0000-0000-000099540000}"/>
    <cellStyle name="Normal 17 2 5 3 2 2" xfId="39757" xr:uid="{00000000-0005-0000-0000-00009A540000}"/>
    <cellStyle name="Normal 17 2 5 3 2 2 2" xfId="55857" xr:uid="{00000000-0005-0000-0000-00009B540000}"/>
    <cellStyle name="Normal 17 2 5 3 2 3" xfId="46290" xr:uid="{00000000-0005-0000-0000-00009C540000}"/>
    <cellStyle name="Normal 17 2 5 3 2 4" xfId="30190" xr:uid="{00000000-0005-0000-0000-00009D540000}"/>
    <cellStyle name="Normal 17 2 5 3 2 5" xfId="20621" xr:uid="{00000000-0005-0000-0000-00009E540000}"/>
    <cellStyle name="Normal 17 2 5 3 3" xfId="11052" xr:uid="{00000000-0005-0000-0000-00009F540000}"/>
    <cellStyle name="Normal 17 2 5 3 3 2" xfId="49326" xr:uid="{00000000-0005-0000-0000-0000A0540000}"/>
    <cellStyle name="Normal 17 2 5 3 3 3" xfId="33226" xr:uid="{00000000-0005-0000-0000-0000A1540000}"/>
    <cellStyle name="Normal 17 2 5 3 3 4" xfId="23657" xr:uid="{00000000-0005-0000-0000-0000A2540000}"/>
    <cellStyle name="Normal 17 2 5 3 4" xfId="4980" xr:uid="{00000000-0005-0000-0000-0000A3540000}"/>
    <cellStyle name="Normal 17 2 5 3 4 2" xfId="52821" xr:uid="{00000000-0005-0000-0000-0000A4540000}"/>
    <cellStyle name="Normal 17 2 5 3 4 3" xfId="36721" xr:uid="{00000000-0005-0000-0000-0000A5540000}"/>
    <cellStyle name="Normal 17 2 5 3 4 4" xfId="17585" xr:uid="{00000000-0005-0000-0000-0000A6540000}"/>
    <cellStyle name="Normal 17 2 5 3 5" xfId="43254" xr:uid="{00000000-0005-0000-0000-0000A7540000}"/>
    <cellStyle name="Normal 17 2 5 3 6" xfId="27154" xr:uid="{00000000-0005-0000-0000-0000A8540000}"/>
    <cellStyle name="Normal 17 2 5 3 7" xfId="14090" xr:uid="{00000000-0005-0000-0000-0000A9540000}"/>
    <cellStyle name="Normal 17 2 5 4" xfId="7006" xr:uid="{00000000-0005-0000-0000-0000AA540000}"/>
    <cellStyle name="Normal 17 2 5 4 2" xfId="38747" xr:uid="{00000000-0005-0000-0000-0000AB540000}"/>
    <cellStyle name="Normal 17 2 5 4 2 2" xfId="54847" xr:uid="{00000000-0005-0000-0000-0000AC540000}"/>
    <cellStyle name="Normal 17 2 5 4 3" xfId="45280" xr:uid="{00000000-0005-0000-0000-0000AD540000}"/>
    <cellStyle name="Normal 17 2 5 4 4" xfId="29180" xr:uid="{00000000-0005-0000-0000-0000AE540000}"/>
    <cellStyle name="Normal 17 2 5 4 5" xfId="19611" xr:uid="{00000000-0005-0000-0000-0000AF540000}"/>
    <cellStyle name="Normal 17 2 5 5" xfId="10042" xr:uid="{00000000-0005-0000-0000-0000B0540000}"/>
    <cellStyle name="Normal 17 2 5 5 2" xfId="48316" xr:uid="{00000000-0005-0000-0000-0000B1540000}"/>
    <cellStyle name="Normal 17 2 5 5 3" xfId="32216" xr:uid="{00000000-0005-0000-0000-0000B2540000}"/>
    <cellStyle name="Normal 17 2 5 5 4" xfId="22647" xr:uid="{00000000-0005-0000-0000-0000B3540000}"/>
    <cellStyle name="Normal 17 2 5 6" xfId="3970" xr:uid="{00000000-0005-0000-0000-0000B4540000}"/>
    <cellStyle name="Normal 17 2 5 6 2" xfId="51811" xr:uid="{00000000-0005-0000-0000-0000B5540000}"/>
    <cellStyle name="Normal 17 2 5 6 3" xfId="35711" xr:uid="{00000000-0005-0000-0000-0000B6540000}"/>
    <cellStyle name="Normal 17 2 5 6 4" xfId="16575" xr:uid="{00000000-0005-0000-0000-0000B7540000}"/>
    <cellStyle name="Normal 17 2 5 7" xfId="42244" xr:uid="{00000000-0005-0000-0000-0000B8540000}"/>
    <cellStyle name="Normal 17 2 5 8" xfId="26144" xr:uid="{00000000-0005-0000-0000-0000B9540000}"/>
    <cellStyle name="Normal 17 2 5 9" xfId="13080" xr:uid="{00000000-0005-0000-0000-0000BA540000}"/>
    <cellStyle name="Normal 17 2 6" xfId="526" xr:uid="{00000000-0005-0000-0000-0000BB540000}"/>
    <cellStyle name="Normal 17 2 6 2" xfId="2556" xr:uid="{00000000-0005-0000-0000-0000BC540000}"/>
    <cellStyle name="Normal 17 2 6 2 2" xfId="9088" xr:uid="{00000000-0005-0000-0000-0000BD540000}"/>
    <cellStyle name="Normal 17 2 6 2 2 2" xfId="40829" xr:uid="{00000000-0005-0000-0000-0000BE540000}"/>
    <cellStyle name="Normal 17 2 6 2 2 2 2" xfId="56929" xr:uid="{00000000-0005-0000-0000-0000BF540000}"/>
    <cellStyle name="Normal 17 2 6 2 2 3" xfId="47362" xr:uid="{00000000-0005-0000-0000-0000C0540000}"/>
    <cellStyle name="Normal 17 2 6 2 2 4" xfId="31262" xr:uid="{00000000-0005-0000-0000-0000C1540000}"/>
    <cellStyle name="Normal 17 2 6 2 2 5" xfId="21693" xr:uid="{00000000-0005-0000-0000-0000C2540000}"/>
    <cellStyle name="Normal 17 2 6 2 3" xfId="12124" xr:uid="{00000000-0005-0000-0000-0000C3540000}"/>
    <cellStyle name="Normal 17 2 6 2 3 2" xfId="50398" xr:uid="{00000000-0005-0000-0000-0000C4540000}"/>
    <cellStyle name="Normal 17 2 6 2 3 3" xfId="34298" xr:uid="{00000000-0005-0000-0000-0000C5540000}"/>
    <cellStyle name="Normal 17 2 6 2 3 4" xfId="24729" xr:uid="{00000000-0005-0000-0000-0000C6540000}"/>
    <cellStyle name="Normal 17 2 6 2 4" xfId="6052" xr:uid="{00000000-0005-0000-0000-0000C7540000}"/>
    <cellStyle name="Normal 17 2 6 2 4 2" xfId="53893" xr:uid="{00000000-0005-0000-0000-0000C8540000}"/>
    <cellStyle name="Normal 17 2 6 2 4 3" xfId="37793" xr:uid="{00000000-0005-0000-0000-0000C9540000}"/>
    <cellStyle name="Normal 17 2 6 2 4 4" xfId="18657" xr:uid="{00000000-0005-0000-0000-0000CA540000}"/>
    <cellStyle name="Normal 17 2 6 2 5" xfId="44326" xr:uid="{00000000-0005-0000-0000-0000CB540000}"/>
    <cellStyle name="Normal 17 2 6 2 6" xfId="28226" xr:uid="{00000000-0005-0000-0000-0000CC540000}"/>
    <cellStyle name="Normal 17 2 6 2 7" xfId="15162" xr:uid="{00000000-0005-0000-0000-0000CD540000}"/>
    <cellStyle name="Normal 17 2 6 3" xfId="1305" xr:uid="{00000000-0005-0000-0000-0000CE540000}"/>
    <cellStyle name="Normal 17 2 6 3 2" xfId="7839" xr:uid="{00000000-0005-0000-0000-0000CF540000}"/>
    <cellStyle name="Normal 17 2 6 3 2 2" xfId="39580" xr:uid="{00000000-0005-0000-0000-0000D0540000}"/>
    <cellStyle name="Normal 17 2 6 3 2 2 2" xfId="55680" xr:uid="{00000000-0005-0000-0000-0000D1540000}"/>
    <cellStyle name="Normal 17 2 6 3 2 3" xfId="46113" xr:uid="{00000000-0005-0000-0000-0000D2540000}"/>
    <cellStyle name="Normal 17 2 6 3 2 4" xfId="30013" xr:uid="{00000000-0005-0000-0000-0000D3540000}"/>
    <cellStyle name="Normal 17 2 6 3 2 5" xfId="20444" xr:uid="{00000000-0005-0000-0000-0000D4540000}"/>
    <cellStyle name="Normal 17 2 6 3 3" xfId="10875" xr:uid="{00000000-0005-0000-0000-0000D5540000}"/>
    <cellStyle name="Normal 17 2 6 3 3 2" xfId="49149" xr:uid="{00000000-0005-0000-0000-0000D6540000}"/>
    <cellStyle name="Normal 17 2 6 3 3 3" xfId="33049" xr:uid="{00000000-0005-0000-0000-0000D7540000}"/>
    <cellStyle name="Normal 17 2 6 3 3 4" xfId="23480" xr:uid="{00000000-0005-0000-0000-0000D8540000}"/>
    <cellStyle name="Normal 17 2 6 3 4" xfId="4803" xr:uid="{00000000-0005-0000-0000-0000D9540000}"/>
    <cellStyle name="Normal 17 2 6 3 4 2" xfId="52644" xr:uid="{00000000-0005-0000-0000-0000DA540000}"/>
    <cellStyle name="Normal 17 2 6 3 4 3" xfId="36544" xr:uid="{00000000-0005-0000-0000-0000DB540000}"/>
    <cellStyle name="Normal 17 2 6 3 4 4" xfId="17408" xr:uid="{00000000-0005-0000-0000-0000DC540000}"/>
    <cellStyle name="Normal 17 2 6 3 5" xfId="43077" xr:uid="{00000000-0005-0000-0000-0000DD540000}"/>
    <cellStyle name="Normal 17 2 6 3 6" xfId="26977" xr:uid="{00000000-0005-0000-0000-0000DE540000}"/>
    <cellStyle name="Normal 17 2 6 3 7" xfId="13913" xr:uid="{00000000-0005-0000-0000-0000DF540000}"/>
    <cellStyle name="Normal 17 2 6 4" xfId="6829" xr:uid="{00000000-0005-0000-0000-0000E0540000}"/>
    <cellStyle name="Normal 17 2 6 4 2" xfId="38570" xr:uid="{00000000-0005-0000-0000-0000E1540000}"/>
    <cellStyle name="Normal 17 2 6 4 2 2" xfId="54670" xr:uid="{00000000-0005-0000-0000-0000E2540000}"/>
    <cellStyle name="Normal 17 2 6 4 3" xfId="45103" xr:uid="{00000000-0005-0000-0000-0000E3540000}"/>
    <cellStyle name="Normal 17 2 6 4 4" xfId="29003" xr:uid="{00000000-0005-0000-0000-0000E4540000}"/>
    <cellStyle name="Normal 17 2 6 4 5" xfId="19434" xr:uid="{00000000-0005-0000-0000-0000E5540000}"/>
    <cellStyle name="Normal 17 2 6 5" xfId="9865" xr:uid="{00000000-0005-0000-0000-0000E6540000}"/>
    <cellStyle name="Normal 17 2 6 5 2" xfId="48139" xr:uid="{00000000-0005-0000-0000-0000E7540000}"/>
    <cellStyle name="Normal 17 2 6 5 3" xfId="32039" xr:uid="{00000000-0005-0000-0000-0000E8540000}"/>
    <cellStyle name="Normal 17 2 6 5 4" xfId="22470" xr:uid="{00000000-0005-0000-0000-0000E9540000}"/>
    <cellStyle name="Normal 17 2 6 6" xfId="3793" xr:uid="{00000000-0005-0000-0000-0000EA540000}"/>
    <cellStyle name="Normal 17 2 6 6 2" xfId="51634" xr:uid="{00000000-0005-0000-0000-0000EB540000}"/>
    <cellStyle name="Normal 17 2 6 6 3" xfId="35534" xr:uid="{00000000-0005-0000-0000-0000EC540000}"/>
    <cellStyle name="Normal 17 2 6 6 4" xfId="16398" xr:uid="{00000000-0005-0000-0000-0000ED540000}"/>
    <cellStyle name="Normal 17 2 6 7" xfId="42067" xr:uid="{00000000-0005-0000-0000-0000EE540000}"/>
    <cellStyle name="Normal 17 2 6 8" xfId="25967" xr:uid="{00000000-0005-0000-0000-0000EF540000}"/>
    <cellStyle name="Normal 17 2 6 9" xfId="12903" xr:uid="{00000000-0005-0000-0000-0000F0540000}"/>
    <cellStyle name="Normal 17 2 7" xfId="756" xr:uid="{00000000-0005-0000-0000-0000F1540000}"/>
    <cellStyle name="Normal 17 2 7 2" xfId="2784" xr:uid="{00000000-0005-0000-0000-0000F2540000}"/>
    <cellStyle name="Normal 17 2 7 2 2" xfId="9316" xr:uid="{00000000-0005-0000-0000-0000F3540000}"/>
    <cellStyle name="Normal 17 2 7 2 2 2" xfId="41057" xr:uid="{00000000-0005-0000-0000-0000F4540000}"/>
    <cellStyle name="Normal 17 2 7 2 2 2 2" xfId="57157" xr:uid="{00000000-0005-0000-0000-0000F5540000}"/>
    <cellStyle name="Normal 17 2 7 2 2 3" xfId="47590" xr:uid="{00000000-0005-0000-0000-0000F6540000}"/>
    <cellStyle name="Normal 17 2 7 2 2 4" xfId="31490" xr:uid="{00000000-0005-0000-0000-0000F7540000}"/>
    <cellStyle name="Normal 17 2 7 2 2 5" xfId="21921" xr:uid="{00000000-0005-0000-0000-0000F8540000}"/>
    <cellStyle name="Normal 17 2 7 2 3" xfId="12352" xr:uid="{00000000-0005-0000-0000-0000F9540000}"/>
    <cellStyle name="Normal 17 2 7 2 3 2" xfId="50626" xr:uid="{00000000-0005-0000-0000-0000FA540000}"/>
    <cellStyle name="Normal 17 2 7 2 3 3" xfId="34526" xr:uid="{00000000-0005-0000-0000-0000FB540000}"/>
    <cellStyle name="Normal 17 2 7 2 3 4" xfId="24957" xr:uid="{00000000-0005-0000-0000-0000FC540000}"/>
    <cellStyle name="Normal 17 2 7 2 4" xfId="6280" xr:uid="{00000000-0005-0000-0000-0000FD540000}"/>
    <cellStyle name="Normal 17 2 7 2 4 2" xfId="54121" xr:uid="{00000000-0005-0000-0000-0000FE540000}"/>
    <cellStyle name="Normal 17 2 7 2 4 3" xfId="38021" xr:uid="{00000000-0005-0000-0000-0000FF540000}"/>
    <cellStyle name="Normal 17 2 7 2 4 4" xfId="18885" xr:uid="{00000000-0005-0000-0000-000000550000}"/>
    <cellStyle name="Normal 17 2 7 2 5" xfId="44554" xr:uid="{00000000-0005-0000-0000-000001550000}"/>
    <cellStyle name="Normal 17 2 7 2 6" xfId="28454" xr:uid="{00000000-0005-0000-0000-000002550000}"/>
    <cellStyle name="Normal 17 2 7 2 7" xfId="15390" xr:uid="{00000000-0005-0000-0000-000003550000}"/>
    <cellStyle name="Normal 17 2 7 3" xfId="1766" xr:uid="{00000000-0005-0000-0000-000004550000}"/>
    <cellStyle name="Normal 17 2 7 3 2" xfId="8300" xr:uid="{00000000-0005-0000-0000-000005550000}"/>
    <cellStyle name="Normal 17 2 7 3 2 2" xfId="40041" xr:uid="{00000000-0005-0000-0000-000006550000}"/>
    <cellStyle name="Normal 17 2 7 3 2 2 2" xfId="56141" xr:uid="{00000000-0005-0000-0000-000007550000}"/>
    <cellStyle name="Normal 17 2 7 3 2 3" xfId="46574" xr:uid="{00000000-0005-0000-0000-000008550000}"/>
    <cellStyle name="Normal 17 2 7 3 2 4" xfId="30474" xr:uid="{00000000-0005-0000-0000-000009550000}"/>
    <cellStyle name="Normal 17 2 7 3 2 5" xfId="20905" xr:uid="{00000000-0005-0000-0000-00000A550000}"/>
    <cellStyle name="Normal 17 2 7 3 3" xfId="11336" xr:uid="{00000000-0005-0000-0000-00000B550000}"/>
    <cellStyle name="Normal 17 2 7 3 3 2" xfId="49610" xr:uid="{00000000-0005-0000-0000-00000C550000}"/>
    <cellStyle name="Normal 17 2 7 3 3 3" xfId="33510" xr:uid="{00000000-0005-0000-0000-00000D550000}"/>
    <cellStyle name="Normal 17 2 7 3 3 4" xfId="23941" xr:uid="{00000000-0005-0000-0000-00000E550000}"/>
    <cellStyle name="Normal 17 2 7 3 4" xfId="5264" xr:uid="{00000000-0005-0000-0000-00000F550000}"/>
    <cellStyle name="Normal 17 2 7 3 4 2" xfId="53105" xr:uid="{00000000-0005-0000-0000-000010550000}"/>
    <cellStyle name="Normal 17 2 7 3 4 3" xfId="37005" xr:uid="{00000000-0005-0000-0000-000011550000}"/>
    <cellStyle name="Normal 17 2 7 3 4 4" xfId="17869" xr:uid="{00000000-0005-0000-0000-000012550000}"/>
    <cellStyle name="Normal 17 2 7 3 5" xfId="43538" xr:uid="{00000000-0005-0000-0000-000013550000}"/>
    <cellStyle name="Normal 17 2 7 3 6" xfId="27438" xr:uid="{00000000-0005-0000-0000-000014550000}"/>
    <cellStyle name="Normal 17 2 7 3 7" xfId="14374" xr:uid="{00000000-0005-0000-0000-000015550000}"/>
    <cellStyle name="Normal 17 2 7 4" xfId="7290" xr:uid="{00000000-0005-0000-0000-000016550000}"/>
    <cellStyle name="Normal 17 2 7 4 2" xfId="39031" xr:uid="{00000000-0005-0000-0000-000017550000}"/>
    <cellStyle name="Normal 17 2 7 4 2 2" xfId="55131" xr:uid="{00000000-0005-0000-0000-000018550000}"/>
    <cellStyle name="Normal 17 2 7 4 3" xfId="45564" xr:uid="{00000000-0005-0000-0000-000019550000}"/>
    <cellStyle name="Normal 17 2 7 4 4" xfId="29464" xr:uid="{00000000-0005-0000-0000-00001A550000}"/>
    <cellStyle name="Normal 17 2 7 4 5" xfId="19895" xr:uid="{00000000-0005-0000-0000-00001B550000}"/>
    <cellStyle name="Normal 17 2 7 5" xfId="10326" xr:uid="{00000000-0005-0000-0000-00001C550000}"/>
    <cellStyle name="Normal 17 2 7 5 2" xfId="48600" xr:uid="{00000000-0005-0000-0000-00001D550000}"/>
    <cellStyle name="Normal 17 2 7 5 3" xfId="32500" xr:uid="{00000000-0005-0000-0000-00001E550000}"/>
    <cellStyle name="Normal 17 2 7 5 4" xfId="22931" xr:uid="{00000000-0005-0000-0000-00001F550000}"/>
    <cellStyle name="Normal 17 2 7 6" xfId="4254" xr:uid="{00000000-0005-0000-0000-000020550000}"/>
    <cellStyle name="Normal 17 2 7 6 2" xfId="52095" xr:uid="{00000000-0005-0000-0000-000021550000}"/>
    <cellStyle name="Normal 17 2 7 6 3" xfId="35995" xr:uid="{00000000-0005-0000-0000-000022550000}"/>
    <cellStyle name="Normal 17 2 7 6 4" xfId="16859" xr:uid="{00000000-0005-0000-0000-000023550000}"/>
    <cellStyle name="Normal 17 2 7 7" xfId="42528" xr:uid="{00000000-0005-0000-0000-000024550000}"/>
    <cellStyle name="Normal 17 2 7 8" xfId="26428" xr:uid="{00000000-0005-0000-0000-000025550000}"/>
    <cellStyle name="Normal 17 2 7 9" xfId="13364" xr:uid="{00000000-0005-0000-0000-000026550000}"/>
    <cellStyle name="Normal 17 2 8" xfId="2093" xr:uid="{00000000-0005-0000-0000-000027550000}"/>
    <cellStyle name="Normal 17 2 8 2" xfId="8627" xr:uid="{00000000-0005-0000-0000-000028550000}"/>
    <cellStyle name="Normal 17 2 8 2 2" xfId="40368" xr:uid="{00000000-0005-0000-0000-000029550000}"/>
    <cellStyle name="Normal 17 2 8 2 2 2" xfId="56468" xr:uid="{00000000-0005-0000-0000-00002A550000}"/>
    <cellStyle name="Normal 17 2 8 2 3" xfId="46901" xr:uid="{00000000-0005-0000-0000-00002B550000}"/>
    <cellStyle name="Normal 17 2 8 2 4" xfId="30801" xr:uid="{00000000-0005-0000-0000-00002C550000}"/>
    <cellStyle name="Normal 17 2 8 2 5" xfId="21232" xr:uid="{00000000-0005-0000-0000-00002D550000}"/>
    <cellStyle name="Normal 17 2 8 3" xfId="11663" xr:uid="{00000000-0005-0000-0000-00002E550000}"/>
    <cellStyle name="Normal 17 2 8 3 2" xfId="49937" xr:uid="{00000000-0005-0000-0000-00002F550000}"/>
    <cellStyle name="Normal 17 2 8 3 3" xfId="33837" xr:uid="{00000000-0005-0000-0000-000030550000}"/>
    <cellStyle name="Normal 17 2 8 3 4" xfId="24268" xr:uid="{00000000-0005-0000-0000-000031550000}"/>
    <cellStyle name="Normal 17 2 8 4" xfId="5591" xr:uid="{00000000-0005-0000-0000-000032550000}"/>
    <cellStyle name="Normal 17 2 8 4 2" xfId="53432" xr:uid="{00000000-0005-0000-0000-000033550000}"/>
    <cellStyle name="Normal 17 2 8 4 3" xfId="37332" xr:uid="{00000000-0005-0000-0000-000034550000}"/>
    <cellStyle name="Normal 17 2 8 4 4" xfId="18196" xr:uid="{00000000-0005-0000-0000-000035550000}"/>
    <cellStyle name="Normal 17 2 8 5" xfId="43865" xr:uid="{00000000-0005-0000-0000-000036550000}"/>
    <cellStyle name="Normal 17 2 8 6" xfId="27765" xr:uid="{00000000-0005-0000-0000-000037550000}"/>
    <cellStyle name="Normal 17 2 8 7" xfId="14701" xr:uid="{00000000-0005-0000-0000-000038550000}"/>
    <cellStyle name="Normal 17 2 9" xfId="1083" xr:uid="{00000000-0005-0000-0000-000039550000}"/>
    <cellStyle name="Normal 17 2 9 2" xfId="7617" xr:uid="{00000000-0005-0000-0000-00003A550000}"/>
    <cellStyle name="Normal 17 2 9 2 2" xfId="39358" xr:uid="{00000000-0005-0000-0000-00003B550000}"/>
    <cellStyle name="Normal 17 2 9 2 2 2" xfId="55458" xr:uid="{00000000-0005-0000-0000-00003C550000}"/>
    <cellStyle name="Normal 17 2 9 2 3" xfId="45891" xr:uid="{00000000-0005-0000-0000-00003D550000}"/>
    <cellStyle name="Normal 17 2 9 2 4" xfId="29791" xr:uid="{00000000-0005-0000-0000-00003E550000}"/>
    <cellStyle name="Normal 17 2 9 2 5" xfId="20222" xr:uid="{00000000-0005-0000-0000-00003F550000}"/>
    <cellStyle name="Normal 17 2 9 3" xfId="10653" xr:uid="{00000000-0005-0000-0000-000040550000}"/>
    <cellStyle name="Normal 17 2 9 3 2" xfId="48927" xr:uid="{00000000-0005-0000-0000-000041550000}"/>
    <cellStyle name="Normal 17 2 9 3 3" xfId="32827" xr:uid="{00000000-0005-0000-0000-000042550000}"/>
    <cellStyle name="Normal 17 2 9 3 4" xfId="23258" xr:uid="{00000000-0005-0000-0000-000043550000}"/>
    <cellStyle name="Normal 17 2 9 4" xfId="4581" xr:uid="{00000000-0005-0000-0000-000044550000}"/>
    <cellStyle name="Normal 17 2 9 4 2" xfId="52422" xr:uid="{00000000-0005-0000-0000-000045550000}"/>
    <cellStyle name="Normal 17 2 9 4 3" xfId="36322" xr:uid="{00000000-0005-0000-0000-000046550000}"/>
    <cellStyle name="Normal 17 2 9 4 4" xfId="17186" xr:uid="{00000000-0005-0000-0000-000047550000}"/>
    <cellStyle name="Normal 17 2 9 5" xfId="42855" xr:uid="{00000000-0005-0000-0000-000048550000}"/>
    <cellStyle name="Normal 17 2 9 6" xfId="26755" xr:uid="{00000000-0005-0000-0000-000049550000}"/>
    <cellStyle name="Normal 17 2 9 7" xfId="13691" xr:uid="{00000000-0005-0000-0000-00004A550000}"/>
    <cellStyle name="Normal 17 20" xfId="3093" xr:uid="{00000000-0005-0000-0000-00004B550000}"/>
    <cellStyle name="Normal 17 20 2" xfId="50935" xr:uid="{00000000-0005-0000-0000-00004C550000}"/>
    <cellStyle name="Normal 17 20 3" xfId="34835" xr:uid="{00000000-0005-0000-0000-00004D550000}"/>
    <cellStyle name="Normal 17 20 4" xfId="15699" xr:uid="{00000000-0005-0000-0000-00004E550000}"/>
    <cellStyle name="Normal 17 21" xfId="41368" xr:uid="{00000000-0005-0000-0000-00004F550000}"/>
    <cellStyle name="Normal 17 22" xfId="25268" xr:uid="{00000000-0005-0000-0000-000050550000}"/>
    <cellStyle name="Normal 17 23" xfId="12663" xr:uid="{00000000-0005-0000-0000-000051550000}"/>
    <cellStyle name="Normal 17 3" xfId="123" xr:uid="{00000000-0005-0000-0000-000052550000}"/>
    <cellStyle name="Normal 17 3 10" xfId="9706" xr:uid="{00000000-0005-0000-0000-000053550000}"/>
    <cellStyle name="Normal 17 3 10 2" xfId="47980" xr:uid="{00000000-0005-0000-0000-000054550000}"/>
    <cellStyle name="Normal 17 3 10 3" xfId="31880" xr:uid="{00000000-0005-0000-0000-000055550000}"/>
    <cellStyle name="Normal 17 3 10 4" xfId="22311" xr:uid="{00000000-0005-0000-0000-000056550000}"/>
    <cellStyle name="Normal 17 3 11" xfId="3174" xr:uid="{00000000-0005-0000-0000-000057550000}"/>
    <cellStyle name="Normal 17 3 11 2" xfId="51016" xr:uid="{00000000-0005-0000-0000-000058550000}"/>
    <cellStyle name="Normal 17 3 11 3" xfId="34916" xr:uid="{00000000-0005-0000-0000-000059550000}"/>
    <cellStyle name="Normal 17 3 11 4" xfId="15780" xr:uid="{00000000-0005-0000-0000-00005A550000}"/>
    <cellStyle name="Normal 17 3 12" xfId="41449" xr:uid="{00000000-0005-0000-0000-00005B550000}"/>
    <cellStyle name="Normal 17 3 13" xfId="25349" xr:uid="{00000000-0005-0000-0000-00005C550000}"/>
    <cellStyle name="Normal 17 3 14" xfId="12744" xr:uid="{00000000-0005-0000-0000-00005D550000}"/>
    <cellStyle name="Normal 17 3 2" xfId="198" xr:uid="{00000000-0005-0000-0000-00005E550000}"/>
    <cellStyle name="Normal 17 3 2 10" xfId="41686" xr:uid="{00000000-0005-0000-0000-00005F550000}"/>
    <cellStyle name="Normal 17 3 2 11" xfId="25586" xr:uid="{00000000-0005-0000-0000-000060550000}"/>
    <cellStyle name="Normal 17 3 2 12" xfId="13027" xr:uid="{00000000-0005-0000-0000-000061550000}"/>
    <cellStyle name="Normal 17 3 2 2" xfId="375" xr:uid="{00000000-0005-0000-0000-000062550000}"/>
    <cellStyle name="Normal 17 3 2 2 2" xfId="2394" xr:uid="{00000000-0005-0000-0000-000063550000}"/>
    <cellStyle name="Normal 17 3 2 2 2 2" xfId="8928" xr:uid="{00000000-0005-0000-0000-000064550000}"/>
    <cellStyle name="Normal 17 3 2 2 2 2 2" xfId="40669" xr:uid="{00000000-0005-0000-0000-000065550000}"/>
    <cellStyle name="Normal 17 3 2 2 2 2 2 2" xfId="56769" xr:uid="{00000000-0005-0000-0000-000066550000}"/>
    <cellStyle name="Normal 17 3 2 2 2 2 3" xfId="47202" xr:uid="{00000000-0005-0000-0000-000067550000}"/>
    <cellStyle name="Normal 17 3 2 2 2 2 4" xfId="31102" xr:uid="{00000000-0005-0000-0000-000068550000}"/>
    <cellStyle name="Normal 17 3 2 2 2 2 5" xfId="21533" xr:uid="{00000000-0005-0000-0000-000069550000}"/>
    <cellStyle name="Normal 17 3 2 2 2 3" xfId="11964" xr:uid="{00000000-0005-0000-0000-00006A550000}"/>
    <cellStyle name="Normal 17 3 2 2 2 3 2" xfId="50238" xr:uid="{00000000-0005-0000-0000-00006B550000}"/>
    <cellStyle name="Normal 17 3 2 2 2 3 3" xfId="34138" xr:uid="{00000000-0005-0000-0000-00006C550000}"/>
    <cellStyle name="Normal 17 3 2 2 2 3 4" xfId="24569" xr:uid="{00000000-0005-0000-0000-00006D550000}"/>
    <cellStyle name="Normal 17 3 2 2 2 4" xfId="5892" xr:uid="{00000000-0005-0000-0000-00006E550000}"/>
    <cellStyle name="Normal 17 3 2 2 2 4 2" xfId="53733" xr:uid="{00000000-0005-0000-0000-00006F550000}"/>
    <cellStyle name="Normal 17 3 2 2 2 4 3" xfId="37633" xr:uid="{00000000-0005-0000-0000-000070550000}"/>
    <cellStyle name="Normal 17 3 2 2 2 4 4" xfId="18497" xr:uid="{00000000-0005-0000-0000-000071550000}"/>
    <cellStyle name="Normal 17 3 2 2 2 5" xfId="44166" xr:uid="{00000000-0005-0000-0000-000072550000}"/>
    <cellStyle name="Normal 17 3 2 2 2 6" xfId="28066" xr:uid="{00000000-0005-0000-0000-000073550000}"/>
    <cellStyle name="Normal 17 3 2 2 2 7" xfId="15002" xr:uid="{00000000-0005-0000-0000-000074550000}"/>
    <cellStyle name="Normal 17 3 2 2 3" xfId="1606" xr:uid="{00000000-0005-0000-0000-000075550000}"/>
    <cellStyle name="Normal 17 3 2 2 3 2" xfId="8140" xr:uid="{00000000-0005-0000-0000-000076550000}"/>
    <cellStyle name="Normal 17 3 2 2 3 2 2" xfId="39881" xr:uid="{00000000-0005-0000-0000-000077550000}"/>
    <cellStyle name="Normal 17 3 2 2 3 2 2 2" xfId="55981" xr:uid="{00000000-0005-0000-0000-000078550000}"/>
    <cellStyle name="Normal 17 3 2 2 3 2 3" xfId="46414" xr:uid="{00000000-0005-0000-0000-000079550000}"/>
    <cellStyle name="Normal 17 3 2 2 3 2 4" xfId="30314" xr:uid="{00000000-0005-0000-0000-00007A550000}"/>
    <cellStyle name="Normal 17 3 2 2 3 2 5" xfId="20745" xr:uid="{00000000-0005-0000-0000-00007B550000}"/>
    <cellStyle name="Normal 17 3 2 2 3 3" xfId="11176" xr:uid="{00000000-0005-0000-0000-00007C550000}"/>
    <cellStyle name="Normal 17 3 2 2 3 3 2" xfId="49450" xr:uid="{00000000-0005-0000-0000-00007D550000}"/>
    <cellStyle name="Normal 17 3 2 2 3 3 3" xfId="33350" xr:uid="{00000000-0005-0000-0000-00007E550000}"/>
    <cellStyle name="Normal 17 3 2 2 3 3 4" xfId="23781" xr:uid="{00000000-0005-0000-0000-00007F550000}"/>
    <cellStyle name="Normal 17 3 2 2 3 4" xfId="5104" xr:uid="{00000000-0005-0000-0000-000080550000}"/>
    <cellStyle name="Normal 17 3 2 2 3 4 2" xfId="52945" xr:uid="{00000000-0005-0000-0000-000081550000}"/>
    <cellStyle name="Normal 17 3 2 2 3 4 3" xfId="36845" xr:uid="{00000000-0005-0000-0000-000082550000}"/>
    <cellStyle name="Normal 17 3 2 2 3 4 4" xfId="17709" xr:uid="{00000000-0005-0000-0000-000083550000}"/>
    <cellStyle name="Normal 17 3 2 2 3 5" xfId="43378" xr:uid="{00000000-0005-0000-0000-000084550000}"/>
    <cellStyle name="Normal 17 3 2 2 3 6" xfId="27278" xr:uid="{00000000-0005-0000-0000-000085550000}"/>
    <cellStyle name="Normal 17 3 2 2 3 7" xfId="14214" xr:uid="{00000000-0005-0000-0000-000086550000}"/>
    <cellStyle name="Normal 17 3 2 2 4" xfId="7130" xr:uid="{00000000-0005-0000-0000-000087550000}"/>
    <cellStyle name="Normal 17 3 2 2 4 2" xfId="38871" xr:uid="{00000000-0005-0000-0000-000088550000}"/>
    <cellStyle name="Normal 17 3 2 2 4 2 2" xfId="54971" xr:uid="{00000000-0005-0000-0000-000089550000}"/>
    <cellStyle name="Normal 17 3 2 2 4 3" xfId="45404" xr:uid="{00000000-0005-0000-0000-00008A550000}"/>
    <cellStyle name="Normal 17 3 2 2 4 4" xfId="29304" xr:uid="{00000000-0005-0000-0000-00008B550000}"/>
    <cellStyle name="Normal 17 3 2 2 4 5" xfId="19735" xr:uid="{00000000-0005-0000-0000-00008C550000}"/>
    <cellStyle name="Normal 17 3 2 2 5" xfId="10166" xr:uid="{00000000-0005-0000-0000-00008D550000}"/>
    <cellStyle name="Normal 17 3 2 2 5 2" xfId="48440" xr:uid="{00000000-0005-0000-0000-00008E550000}"/>
    <cellStyle name="Normal 17 3 2 2 5 3" xfId="32340" xr:uid="{00000000-0005-0000-0000-00008F550000}"/>
    <cellStyle name="Normal 17 3 2 2 5 4" xfId="22771" xr:uid="{00000000-0005-0000-0000-000090550000}"/>
    <cellStyle name="Normal 17 3 2 2 6" xfId="4094" xr:uid="{00000000-0005-0000-0000-000091550000}"/>
    <cellStyle name="Normal 17 3 2 2 6 2" xfId="51935" xr:uid="{00000000-0005-0000-0000-000092550000}"/>
    <cellStyle name="Normal 17 3 2 2 6 3" xfId="35835" xr:uid="{00000000-0005-0000-0000-000093550000}"/>
    <cellStyle name="Normal 17 3 2 2 6 4" xfId="16699" xr:uid="{00000000-0005-0000-0000-000094550000}"/>
    <cellStyle name="Normal 17 3 2 2 7" xfId="42368" xr:uid="{00000000-0005-0000-0000-000095550000}"/>
    <cellStyle name="Normal 17 3 2 2 8" xfId="26268" xr:uid="{00000000-0005-0000-0000-000096550000}"/>
    <cellStyle name="Normal 17 3 2 2 9" xfId="13204" xr:uid="{00000000-0005-0000-0000-000097550000}"/>
    <cellStyle name="Normal 17 3 2 3" xfId="1014" xr:uid="{00000000-0005-0000-0000-000098550000}"/>
    <cellStyle name="Normal 17 3 2 3 2" xfId="3042" xr:uid="{00000000-0005-0000-0000-000099550000}"/>
    <cellStyle name="Normal 17 3 2 3 2 2" xfId="9574" xr:uid="{00000000-0005-0000-0000-00009A550000}"/>
    <cellStyle name="Normal 17 3 2 3 2 2 2" xfId="41315" xr:uid="{00000000-0005-0000-0000-00009B550000}"/>
    <cellStyle name="Normal 17 3 2 3 2 2 2 2" xfId="57415" xr:uid="{00000000-0005-0000-0000-00009C550000}"/>
    <cellStyle name="Normal 17 3 2 3 2 2 3" xfId="47848" xr:uid="{00000000-0005-0000-0000-00009D550000}"/>
    <cellStyle name="Normal 17 3 2 3 2 2 4" xfId="31748" xr:uid="{00000000-0005-0000-0000-00009E550000}"/>
    <cellStyle name="Normal 17 3 2 3 2 2 5" xfId="22179" xr:uid="{00000000-0005-0000-0000-00009F550000}"/>
    <cellStyle name="Normal 17 3 2 3 2 3" xfId="12610" xr:uid="{00000000-0005-0000-0000-0000A0550000}"/>
    <cellStyle name="Normal 17 3 2 3 2 3 2" xfId="50884" xr:uid="{00000000-0005-0000-0000-0000A1550000}"/>
    <cellStyle name="Normal 17 3 2 3 2 3 3" xfId="34784" xr:uid="{00000000-0005-0000-0000-0000A2550000}"/>
    <cellStyle name="Normal 17 3 2 3 2 3 4" xfId="25215" xr:uid="{00000000-0005-0000-0000-0000A3550000}"/>
    <cellStyle name="Normal 17 3 2 3 2 4" xfId="6538" xr:uid="{00000000-0005-0000-0000-0000A4550000}"/>
    <cellStyle name="Normal 17 3 2 3 2 4 2" xfId="54379" xr:uid="{00000000-0005-0000-0000-0000A5550000}"/>
    <cellStyle name="Normal 17 3 2 3 2 4 3" xfId="38279" xr:uid="{00000000-0005-0000-0000-0000A6550000}"/>
    <cellStyle name="Normal 17 3 2 3 2 4 4" xfId="19143" xr:uid="{00000000-0005-0000-0000-0000A7550000}"/>
    <cellStyle name="Normal 17 3 2 3 2 5" xfId="44812" xr:uid="{00000000-0005-0000-0000-0000A8550000}"/>
    <cellStyle name="Normal 17 3 2 3 2 6" xfId="28712" xr:uid="{00000000-0005-0000-0000-0000A9550000}"/>
    <cellStyle name="Normal 17 3 2 3 2 7" xfId="15648" xr:uid="{00000000-0005-0000-0000-0000AA550000}"/>
    <cellStyle name="Normal 17 3 2 3 3" xfId="2024" xr:uid="{00000000-0005-0000-0000-0000AB550000}"/>
    <cellStyle name="Normal 17 3 2 3 3 2" xfId="8558" xr:uid="{00000000-0005-0000-0000-0000AC550000}"/>
    <cellStyle name="Normal 17 3 2 3 3 2 2" xfId="40299" xr:uid="{00000000-0005-0000-0000-0000AD550000}"/>
    <cellStyle name="Normal 17 3 2 3 3 2 2 2" xfId="56399" xr:uid="{00000000-0005-0000-0000-0000AE550000}"/>
    <cellStyle name="Normal 17 3 2 3 3 2 3" xfId="46832" xr:uid="{00000000-0005-0000-0000-0000AF550000}"/>
    <cellStyle name="Normal 17 3 2 3 3 2 4" xfId="30732" xr:uid="{00000000-0005-0000-0000-0000B0550000}"/>
    <cellStyle name="Normal 17 3 2 3 3 2 5" xfId="21163" xr:uid="{00000000-0005-0000-0000-0000B1550000}"/>
    <cellStyle name="Normal 17 3 2 3 3 3" xfId="11594" xr:uid="{00000000-0005-0000-0000-0000B2550000}"/>
    <cellStyle name="Normal 17 3 2 3 3 3 2" xfId="49868" xr:uid="{00000000-0005-0000-0000-0000B3550000}"/>
    <cellStyle name="Normal 17 3 2 3 3 3 3" xfId="33768" xr:uid="{00000000-0005-0000-0000-0000B4550000}"/>
    <cellStyle name="Normal 17 3 2 3 3 3 4" xfId="24199" xr:uid="{00000000-0005-0000-0000-0000B5550000}"/>
    <cellStyle name="Normal 17 3 2 3 3 4" xfId="5522" xr:uid="{00000000-0005-0000-0000-0000B6550000}"/>
    <cellStyle name="Normal 17 3 2 3 3 4 2" xfId="53363" xr:uid="{00000000-0005-0000-0000-0000B7550000}"/>
    <cellStyle name="Normal 17 3 2 3 3 4 3" xfId="37263" xr:uid="{00000000-0005-0000-0000-0000B8550000}"/>
    <cellStyle name="Normal 17 3 2 3 3 4 4" xfId="18127" xr:uid="{00000000-0005-0000-0000-0000B9550000}"/>
    <cellStyle name="Normal 17 3 2 3 3 5" xfId="43796" xr:uid="{00000000-0005-0000-0000-0000BA550000}"/>
    <cellStyle name="Normal 17 3 2 3 3 6" xfId="27696" xr:uid="{00000000-0005-0000-0000-0000BB550000}"/>
    <cellStyle name="Normal 17 3 2 3 3 7" xfId="14632" xr:uid="{00000000-0005-0000-0000-0000BC550000}"/>
    <cellStyle name="Normal 17 3 2 3 4" xfId="7548" xr:uid="{00000000-0005-0000-0000-0000BD550000}"/>
    <cellStyle name="Normal 17 3 2 3 4 2" xfId="39289" xr:uid="{00000000-0005-0000-0000-0000BE550000}"/>
    <cellStyle name="Normal 17 3 2 3 4 2 2" xfId="55389" xr:uid="{00000000-0005-0000-0000-0000BF550000}"/>
    <cellStyle name="Normal 17 3 2 3 4 3" xfId="45822" xr:uid="{00000000-0005-0000-0000-0000C0550000}"/>
    <cellStyle name="Normal 17 3 2 3 4 4" xfId="29722" xr:uid="{00000000-0005-0000-0000-0000C1550000}"/>
    <cellStyle name="Normal 17 3 2 3 4 5" xfId="20153" xr:uid="{00000000-0005-0000-0000-0000C2550000}"/>
    <cellStyle name="Normal 17 3 2 3 5" xfId="10584" xr:uid="{00000000-0005-0000-0000-0000C3550000}"/>
    <cellStyle name="Normal 17 3 2 3 5 2" xfId="48858" xr:uid="{00000000-0005-0000-0000-0000C4550000}"/>
    <cellStyle name="Normal 17 3 2 3 5 3" xfId="32758" xr:uid="{00000000-0005-0000-0000-0000C5550000}"/>
    <cellStyle name="Normal 17 3 2 3 5 4" xfId="23189" xr:uid="{00000000-0005-0000-0000-0000C6550000}"/>
    <cellStyle name="Normal 17 3 2 3 6" xfId="4512" xr:uid="{00000000-0005-0000-0000-0000C7550000}"/>
    <cellStyle name="Normal 17 3 2 3 6 2" xfId="52353" xr:uid="{00000000-0005-0000-0000-0000C8550000}"/>
    <cellStyle name="Normal 17 3 2 3 6 3" xfId="36253" xr:uid="{00000000-0005-0000-0000-0000C9550000}"/>
    <cellStyle name="Normal 17 3 2 3 6 4" xfId="17117" xr:uid="{00000000-0005-0000-0000-0000CA550000}"/>
    <cellStyle name="Normal 17 3 2 3 7" xfId="42786" xr:uid="{00000000-0005-0000-0000-0000CB550000}"/>
    <cellStyle name="Normal 17 3 2 3 8" xfId="26686" xr:uid="{00000000-0005-0000-0000-0000CC550000}"/>
    <cellStyle name="Normal 17 3 2 3 9" xfId="13622" xr:uid="{00000000-0005-0000-0000-0000CD550000}"/>
    <cellStyle name="Normal 17 3 2 4" xfId="2217" xr:uid="{00000000-0005-0000-0000-0000CE550000}"/>
    <cellStyle name="Normal 17 3 2 4 2" xfId="8751" xr:uid="{00000000-0005-0000-0000-0000CF550000}"/>
    <cellStyle name="Normal 17 3 2 4 2 2" xfId="40492" xr:uid="{00000000-0005-0000-0000-0000D0550000}"/>
    <cellStyle name="Normal 17 3 2 4 2 2 2" xfId="56592" xr:uid="{00000000-0005-0000-0000-0000D1550000}"/>
    <cellStyle name="Normal 17 3 2 4 2 3" xfId="47025" xr:uid="{00000000-0005-0000-0000-0000D2550000}"/>
    <cellStyle name="Normal 17 3 2 4 2 4" xfId="30925" xr:uid="{00000000-0005-0000-0000-0000D3550000}"/>
    <cellStyle name="Normal 17 3 2 4 2 5" xfId="21356" xr:uid="{00000000-0005-0000-0000-0000D4550000}"/>
    <cellStyle name="Normal 17 3 2 4 3" xfId="11787" xr:uid="{00000000-0005-0000-0000-0000D5550000}"/>
    <cellStyle name="Normal 17 3 2 4 3 2" xfId="50061" xr:uid="{00000000-0005-0000-0000-0000D6550000}"/>
    <cellStyle name="Normal 17 3 2 4 3 3" xfId="33961" xr:uid="{00000000-0005-0000-0000-0000D7550000}"/>
    <cellStyle name="Normal 17 3 2 4 3 4" xfId="24392" xr:uid="{00000000-0005-0000-0000-0000D8550000}"/>
    <cellStyle name="Normal 17 3 2 4 4" xfId="5715" xr:uid="{00000000-0005-0000-0000-0000D9550000}"/>
    <cellStyle name="Normal 17 3 2 4 4 2" xfId="53556" xr:uid="{00000000-0005-0000-0000-0000DA550000}"/>
    <cellStyle name="Normal 17 3 2 4 4 3" xfId="37456" xr:uid="{00000000-0005-0000-0000-0000DB550000}"/>
    <cellStyle name="Normal 17 3 2 4 4 4" xfId="18320" xr:uid="{00000000-0005-0000-0000-0000DC550000}"/>
    <cellStyle name="Normal 17 3 2 4 5" xfId="43989" xr:uid="{00000000-0005-0000-0000-0000DD550000}"/>
    <cellStyle name="Normal 17 3 2 4 6" xfId="27889" xr:uid="{00000000-0005-0000-0000-0000DE550000}"/>
    <cellStyle name="Normal 17 3 2 4 7" xfId="14825" xr:uid="{00000000-0005-0000-0000-0000DF550000}"/>
    <cellStyle name="Normal 17 3 2 5" xfId="1429" xr:uid="{00000000-0005-0000-0000-0000E0550000}"/>
    <cellStyle name="Normal 17 3 2 5 2" xfId="7963" xr:uid="{00000000-0005-0000-0000-0000E1550000}"/>
    <cellStyle name="Normal 17 3 2 5 2 2" xfId="39704" xr:uid="{00000000-0005-0000-0000-0000E2550000}"/>
    <cellStyle name="Normal 17 3 2 5 2 2 2" xfId="55804" xr:uid="{00000000-0005-0000-0000-0000E3550000}"/>
    <cellStyle name="Normal 17 3 2 5 2 3" xfId="46237" xr:uid="{00000000-0005-0000-0000-0000E4550000}"/>
    <cellStyle name="Normal 17 3 2 5 2 4" xfId="30137" xr:uid="{00000000-0005-0000-0000-0000E5550000}"/>
    <cellStyle name="Normal 17 3 2 5 2 5" xfId="20568" xr:uid="{00000000-0005-0000-0000-0000E6550000}"/>
    <cellStyle name="Normal 17 3 2 5 3" xfId="10999" xr:uid="{00000000-0005-0000-0000-0000E7550000}"/>
    <cellStyle name="Normal 17 3 2 5 3 2" xfId="49273" xr:uid="{00000000-0005-0000-0000-0000E8550000}"/>
    <cellStyle name="Normal 17 3 2 5 3 3" xfId="33173" xr:uid="{00000000-0005-0000-0000-0000E9550000}"/>
    <cellStyle name="Normal 17 3 2 5 3 4" xfId="23604" xr:uid="{00000000-0005-0000-0000-0000EA550000}"/>
    <cellStyle name="Normal 17 3 2 5 4" xfId="4927" xr:uid="{00000000-0005-0000-0000-0000EB550000}"/>
    <cellStyle name="Normal 17 3 2 5 4 2" xfId="52768" xr:uid="{00000000-0005-0000-0000-0000EC550000}"/>
    <cellStyle name="Normal 17 3 2 5 4 3" xfId="36668" xr:uid="{00000000-0005-0000-0000-0000ED550000}"/>
    <cellStyle name="Normal 17 3 2 5 4 4" xfId="17532" xr:uid="{00000000-0005-0000-0000-0000EE550000}"/>
    <cellStyle name="Normal 17 3 2 5 5" xfId="43201" xr:uid="{00000000-0005-0000-0000-0000EF550000}"/>
    <cellStyle name="Normal 17 3 2 5 6" xfId="27101" xr:uid="{00000000-0005-0000-0000-0000F0550000}"/>
    <cellStyle name="Normal 17 3 2 5 7" xfId="14037" xr:uid="{00000000-0005-0000-0000-0000F1550000}"/>
    <cellStyle name="Normal 17 3 2 6" xfId="3917" xr:uid="{00000000-0005-0000-0000-0000F2550000}"/>
    <cellStyle name="Normal 17 3 2 6 2" xfId="35658" xr:uid="{00000000-0005-0000-0000-0000F3550000}"/>
    <cellStyle name="Normal 17 3 2 6 2 2" xfId="51758" xr:uid="{00000000-0005-0000-0000-0000F4550000}"/>
    <cellStyle name="Normal 17 3 2 6 3" xfId="42191" xr:uid="{00000000-0005-0000-0000-0000F5550000}"/>
    <cellStyle name="Normal 17 3 2 6 4" xfId="26091" xr:uid="{00000000-0005-0000-0000-0000F6550000}"/>
    <cellStyle name="Normal 17 3 2 6 5" xfId="16522" xr:uid="{00000000-0005-0000-0000-0000F7550000}"/>
    <cellStyle name="Normal 17 3 2 7" xfId="6953" xr:uid="{00000000-0005-0000-0000-0000F8550000}"/>
    <cellStyle name="Normal 17 3 2 7 2" xfId="38694" xr:uid="{00000000-0005-0000-0000-0000F9550000}"/>
    <cellStyle name="Normal 17 3 2 7 2 2" xfId="54794" xr:uid="{00000000-0005-0000-0000-0000FA550000}"/>
    <cellStyle name="Normal 17 3 2 7 3" xfId="45227" xr:uid="{00000000-0005-0000-0000-0000FB550000}"/>
    <cellStyle name="Normal 17 3 2 7 4" xfId="29127" xr:uid="{00000000-0005-0000-0000-0000FC550000}"/>
    <cellStyle name="Normal 17 3 2 7 5" xfId="19558" xr:uid="{00000000-0005-0000-0000-0000FD550000}"/>
    <cellStyle name="Normal 17 3 2 8" xfId="9989" xr:uid="{00000000-0005-0000-0000-0000FE550000}"/>
    <cellStyle name="Normal 17 3 2 8 2" xfId="48263" xr:uid="{00000000-0005-0000-0000-0000FF550000}"/>
    <cellStyle name="Normal 17 3 2 8 3" xfId="32163" xr:uid="{00000000-0005-0000-0000-000000560000}"/>
    <cellStyle name="Normal 17 3 2 8 4" xfId="22594" xr:uid="{00000000-0005-0000-0000-000001560000}"/>
    <cellStyle name="Normal 17 3 2 9" xfId="3412" xr:uid="{00000000-0005-0000-0000-000002560000}"/>
    <cellStyle name="Normal 17 3 2 9 2" xfId="51253" xr:uid="{00000000-0005-0000-0000-000003560000}"/>
    <cellStyle name="Normal 17 3 2 9 3" xfId="35153" xr:uid="{00000000-0005-0000-0000-000004560000}"/>
    <cellStyle name="Normal 17 3 2 9 4" xfId="16017" xr:uid="{00000000-0005-0000-0000-000005560000}"/>
    <cellStyle name="Normal 17 3 3" xfId="304" xr:uid="{00000000-0005-0000-0000-000006560000}"/>
    <cellStyle name="Normal 17 3 3 2" xfId="2323" xr:uid="{00000000-0005-0000-0000-000007560000}"/>
    <cellStyle name="Normal 17 3 3 2 2" xfId="8857" xr:uid="{00000000-0005-0000-0000-000008560000}"/>
    <cellStyle name="Normal 17 3 3 2 2 2" xfId="40598" xr:uid="{00000000-0005-0000-0000-000009560000}"/>
    <cellStyle name="Normal 17 3 3 2 2 2 2" xfId="56698" xr:uid="{00000000-0005-0000-0000-00000A560000}"/>
    <cellStyle name="Normal 17 3 3 2 2 3" xfId="47131" xr:uid="{00000000-0005-0000-0000-00000B560000}"/>
    <cellStyle name="Normal 17 3 3 2 2 4" xfId="31031" xr:uid="{00000000-0005-0000-0000-00000C560000}"/>
    <cellStyle name="Normal 17 3 3 2 2 5" xfId="21462" xr:uid="{00000000-0005-0000-0000-00000D560000}"/>
    <cellStyle name="Normal 17 3 3 2 3" xfId="11893" xr:uid="{00000000-0005-0000-0000-00000E560000}"/>
    <cellStyle name="Normal 17 3 3 2 3 2" xfId="50167" xr:uid="{00000000-0005-0000-0000-00000F560000}"/>
    <cellStyle name="Normal 17 3 3 2 3 3" xfId="34067" xr:uid="{00000000-0005-0000-0000-000010560000}"/>
    <cellStyle name="Normal 17 3 3 2 3 4" xfId="24498" xr:uid="{00000000-0005-0000-0000-000011560000}"/>
    <cellStyle name="Normal 17 3 3 2 4" xfId="5821" xr:uid="{00000000-0005-0000-0000-000012560000}"/>
    <cellStyle name="Normal 17 3 3 2 4 2" xfId="53662" xr:uid="{00000000-0005-0000-0000-000013560000}"/>
    <cellStyle name="Normal 17 3 3 2 4 3" xfId="37562" xr:uid="{00000000-0005-0000-0000-000014560000}"/>
    <cellStyle name="Normal 17 3 3 2 4 4" xfId="18426" xr:uid="{00000000-0005-0000-0000-000015560000}"/>
    <cellStyle name="Normal 17 3 3 2 5" xfId="44095" xr:uid="{00000000-0005-0000-0000-000016560000}"/>
    <cellStyle name="Normal 17 3 3 2 6" xfId="27995" xr:uid="{00000000-0005-0000-0000-000017560000}"/>
    <cellStyle name="Normal 17 3 3 2 7" xfId="14931" xr:uid="{00000000-0005-0000-0000-000018560000}"/>
    <cellStyle name="Normal 17 3 3 3" xfId="1535" xr:uid="{00000000-0005-0000-0000-000019560000}"/>
    <cellStyle name="Normal 17 3 3 3 2" xfId="8069" xr:uid="{00000000-0005-0000-0000-00001A560000}"/>
    <cellStyle name="Normal 17 3 3 3 2 2" xfId="39810" xr:uid="{00000000-0005-0000-0000-00001B560000}"/>
    <cellStyle name="Normal 17 3 3 3 2 2 2" xfId="55910" xr:uid="{00000000-0005-0000-0000-00001C560000}"/>
    <cellStyle name="Normal 17 3 3 3 2 3" xfId="46343" xr:uid="{00000000-0005-0000-0000-00001D560000}"/>
    <cellStyle name="Normal 17 3 3 3 2 4" xfId="30243" xr:uid="{00000000-0005-0000-0000-00001E560000}"/>
    <cellStyle name="Normal 17 3 3 3 2 5" xfId="20674" xr:uid="{00000000-0005-0000-0000-00001F560000}"/>
    <cellStyle name="Normal 17 3 3 3 3" xfId="11105" xr:uid="{00000000-0005-0000-0000-000020560000}"/>
    <cellStyle name="Normal 17 3 3 3 3 2" xfId="49379" xr:uid="{00000000-0005-0000-0000-000021560000}"/>
    <cellStyle name="Normal 17 3 3 3 3 3" xfId="33279" xr:uid="{00000000-0005-0000-0000-000022560000}"/>
    <cellStyle name="Normal 17 3 3 3 3 4" xfId="23710" xr:uid="{00000000-0005-0000-0000-000023560000}"/>
    <cellStyle name="Normal 17 3 3 3 4" xfId="5033" xr:uid="{00000000-0005-0000-0000-000024560000}"/>
    <cellStyle name="Normal 17 3 3 3 4 2" xfId="52874" xr:uid="{00000000-0005-0000-0000-000025560000}"/>
    <cellStyle name="Normal 17 3 3 3 4 3" xfId="36774" xr:uid="{00000000-0005-0000-0000-000026560000}"/>
    <cellStyle name="Normal 17 3 3 3 4 4" xfId="17638" xr:uid="{00000000-0005-0000-0000-000027560000}"/>
    <cellStyle name="Normal 17 3 3 3 5" xfId="43307" xr:uid="{00000000-0005-0000-0000-000028560000}"/>
    <cellStyle name="Normal 17 3 3 3 6" xfId="27207" xr:uid="{00000000-0005-0000-0000-000029560000}"/>
    <cellStyle name="Normal 17 3 3 3 7" xfId="14143" xr:uid="{00000000-0005-0000-0000-00002A560000}"/>
    <cellStyle name="Normal 17 3 3 4" xfId="7059" xr:uid="{00000000-0005-0000-0000-00002B560000}"/>
    <cellStyle name="Normal 17 3 3 4 2" xfId="38800" xr:uid="{00000000-0005-0000-0000-00002C560000}"/>
    <cellStyle name="Normal 17 3 3 4 2 2" xfId="54900" xr:uid="{00000000-0005-0000-0000-00002D560000}"/>
    <cellStyle name="Normal 17 3 3 4 3" xfId="45333" xr:uid="{00000000-0005-0000-0000-00002E560000}"/>
    <cellStyle name="Normal 17 3 3 4 4" xfId="29233" xr:uid="{00000000-0005-0000-0000-00002F560000}"/>
    <cellStyle name="Normal 17 3 3 4 5" xfId="19664" xr:uid="{00000000-0005-0000-0000-000030560000}"/>
    <cellStyle name="Normal 17 3 3 5" xfId="10095" xr:uid="{00000000-0005-0000-0000-000031560000}"/>
    <cellStyle name="Normal 17 3 3 5 2" xfId="48369" xr:uid="{00000000-0005-0000-0000-000032560000}"/>
    <cellStyle name="Normal 17 3 3 5 3" xfId="32269" xr:uid="{00000000-0005-0000-0000-000033560000}"/>
    <cellStyle name="Normal 17 3 3 5 4" xfId="22700" xr:uid="{00000000-0005-0000-0000-000034560000}"/>
    <cellStyle name="Normal 17 3 3 6" xfId="4023" xr:uid="{00000000-0005-0000-0000-000035560000}"/>
    <cellStyle name="Normal 17 3 3 6 2" xfId="51864" xr:uid="{00000000-0005-0000-0000-000036560000}"/>
    <cellStyle name="Normal 17 3 3 6 3" xfId="35764" xr:uid="{00000000-0005-0000-0000-000037560000}"/>
    <cellStyle name="Normal 17 3 3 6 4" xfId="16628" xr:uid="{00000000-0005-0000-0000-000038560000}"/>
    <cellStyle name="Normal 17 3 3 7" xfId="42297" xr:uid="{00000000-0005-0000-0000-000039560000}"/>
    <cellStyle name="Normal 17 3 3 8" xfId="26197" xr:uid="{00000000-0005-0000-0000-00003A560000}"/>
    <cellStyle name="Normal 17 3 3 9" xfId="13133" xr:uid="{00000000-0005-0000-0000-00003B560000}"/>
    <cellStyle name="Normal 17 3 4" xfId="562" xr:uid="{00000000-0005-0000-0000-00003C560000}"/>
    <cellStyle name="Normal 17 3 4 2" xfId="2591" xr:uid="{00000000-0005-0000-0000-00003D560000}"/>
    <cellStyle name="Normal 17 3 4 2 2" xfId="9123" xr:uid="{00000000-0005-0000-0000-00003E560000}"/>
    <cellStyle name="Normal 17 3 4 2 2 2" xfId="40864" xr:uid="{00000000-0005-0000-0000-00003F560000}"/>
    <cellStyle name="Normal 17 3 4 2 2 2 2" xfId="56964" xr:uid="{00000000-0005-0000-0000-000040560000}"/>
    <cellStyle name="Normal 17 3 4 2 2 3" xfId="47397" xr:uid="{00000000-0005-0000-0000-000041560000}"/>
    <cellStyle name="Normal 17 3 4 2 2 4" xfId="31297" xr:uid="{00000000-0005-0000-0000-000042560000}"/>
    <cellStyle name="Normal 17 3 4 2 2 5" xfId="21728" xr:uid="{00000000-0005-0000-0000-000043560000}"/>
    <cellStyle name="Normal 17 3 4 2 3" xfId="12159" xr:uid="{00000000-0005-0000-0000-000044560000}"/>
    <cellStyle name="Normal 17 3 4 2 3 2" xfId="50433" xr:uid="{00000000-0005-0000-0000-000045560000}"/>
    <cellStyle name="Normal 17 3 4 2 3 3" xfId="34333" xr:uid="{00000000-0005-0000-0000-000046560000}"/>
    <cellStyle name="Normal 17 3 4 2 3 4" xfId="24764" xr:uid="{00000000-0005-0000-0000-000047560000}"/>
    <cellStyle name="Normal 17 3 4 2 4" xfId="6087" xr:uid="{00000000-0005-0000-0000-000048560000}"/>
    <cellStyle name="Normal 17 3 4 2 4 2" xfId="53928" xr:uid="{00000000-0005-0000-0000-000049560000}"/>
    <cellStyle name="Normal 17 3 4 2 4 3" xfId="37828" xr:uid="{00000000-0005-0000-0000-00004A560000}"/>
    <cellStyle name="Normal 17 3 4 2 4 4" xfId="18692" xr:uid="{00000000-0005-0000-0000-00004B560000}"/>
    <cellStyle name="Normal 17 3 4 2 5" xfId="44361" xr:uid="{00000000-0005-0000-0000-00004C560000}"/>
    <cellStyle name="Normal 17 3 4 2 6" xfId="28261" xr:uid="{00000000-0005-0000-0000-00004D560000}"/>
    <cellStyle name="Normal 17 3 4 2 7" xfId="15197" xr:uid="{00000000-0005-0000-0000-00004E560000}"/>
    <cellStyle name="Normal 17 3 4 3" xfId="1358" xr:uid="{00000000-0005-0000-0000-00004F560000}"/>
    <cellStyle name="Normal 17 3 4 3 2" xfId="7892" xr:uid="{00000000-0005-0000-0000-000050560000}"/>
    <cellStyle name="Normal 17 3 4 3 2 2" xfId="39633" xr:uid="{00000000-0005-0000-0000-000051560000}"/>
    <cellStyle name="Normal 17 3 4 3 2 2 2" xfId="55733" xr:uid="{00000000-0005-0000-0000-000052560000}"/>
    <cellStyle name="Normal 17 3 4 3 2 3" xfId="46166" xr:uid="{00000000-0005-0000-0000-000053560000}"/>
    <cellStyle name="Normal 17 3 4 3 2 4" xfId="30066" xr:uid="{00000000-0005-0000-0000-000054560000}"/>
    <cellStyle name="Normal 17 3 4 3 2 5" xfId="20497" xr:uid="{00000000-0005-0000-0000-000055560000}"/>
    <cellStyle name="Normal 17 3 4 3 3" xfId="10928" xr:uid="{00000000-0005-0000-0000-000056560000}"/>
    <cellStyle name="Normal 17 3 4 3 3 2" xfId="49202" xr:uid="{00000000-0005-0000-0000-000057560000}"/>
    <cellStyle name="Normal 17 3 4 3 3 3" xfId="33102" xr:uid="{00000000-0005-0000-0000-000058560000}"/>
    <cellStyle name="Normal 17 3 4 3 3 4" xfId="23533" xr:uid="{00000000-0005-0000-0000-000059560000}"/>
    <cellStyle name="Normal 17 3 4 3 4" xfId="4856" xr:uid="{00000000-0005-0000-0000-00005A560000}"/>
    <cellStyle name="Normal 17 3 4 3 4 2" xfId="52697" xr:uid="{00000000-0005-0000-0000-00005B560000}"/>
    <cellStyle name="Normal 17 3 4 3 4 3" xfId="36597" xr:uid="{00000000-0005-0000-0000-00005C560000}"/>
    <cellStyle name="Normal 17 3 4 3 4 4" xfId="17461" xr:uid="{00000000-0005-0000-0000-00005D560000}"/>
    <cellStyle name="Normal 17 3 4 3 5" xfId="43130" xr:uid="{00000000-0005-0000-0000-00005E560000}"/>
    <cellStyle name="Normal 17 3 4 3 6" xfId="27030" xr:uid="{00000000-0005-0000-0000-00005F560000}"/>
    <cellStyle name="Normal 17 3 4 3 7" xfId="13966" xr:uid="{00000000-0005-0000-0000-000060560000}"/>
    <cellStyle name="Normal 17 3 4 4" xfId="6882" xr:uid="{00000000-0005-0000-0000-000061560000}"/>
    <cellStyle name="Normal 17 3 4 4 2" xfId="38623" xr:uid="{00000000-0005-0000-0000-000062560000}"/>
    <cellStyle name="Normal 17 3 4 4 2 2" xfId="54723" xr:uid="{00000000-0005-0000-0000-000063560000}"/>
    <cellStyle name="Normal 17 3 4 4 3" xfId="45156" xr:uid="{00000000-0005-0000-0000-000064560000}"/>
    <cellStyle name="Normal 17 3 4 4 4" xfId="29056" xr:uid="{00000000-0005-0000-0000-000065560000}"/>
    <cellStyle name="Normal 17 3 4 4 5" xfId="19487" xr:uid="{00000000-0005-0000-0000-000066560000}"/>
    <cellStyle name="Normal 17 3 4 5" xfId="9918" xr:uid="{00000000-0005-0000-0000-000067560000}"/>
    <cellStyle name="Normal 17 3 4 5 2" xfId="48192" xr:uid="{00000000-0005-0000-0000-000068560000}"/>
    <cellStyle name="Normal 17 3 4 5 3" xfId="32092" xr:uid="{00000000-0005-0000-0000-000069560000}"/>
    <cellStyle name="Normal 17 3 4 5 4" xfId="22523" xr:uid="{00000000-0005-0000-0000-00006A560000}"/>
    <cellStyle name="Normal 17 3 4 6" xfId="3846" xr:uid="{00000000-0005-0000-0000-00006B560000}"/>
    <cellStyle name="Normal 17 3 4 6 2" xfId="51687" xr:uid="{00000000-0005-0000-0000-00006C560000}"/>
    <cellStyle name="Normal 17 3 4 6 3" xfId="35587" xr:uid="{00000000-0005-0000-0000-00006D560000}"/>
    <cellStyle name="Normal 17 3 4 6 4" xfId="16451" xr:uid="{00000000-0005-0000-0000-00006E560000}"/>
    <cellStyle name="Normal 17 3 4 7" xfId="42120" xr:uid="{00000000-0005-0000-0000-00006F560000}"/>
    <cellStyle name="Normal 17 3 4 8" xfId="26020" xr:uid="{00000000-0005-0000-0000-000070560000}"/>
    <cellStyle name="Normal 17 3 4 9" xfId="12956" xr:uid="{00000000-0005-0000-0000-000071560000}"/>
    <cellStyle name="Normal 17 3 5" xfId="819" xr:uid="{00000000-0005-0000-0000-000072560000}"/>
    <cellStyle name="Normal 17 3 5 2" xfId="2847" xr:uid="{00000000-0005-0000-0000-000073560000}"/>
    <cellStyle name="Normal 17 3 5 2 2" xfId="9379" xr:uid="{00000000-0005-0000-0000-000074560000}"/>
    <cellStyle name="Normal 17 3 5 2 2 2" xfId="41120" xr:uid="{00000000-0005-0000-0000-000075560000}"/>
    <cellStyle name="Normal 17 3 5 2 2 2 2" xfId="57220" xr:uid="{00000000-0005-0000-0000-000076560000}"/>
    <cellStyle name="Normal 17 3 5 2 2 3" xfId="47653" xr:uid="{00000000-0005-0000-0000-000077560000}"/>
    <cellStyle name="Normal 17 3 5 2 2 4" xfId="31553" xr:uid="{00000000-0005-0000-0000-000078560000}"/>
    <cellStyle name="Normal 17 3 5 2 2 5" xfId="21984" xr:uid="{00000000-0005-0000-0000-000079560000}"/>
    <cellStyle name="Normal 17 3 5 2 3" xfId="12415" xr:uid="{00000000-0005-0000-0000-00007A560000}"/>
    <cellStyle name="Normal 17 3 5 2 3 2" xfId="50689" xr:uid="{00000000-0005-0000-0000-00007B560000}"/>
    <cellStyle name="Normal 17 3 5 2 3 3" xfId="34589" xr:uid="{00000000-0005-0000-0000-00007C560000}"/>
    <cellStyle name="Normal 17 3 5 2 3 4" xfId="25020" xr:uid="{00000000-0005-0000-0000-00007D560000}"/>
    <cellStyle name="Normal 17 3 5 2 4" xfId="6343" xr:uid="{00000000-0005-0000-0000-00007E560000}"/>
    <cellStyle name="Normal 17 3 5 2 4 2" xfId="54184" xr:uid="{00000000-0005-0000-0000-00007F560000}"/>
    <cellStyle name="Normal 17 3 5 2 4 3" xfId="38084" xr:uid="{00000000-0005-0000-0000-000080560000}"/>
    <cellStyle name="Normal 17 3 5 2 4 4" xfId="18948" xr:uid="{00000000-0005-0000-0000-000081560000}"/>
    <cellStyle name="Normal 17 3 5 2 5" xfId="44617" xr:uid="{00000000-0005-0000-0000-000082560000}"/>
    <cellStyle name="Normal 17 3 5 2 6" xfId="28517" xr:uid="{00000000-0005-0000-0000-000083560000}"/>
    <cellStyle name="Normal 17 3 5 2 7" xfId="15453" xr:uid="{00000000-0005-0000-0000-000084560000}"/>
    <cellStyle name="Normal 17 3 5 3" xfId="1829" xr:uid="{00000000-0005-0000-0000-000085560000}"/>
    <cellStyle name="Normal 17 3 5 3 2" xfId="8363" xr:uid="{00000000-0005-0000-0000-000086560000}"/>
    <cellStyle name="Normal 17 3 5 3 2 2" xfId="40104" xr:uid="{00000000-0005-0000-0000-000087560000}"/>
    <cellStyle name="Normal 17 3 5 3 2 2 2" xfId="56204" xr:uid="{00000000-0005-0000-0000-000088560000}"/>
    <cellStyle name="Normal 17 3 5 3 2 3" xfId="46637" xr:uid="{00000000-0005-0000-0000-000089560000}"/>
    <cellStyle name="Normal 17 3 5 3 2 4" xfId="30537" xr:uid="{00000000-0005-0000-0000-00008A560000}"/>
    <cellStyle name="Normal 17 3 5 3 2 5" xfId="20968" xr:uid="{00000000-0005-0000-0000-00008B560000}"/>
    <cellStyle name="Normal 17 3 5 3 3" xfId="11399" xr:uid="{00000000-0005-0000-0000-00008C560000}"/>
    <cellStyle name="Normal 17 3 5 3 3 2" xfId="49673" xr:uid="{00000000-0005-0000-0000-00008D560000}"/>
    <cellStyle name="Normal 17 3 5 3 3 3" xfId="33573" xr:uid="{00000000-0005-0000-0000-00008E560000}"/>
    <cellStyle name="Normal 17 3 5 3 3 4" xfId="24004" xr:uid="{00000000-0005-0000-0000-00008F560000}"/>
    <cellStyle name="Normal 17 3 5 3 4" xfId="5327" xr:uid="{00000000-0005-0000-0000-000090560000}"/>
    <cellStyle name="Normal 17 3 5 3 4 2" xfId="53168" xr:uid="{00000000-0005-0000-0000-000091560000}"/>
    <cellStyle name="Normal 17 3 5 3 4 3" xfId="37068" xr:uid="{00000000-0005-0000-0000-000092560000}"/>
    <cellStyle name="Normal 17 3 5 3 4 4" xfId="17932" xr:uid="{00000000-0005-0000-0000-000093560000}"/>
    <cellStyle name="Normal 17 3 5 3 5" xfId="43601" xr:uid="{00000000-0005-0000-0000-000094560000}"/>
    <cellStyle name="Normal 17 3 5 3 6" xfId="27501" xr:uid="{00000000-0005-0000-0000-000095560000}"/>
    <cellStyle name="Normal 17 3 5 3 7" xfId="14437" xr:uid="{00000000-0005-0000-0000-000096560000}"/>
    <cellStyle name="Normal 17 3 5 4" xfId="7353" xr:uid="{00000000-0005-0000-0000-000097560000}"/>
    <cellStyle name="Normal 17 3 5 4 2" xfId="39094" xr:uid="{00000000-0005-0000-0000-000098560000}"/>
    <cellStyle name="Normal 17 3 5 4 2 2" xfId="55194" xr:uid="{00000000-0005-0000-0000-000099560000}"/>
    <cellStyle name="Normal 17 3 5 4 3" xfId="45627" xr:uid="{00000000-0005-0000-0000-00009A560000}"/>
    <cellStyle name="Normal 17 3 5 4 4" xfId="29527" xr:uid="{00000000-0005-0000-0000-00009B560000}"/>
    <cellStyle name="Normal 17 3 5 4 5" xfId="19958" xr:uid="{00000000-0005-0000-0000-00009C560000}"/>
    <cellStyle name="Normal 17 3 5 5" xfId="10389" xr:uid="{00000000-0005-0000-0000-00009D560000}"/>
    <cellStyle name="Normal 17 3 5 5 2" xfId="48663" xr:uid="{00000000-0005-0000-0000-00009E560000}"/>
    <cellStyle name="Normal 17 3 5 5 3" xfId="32563" xr:uid="{00000000-0005-0000-0000-00009F560000}"/>
    <cellStyle name="Normal 17 3 5 5 4" xfId="22994" xr:uid="{00000000-0005-0000-0000-0000A0560000}"/>
    <cellStyle name="Normal 17 3 5 6" xfId="4317" xr:uid="{00000000-0005-0000-0000-0000A1560000}"/>
    <cellStyle name="Normal 17 3 5 6 2" xfId="52158" xr:uid="{00000000-0005-0000-0000-0000A2560000}"/>
    <cellStyle name="Normal 17 3 5 6 3" xfId="36058" xr:uid="{00000000-0005-0000-0000-0000A3560000}"/>
    <cellStyle name="Normal 17 3 5 6 4" xfId="16922" xr:uid="{00000000-0005-0000-0000-0000A4560000}"/>
    <cellStyle name="Normal 17 3 5 7" xfId="42591" xr:uid="{00000000-0005-0000-0000-0000A5560000}"/>
    <cellStyle name="Normal 17 3 5 8" xfId="26491" xr:uid="{00000000-0005-0000-0000-0000A6560000}"/>
    <cellStyle name="Normal 17 3 5 9" xfId="13427" xr:uid="{00000000-0005-0000-0000-0000A7560000}"/>
    <cellStyle name="Normal 17 3 6" xfId="2146" xr:uid="{00000000-0005-0000-0000-0000A8560000}"/>
    <cellStyle name="Normal 17 3 6 2" xfId="8680" xr:uid="{00000000-0005-0000-0000-0000A9560000}"/>
    <cellStyle name="Normal 17 3 6 2 2" xfId="40421" xr:uid="{00000000-0005-0000-0000-0000AA560000}"/>
    <cellStyle name="Normal 17 3 6 2 2 2" xfId="56521" xr:uid="{00000000-0005-0000-0000-0000AB560000}"/>
    <cellStyle name="Normal 17 3 6 2 3" xfId="46954" xr:uid="{00000000-0005-0000-0000-0000AC560000}"/>
    <cellStyle name="Normal 17 3 6 2 4" xfId="30854" xr:uid="{00000000-0005-0000-0000-0000AD560000}"/>
    <cellStyle name="Normal 17 3 6 2 5" xfId="21285" xr:uid="{00000000-0005-0000-0000-0000AE560000}"/>
    <cellStyle name="Normal 17 3 6 3" xfId="11716" xr:uid="{00000000-0005-0000-0000-0000AF560000}"/>
    <cellStyle name="Normal 17 3 6 3 2" xfId="49990" xr:uid="{00000000-0005-0000-0000-0000B0560000}"/>
    <cellStyle name="Normal 17 3 6 3 3" xfId="33890" xr:uid="{00000000-0005-0000-0000-0000B1560000}"/>
    <cellStyle name="Normal 17 3 6 3 4" xfId="24321" xr:uid="{00000000-0005-0000-0000-0000B2560000}"/>
    <cellStyle name="Normal 17 3 6 4" xfId="5644" xr:uid="{00000000-0005-0000-0000-0000B3560000}"/>
    <cellStyle name="Normal 17 3 6 4 2" xfId="53485" xr:uid="{00000000-0005-0000-0000-0000B4560000}"/>
    <cellStyle name="Normal 17 3 6 4 3" xfId="37385" xr:uid="{00000000-0005-0000-0000-0000B5560000}"/>
    <cellStyle name="Normal 17 3 6 4 4" xfId="18249" xr:uid="{00000000-0005-0000-0000-0000B6560000}"/>
    <cellStyle name="Normal 17 3 6 5" xfId="43918" xr:uid="{00000000-0005-0000-0000-0000B7560000}"/>
    <cellStyle name="Normal 17 3 6 6" xfId="27818" xr:uid="{00000000-0005-0000-0000-0000B8560000}"/>
    <cellStyle name="Normal 17 3 6 7" xfId="14754" xr:uid="{00000000-0005-0000-0000-0000B9560000}"/>
    <cellStyle name="Normal 17 3 7" xfId="1146" xr:uid="{00000000-0005-0000-0000-0000BA560000}"/>
    <cellStyle name="Normal 17 3 7 2" xfId="7680" xr:uid="{00000000-0005-0000-0000-0000BB560000}"/>
    <cellStyle name="Normal 17 3 7 2 2" xfId="39421" xr:uid="{00000000-0005-0000-0000-0000BC560000}"/>
    <cellStyle name="Normal 17 3 7 2 2 2" xfId="55521" xr:uid="{00000000-0005-0000-0000-0000BD560000}"/>
    <cellStyle name="Normal 17 3 7 2 3" xfId="45954" xr:uid="{00000000-0005-0000-0000-0000BE560000}"/>
    <cellStyle name="Normal 17 3 7 2 4" xfId="29854" xr:uid="{00000000-0005-0000-0000-0000BF560000}"/>
    <cellStyle name="Normal 17 3 7 2 5" xfId="20285" xr:uid="{00000000-0005-0000-0000-0000C0560000}"/>
    <cellStyle name="Normal 17 3 7 3" xfId="10716" xr:uid="{00000000-0005-0000-0000-0000C1560000}"/>
    <cellStyle name="Normal 17 3 7 3 2" xfId="48990" xr:uid="{00000000-0005-0000-0000-0000C2560000}"/>
    <cellStyle name="Normal 17 3 7 3 3" xfId="32890" xr:uid="{00000000-0005-0000-0000-0000C3560000}"/>
    <cellStyle name="Normal 17 3 7 3 4" xfId="23321" xr:uid="{00000000-0005-0000-0000-0000C4560000}"/>
    <cellStyle name="Normal 17 3 7 4" xfId="4644" xr:uid="{00000000-0005-0000-0000-0000C5560000}"/>
    <cellStyle name="Normal 17 3 7 4 2" xfId="52485" xr:uid="{00000000-0005-0000-0000-0000C6560000}"/>
    <cellStyle name="Normal 17 3 7 4 3" xfId="36385" xr:uid="{00000000-0005-0000-0000-0000C7560000}"/>
    <cellStyle name="Normal 17 3 7 4 4" xfId="17249" xr:uid="{00000000-0005-0000-0000-0000C8560000}"/>
    <cellStyle name="Normal 17 3 7 5" xfId="42918" xr:uid="{00000000-0005-0000-0000-0000C9560000}"/>
    <cellStyle name="Normal 17 3 7 6" xfId="26818" xr:uid="{00000000-0005-0000-0000-0000CA560000}"/>
    <cellStyle name="Normal 17 3 7 7" xfId="13754" xr:uid="{00000000-0005-0000-0000-0000CB560000}"/>
    <cellStyle name="Normal 17 3 8" xfId="3634" xr:uid="{00000000-0005-0000-0000-0000CC560000}"/>
    <cellStyle name="Normal 17 3 8 2" xfId="35375" xr:uid="{00000000-0005-0000-0000-0000CD560000}"/>
    <cellStyle name="Normal 17 3 8 2 2" xfId="51475" xr:uid="{00000000-0005-0000-0000-0000CE560000}"/>
    <cellStyle name="Normal 17 3 8 3" xfId="41908" xr:uid="{00000000-0005-0000-0000-0000CF560000}"/>
    <cellStyle name="Normal 17 3 8 4" xfId="25808" xr:uid="{00000000-0005-0000-0000-0000D0560000}"/>
    <cellStyle name="Normal 17 3 8 5" xfId="16239" xr:uid="{00000000-0005-0000-0000-0000D1560000}"/>
    <cellStyle name="Normal 17 3 9" xfId="6670" xr:uid="{00000000-0005-0000-0000-0000D2560000}"/>
    <cellStyle name="Normal 17 3 9 2" xfId="38411" xr:uid="{00000000-0005-0000-0000-0000D3560000}"/>
    <cellStyle name="Normal 17 3 9 2 2" xfId="54511" xr:uid="{00000000-0005-0000-0000-0000D4560000}"/>
    <cellStyle name="Normal 17 3 9 3" xfId="44944" xr:uid="{00000000-0005-0000-0000-0000D5560000}"/>
    <cellStyle name="Normal 17 3 9 4" xfId="28844" xr:uid="{00000000-0005-0000-0000-0000D6560000}"/>
    <cellStyle name="Normal 17 3 9 5" xfId="19275" xr:uid="{00000000-0005-0000-0000-0000D7560000}"/>
    <cellStyle name="Normal 17 4" xfId="87" xr:uid="{00000000-0005-0000-0000-0000D8560000}"/>
    <cellStyle name="Normal 17 4 10" xfId="3191" xr:uid="{00000000-0005-0000-0000-0000D9560000}"/>
    <cellStyle name="Normal 17 4 10 2" xfId="51033" xr:uid="{00000000-0005-0000-0000-0000DA560000}"/>
    <cellStyle name="Normal 17 4 10 3" xfId="34933" xr:uid="{00000000-0005-0000-0000-0000DB560000}"/>
    <cellStyle name="Normal 17 4 10 4" xfId="15797" xr:uid="{00000000-0005-0000-0000-0000DC560000}"/>
    <cellStyle name="Normal 17 4 11" xfId="41466" xr:uid="{00000000-0005-0000-0000-0000DD560000}"/>
    <cellStyle name="Normal 17 4 12" xfId="25366" xr:uid="{00000000-0005-0000-0000-0000DE560000}"/>
    <cellStyle name="Normal 17 4 13" xfId="12761" xr:uid="{00000000-0005-0000-0000-0000DF560000}"/>
    <cellStyle name="Normal 17 4 2" xfId="268" xr:uid="{00000000-0005-0000-0000-0000E0560000}"/>
    <cellStyle name="Normal 17 4 2 10" xfId="25603" xr:uid="{00000000-0005-0000-0000-0000E1560000}"/>
    <cellStyle name="Normal 17 4 2 11" xfId="13097" xr:uid="{00000000-0005-0000-0000-0000E2560000}"/>
    <cellStyle name="Normal 17 4 2 2" xfId="1048" xr:uid="{00000000-0005-0000-0000-0000E3560000}"/>
    <cellStyle name="Normal 17 4 2 2 2" xfId="3076" xr:uid="{00000000-0005-0000-0000-0000E4560000}"/>
    <cellStyle name="Normal 17 4 2 2 2 2" xfId="9608" xr:uid="{00000000-0005-0000-0000-0000E5560000}"/>
    <cellStyle name="Normal 17 4 2 2 2 2 2" xfId="41349" xr:uid="{00000000-0005-0000-0000-0000E6560000}"/>
    <cellStyle name="Normal 17 4 2 2 2 2 2 2" xfId="57449" xr:uid="{00000000-0005-0000-0000-0000E7560000}"/>
    <cellStyle name="Normal 17 4 2 2 2 2 3" xfId="47882" xr:uid="{00000000-0005-0000-0000-0000E8560000}"/>
    <cellStyle name="Normal 17 4 2 2 2 2 4" xfId="31782" xr:uid="{00000000-0005-0000-0000-0000E9560000}"/>
    <cellStyle name="Normal 17 4 2 2 2 2 5" xfId="22213" xr:uid="{00000000-0005-0000-0000-0000EA560000}"/>
    <cellStyle name="Normal 17 4 2 2 2 3" xfId="12644" xr:uid="{00000000-0005-0000-0000-0000EB560000}"/>
    <cellStyle name="Normal 17 4 2 2 2 3 2" xfId="50918" xr:uid="{00000000-0005-0000-0000-0000EC560000}"/>
    <cellStyle name="Normal 17 4 2 2 2 3 3" xfId="34818" xr:uid="{00000000-0005-0000-0000-0000ED560000}"/>
    <cellStyle name="Normal 17 4 2 2 2 3 4" xfId="25249" xr:uid="{00000000-0005-0000-0000-0000EE560000}"/>
    <cellStyle name="Normal 17 4 2 2 2 4" xfId="6572" xr:uid="{00000000-0005-0000-0000-0000EF560000}"/>
    <cellStyle name="Normal 17 4 2 2 2 4 2" xfId="54413" xr:uid="{00000000-0005-0000-0000-0000F0560000}"/>
    <cellStyle name="Normal 17 4 2 2 2 4 3" xfId="38313" xr:uid="{00000000-0005-0000-0000-0000F1560000}"/>
    <cellStyle name="Normal 17 4 2 2 2 4 4" xfId="19177" xr:uid="{00000000-0005-0000-0000-0000F2560000}"/>
    <cellStyle name="Normal 17 4 2 2 2 5" xfId="44846" xr:uid="{00000000-0005-0000-0000-0000F3560000}"/>
    <cellStyle name="Normal 17 4 2 2 2 6" xfId="28746" xr:uid="{00000000-0005-0000-0000-0000F4560000}"/>
    <cellStyle name="Normal 17 4 2 2 2 7" xfId="15682" xr:uid="{00000000-0005-0000-0000-0000F5560000}"/>
    <cellStyle name="Normal 17 4 2 2 3" xfId="2058" xr:uid="{00000000-0005-0000-0000-0000F6560000}"/>
    <cellStyle name="Normal 17 4 2 2 3 2" xfId="8592" xr:uid="{00000000-0005-0000-0000-0000F7560000}"/>
    <cellStyle name="Normal 17 4 2 2 3 2 2" xfId="40333" xr:uid="{00000000-0005-0000-0000-0000F8560000}"/>
    <cellStyle name="Normal 17 4 2 2 3 2 2 2" xfId="56433" xr:uid="{00000000-0005-0000-0000-0000F9560000}"/>
    <cellStyle name="Normal 17 4 2 2 3 2 3" xfId="46866" xr:uid="{00000000-0005-0000-0000-0000FA560000}"/>
    <cellStyle name="Normal 17 4 2 2 3 2 4" xfId="30766" xr:uid="{00000000-0005-0000-0000-0000FB560000}"/>
    <cellStyle name="Normal 17 4 2 2 3 2 5" xfId="21197" xr:uid="{00000000-0005-0000-0000-0000FC560000}"/>
    <cellStyle name="Normal 17 4 2 2 3 3" xfId="11628" xr:uid="{00000000-0005-0000-0000-0000FD560000}"/>
    <cellStyle name="Normal 17 4 2 2 3 3 2" xfId="49902" xr:uid="{00000000-0005-0000-0000-0000FE560000}"/>
    <cellStyle name="Normal 17 4 2 2 3 3 3" xfId="33802" xr:uid="{00000000-0005-0000-0000-0000FF560000}"/>
    <cellStyle name="Normal 17 4 2 2 3 3 4" xfId="24233" xr:uid="{00000000-0005-0000-0000-000000570000}"/>
    <cellStyle name="Normal 17 4 2 2 3 4" xfId="5556" xr:uid="{00000000-0005-0000-0000-000001570000}"/>
    <cellStyle name="Normal 17 4 2 2 3 4 2" xfId="53397" xr:uid="{00000000-0005-0000-0000-000002570000}"/>
    <cellStyle name="Normal 17 4 2 2 3 4 3" xfId="37297" xr:uid="{00000000-0005-0000-0000-000003570000}"/>
    <cellStyle name="Normal 17 4 2 2 3 4 4" xfId="18161" xr:uid="{00000000-0005-0000-0000-000004570000}"/>
    <cellStyle name="Normal 17 4 2 2 3 5" xfId="43830" xr:uid="{00000000-0005-0000-0000-000005570000}"/>
    <cellStyle name="Normal 17 4 2 2 3 6" xfId="27730" xr:uid="{00000000-0005-0000-0000-000006570000}"/>
    <cellStyle name="Normal 17 4 2 2 3 7" xfId="14666" xr:uid="{00000000-0005-0000-0000-000007570000}"/>
    <cellStyle name="Normal 17 4 2 2 4" xfId="7582" xr:uid="{00000000-0005-0000-0000-000008570000}"/>
    <cellStyle name="Normal 17 4 2 2 4 2" xfId="39323" xr:uid="{00000000-0005-0000-0000-000009570000}"/>
    <cellStyle name="Normal 17 4 2 2 4 2 2" xfId="55423" xr:uid="{00000000-0005-0000-0000-00000A570000}"/>
    <cellStyle name="Normal 17 4 2 2 4 3" xfId="45856" xr:uid="{00000000-0005-0000-0000-00000B570000}"/>
    <cellStyle name="Normal 17 4 2 2 4 4" xfId="29756" xr:uid="{00000000-0005-0000-0000-00000C570000}"/>
    <cellStyle name="Normal 17 4 2 2 4 5" xfId="20187" xr:uid="{00000000-0005-0000-0000-00000D570000}"/>
    <cellStyle name="Normal 17 4 2 2 5" xfId="10618" xr:uid="{00000000-0005-0000-0000-00000E570000}"/>
    <cellStyle name="Normal 17 4 2 2 5 2" xfId="48892" xr:uid="{00000000-0005-0000-0000-00000F570000}"/>
    <cellStyle name="Normal 17 4 2 2 5 3" xfId="32792" xr:uid="{00000000-0005-0000-0000-000010570000}"/>
    <cellStyle name="Normal 17 4 2 2 5 4" xfId="23223" xr:uid="{00000000-0005-0000-0000-000011570000}"/>
    <cellStyle name="Normal 17 4 2 2 6" xfId="4546" xr:uid="{00000000-0005-0000-0000-000012570000}"/>
    <cellStyle name="Normal 17 4 2 2 6 2" xfId="52387" xr:uid="{00000000-0005-0000-0000-000013570000}"/>
    <cellStyle name="Normal 17 4 2 2 6 3" xfId="36287" xr:uid="{00000000-0005-0000-0000-000014570000}"/>
    <cellStyle name="Normal 17 4 2 2 6 4" xfId="17151" xr:uid="{00000000-0005-0000-0000-000015570000}"/>
    <cellStyle name="Normal 17 4 2 2 7" xfId="42820" xr:uid="{00000000-0005-0000-0000-000016570000}"/>
    <cellStyle name="Normal 17 4 2 2 8" xfId="26720" xr:uid="{00000000-0005-0000-0000-000017570000}"/>
    <cellStyle name="Normal 17 4 2 2 9" xfId="13656" xr:uid="{00000000-0005-0000-0000-000018570000}"/>
    <cellStyle name="Normal 17 4 2 3" xfId="2287" xr:uid="{00000000-0005-0000-0000-000019570000}"/>
    <cellStyle name="Normal 17 4 2 3 2" xfId="8821" xr:uid="{00000000-0005-0000-0000-00001A570000}"/>
    <cellStyle name="Normal 17 4 2 3 2 2" xfId="40562" xr:uid="{00000000-0005-0000-0000-00001B570000}"/>
    <cellStyle name="Normal 17 4 2 3 2 2 2" xfId="56662" xr:uid="{00000000-0005-0000-0000-00001C570000}"/>
    <cellStyle name="Normal 17 4 2 3 2 3" xfId="47095" xr:uid="{00000000-0005-0000-0000-00001D570000}"/>
    <cellStyle name="Normal 17 4 2 3 2 4" xfId="30995" xr:uid="{00000000-0005-0000-0000-00001E570000}"/>
    <cellStyle name="Normal 17 4 2 3 2 5" xfId="21426" xr:uid="{00000000-0005-0000-0000-00001F570000}"/>
    <cellStyle name="Normal 17 4 2 3 3" xfId="11857" xr:uid="{00000000-0005-0000-0000-000020570000}"/>
    <cellStyle name="Normal 17 4 2 3 3 2" xfId="50131" xr:uid="{00000000-0005-0000-0000-000021570000}"/>
    <cellStyle name="Normal 17 4 2 3 3 3" xfId="34031" xr:uid="{00000000-0005-0000-0000-000022570000}"/>
    <cellStyle name="Normal 17 4 2 3 3 4" xfId="24462" xr:uid="{00000000-0005-0000-0000-000023570000}"/>
    <cellStyle name="Normal 17 4 2 3 4" xfId="5785" xr:uid="{00000000-0005-0000-0000-000024570000}"/>
    <cellStyle name="Normal 17 4 2 3 4 2" xfId="53626" xr:uid="{00000000-0005-0000-0000-000025570000}"/>
    <cellStyle name="Normal 17 4 2 3 4 3" xfId="37526" xr:uid="{00000000-0005-0000-0000-000026570000}"/>
    <cellStyle name="Normal 17 4 2 3 4 4" xfId="18390" xr:uid="{00000000-0005-0000-0000-000027570000}"/>
    <cellStyle name="Normal 17 4 2 3 5" xfId="44059" xr:uid="{00000000-0005-0000-0000-000028570000}"/>
    <cellStyle name="Normal 17 4 2 3 6" xfId="27959" xr:uid="{00000000-0005-0000-0000-000029570000}"/>
    <cellStyle name="Normal 17 4 2 3 7" xfId="14895" xr:uid="{00000000-0005-0000-0000-00002A570000}"/>
    <cellStyle name="Normal 17 4 2 4" xfId="1499" xr:uid="{00000000-0005-0000-0000-00002B570000}"/>
    <cellStyle name="Normal 17 4 2 4 2" xfId="8033" xr:uid="{00000000-0005-0000-0000-00002C570000}"/>
    <cellStyle name="Normal 17 4 2 4 2 2" xfId="39774" xr:uid="{00000000-0005-0000-0000-00002D570000}"/>
    <cellStyle name="Normal 17 4 2 4 2 2 2" xfId="55874" xr:uid="{00000000-0005-0000-0000-00002E570000}"/>
    <cellStyle name="Normal 17 4 2 4 2 3" xfId="46307" xr:uid="{00000000-0005-0000-0000-00002F570000}"/>
    <cellStyle name="Normal 17 4 2 4 2 4" xfId="30207" xr:uid="{00000000-0005-0000-0000-000030570000}"/>
    <cellStyle name="Normal 17 4 2 4 2 5" xfId="20638" xr:uid="{00000000-0005-0000-0000-000031570000}"/>
    <cellStyle name="Normal 17 4 2 4 3" xfId="11069" xr:uid="{00000000-0005-0000-0000-000032570000}"/>
    <cellStyle name="Normal 17 4 2 4 3 2" xfId="49343" xr:uid="{00000000-0005-0000-0000-000033570000}"/>
    <cellStyle name="Normal 17 4 2 4 3 3" xfId="33243" xr:uid="{00000000-0005-0000-0000-000034570000}"/>
    <cellStyle name="Normal 17 4 2 4 3 4" xfId="23674" xr:uid="{00000000-0005-0000-0000-000035570000}"/>
    <cellStyle name="Normal 17 4 2 4 4" xfId="4997" xr:uid="{00000000-0005-0000-0000-000036570000}"/>
    <cellStyle name="Normal 17 4 2 4 4 2" xfId="52838" xr:uid="{00000000-0005-0000-0000-000037570000}"/>
    <cellStyle name="Normal 17 4 2 4 4 3" xfId="36738" xr:uid="{00000000-0005-0000-0000-000038570000}"/>
    <cellStyle name="Normal 17 4 2 4 4 4" xfId="17602" xr:uid="{00000000-0005-0000-0000-000039570000}"/>
    <cellStyle name="Normal 17 4 2 4 5" xfId="43271" xr:uid="{00000000-0005-0000-0000-00003A570000}"/>
    <cellStyle name="Normal 17 4 2 4 6" xfId="27171" xr:uid="{00000000-0005-0000-0000-00003B570000}"/>
    <cellStyle name="Normal 17 4 2 4 7" xfId="14107" xr:uid="{00000000-0005-0000-0000-00003C570000}"/>
    <cellStyle name="Normal 17 4 2 5" xfId="3987" xr:uid="{00000000-0005-0000-0000-00003D570000}"/>
    <cellStyle name="Normal 17 4 2 5 2" xfId="35728" xr:uid="{00000000-0005-0000-0000-00003E570000}"/>
    <cellStyle name="Normal 17 4 2 5 2 2" xfId="51828" xr:uid="{00000000-0005-0000-0000-00003F570000}"/>
    <cellStyle name="Normal 17 4 2 5 3" xfId="42261" xr:uid="{00000000-0005-0000-0000-000040570000}"/>
    <cellStyle name="Normal 17 4 2 5 4" xfId="26161" xr:uid="{00000000-0005-0000-0000-000041570000}"/>
    <cellStyle name="Normal 17 4 2 5 5" xfId="16592" xr:uid="{00000000-0005-0000-0000-000042570000}"/>
    <cellStyle name="Normal 17 4 2 6" xfId="7023" xr:uid="{00000000-0005-0000-0000-000043570000}"/>
    <cellStyle name="Normal 17 4 2 6 2" xfId="38764" xr:uid="{00000000-0005-0000-0000-000044570000}"/>
    <cellStyle name="Normal 17 4 2 6 2 2" xfId="54864" xr:uid="{00000000-0005-0000-0000-000045570000}"/>
    <cellStyle name="Normal 17 4 2 6 3" xfId="45297" xr:uid="{00000000-0005-0000-0000-000046570000}"/>
    <cellStyle name="Normal 17 4 2 6 4" xfId="29197" xr:uid="{00000000-0005-0000-0000-000047570000}"/>
    <cellStyle name="Normal 17 4 2 6 5" xfId="19628" xr:uid="{00000000-0005-0000-0000-000048570000}"/>
    <cellStyle name="Normal 17 4 2 7" xfId="10059" xr:uid="{00000000-0005-0000-0000-000049570000}"/>
    <cellStyle name="Normal 17 4 2 7 2" xfId="48333" xr:uid="{00000000-0005-0000-0000-00004A570000}"/>
    <cellStyle name="Normal 17 4 2 7 3" xfId="32233" xr:uid="{00000000-0005-0000-0000-00004B570000}"/>
    <cellStyle name="Normal 17 4 2 7 4" xfId="22664" xr:uid="{00000000-0005-0000-0000-00004C570000}"/>
    <cellStyle name="Normal 17 4 2 8" xfId="3429" xr:uid="{00000000-0005-0000-0000-00004D570000}"/>
    <cellStyle name="Normal 17 4 2 8 2" xfId="51270" xr:uid="{00000000-0005-0000-0000-00004E570000}"/>
    <cellStyle name="Normal 17 4 2 8 3" xfId="35170" xr:uid="{00000000-0005-0000-0000-00004F570000}"/>
    <cellStyle name="Normal 17 4 2 8 4" xfId="16034" xr:uid="{00000000-0005-0000-0000-000050570000}"/>
    <cellStyle name="Normal 17 4 2 9" xfId="41703" xr:uid="{00000000-0005-0000-0000-000051570000}"/>
    <cellStyle name="Normal 17 4 3" xfId="543" xr:uid="{00000000-0005-0000-0000-000052570000}"/>
    <cellStyle name="Normal 17 4 3 2" xfId="2573" xr:uid="{00000000-0005-0000-0000-000053570000}"/>
    <cellStyle name="Normal 17 4 3 2 2" xfId="9105" xr:uid="{00000000-0005-0000-0000-000054570000}"/>
    <cellStyle name="Normal 17 4 3 2 2 2" xfId="40846" xr:uid="{00000000-0005-0000-0000-000055570000}"/>
    <cellStyle name="Normal 17 4 3 2 2 2 2" xfId="56946" xr:uid="{00000000-0005-0000-0000-000056570000}"/>
    <cellStyle name="Normal 17 4 3 2 2 3" xfId="47379" xr:uid="{00000000-0005-0000-0000-000057570000}"/>
    <cellStyle name="Normal 17 4 3 2 2 4" xfId="31279" xr:uid="{00000000-0005-0000-0000-000058570000}"/>
    <cellStyle name="Normal 17 4 3 2 2 5" xfId="21710" xr:uid="{00000000-0005-0000-0000-000059570000}"/>
    <cellStyle name="Normal 17 4 3 2 3" xfId="12141" xr:uid="{00000000-0005-0000-0000-00005A570000}"/>
    <cellStyle name="Normal 17 4 3 2 3 2" xfId="50415" xr:uid="{00000000-0005-0000-0000-00005B570000}"/>
    <cellStyle name="Normal 17 4 3 2 3 3" xfId="34315" xr:uid="{00000000-0005-0000-0000-00005C570000}"/>
    <cellStyle name="Normal 17 4 3 2 3 4" xfId="24746" xr:uid="{00000000-0005-0000-0000-00005D570000}"/>
    <cellStyle name="Normal 17 4 3 2 4" xfId="6069" xr:uid="{00000000-0005-0000-0000-00005E570000}"/>
    <cellStyle name="Normal 17 4 3 2 4 2" xfId="53910" xr:uid="{00000000-0005-0000-0000-00005F570000}"/>
    <cellStyle name="Normal 17 4 3 2 4 3" xfId="37810" xr:uid="{00000000-0005-0000-0000-000060570000}"/>
    <cellStyle name="Normal 17 4 3 2 4 4" xfId="18674" xr:uid="{00000000-0005-0000-0000-000061570000}"/>
    <cellStyle name="Normal 17 4 3 2 5" xfId="44343" xr:uid="{00000000-0005-0000-0000-000062570000}"/>
    <cellStyle name="Normal 17 4 3 2 6" xfId="28243" xr:uid="{00000000-0005-0000-0000-000063570000}"/>
    <cellStyle name="Normal 17 4 3 2 7" xfId="15179" xr:uid="{00000000-0005-0000-0000-000064570000}"/>
    <cellStyle name="Normal 17 4 3 3" xfId="1322" xr:uid="{00000000-0005-0000-0000-000065570000}"/>
    <cellStyle name="Normal 17 4 3 3 2" xfId="7856" xr:uid="{00000000-0005-0000-0000-000066570000}"/>
    <cellStyle name="Normal 17 4 3 3 2 2" xfId="39597" xr:uid="{00000000-0005-0000-0000-000067570000}"/>
    <cellStyle name="Normal 17 4 3 3 2 2 2" xfId="55697" xr:uid="{00000000-0005-0000-0000-000068570000}"/>
    <cellStyle name="Normal 17 4 3 3 2 3" xfId="46130" xr:uid="{00000000-0005-0000-0000-000069570000}"/>
    <cellStyle name="Normal 17 4 3 3 2 4" xfId="30030" xr:uid="{00000000-0005-0000-0000-00006A570000}"/>
    <cellStyle name="Normal 17 4 3 3 2 5" xfId="20461" xr:uid="{00000000-0005-0000-0000-00006B570000}"/>
    <cellStyle name="Normal 17 4 3 3 3" xfId="10892" xr:uid="{00000000-0005-0000-0000-00006C570000}"/>
    <cellStyle name="Normal 17 4 3 3 3 2" xfId="49166" xr:uid="{00000000-0005-0000-0000-00006D570000}"/>
    <cellStyle name="Normal 17 4 3 3 3 3" xfId="33066" xr:uid="{00000000-0005-0000-0000-00006E570000}"/>
    <cellStyle name="Normal 17 4 3 3 3 4" xfId="23497" xr:uid="{00000000-0005-0000-0000-00006F570000}"/>
    <cellStyle name="Normal 17 4 3 3 4" xfId="4820" xr:uid="{00000000-0005-0000-0000-000070570000}"/>
    <cellStyle name="Normal 17 4 3 3 4 2" xfId="52661" xr:uid="{00000000-0005-0000-0000-000071570000}"/>
    <cellStyle name="Normal 17 4 3 3 4 3" xfId="36561" xr:uid="{00000000-0005-0000-0000-000072570000}"/>
    <cellStyle name="Normal 17 4 3 3 4 4" xfId="17425" xr:uid="{00000000-0005-0000-0000-000073570000}"/>
    <cellStyle name="Normal 17 4 3 3 5" xfId="43094" xr:uid="{00000000-0005-0000-0000-000074570000}"/>
    <cellStyle name="Normal 17 4 3 3 6" xfId="26994" xr:uid="{00000000-0005-0000-0000-000075570000}"/>
    <cellStyle name="Normal 17 4 3 3 7" xfId="13930" xr:uid="{00000000-0005-0000-0000-000076570000}"/>
    <cellStyle name="Normal 17 4 3 4" xfId="6846" xr:uid="{00000000-0005-0000-0000-000077570000}"/>
    <cellStyle name="Normal 17 4 3 4 2" xfId="38587" xr:uid="{00000000-0005-0000-0000-000078570000}"/>
    <cellStyle name="Normal 17 4 3 4 2 2" xfId="54687" xr:uid="{00000000-0005-0000-0000-000079570000}"/>
    <cellStyle name="Normal 17 4 3 4 3" xfId="45120" xr:uid="{00000000-0005-0000-0000-00007A570000}"/>
    <cellStyle name="Normal 17 4 3 4 4" xfId="29020" xr:uid="{00000000-0005-0000-0000-00007B570000}"/>
    <cellStyle name="Normal 17 4 3 4 5" xfId="19451" xr:uid="{00000000-0005-0000-0000-00007C570000}"/>
    <cellStyle name="Normal 17 4 3 5" xfId="9882" xr:uid="{00000000-0005-0000-0000-00007D570000}"/>
    <cellStyle name="Normal 17 4 3 5 2" xfId="48156" xr:uid="{00000000-0005-0000-0000-00007E570000}"/>
    <cellStyle name="Normal 17 4 3 5 3" xfId="32056" xr:uid="{00000000-0005-0000-0000-00007F570000}"/>
    <cellStyle name="Normal 17 4 3 5 4" xfId="22487" xr:uid="{00000000-0005-0000-0000-000080570000}"/>
    <cellStyle name="Normal 17 4 3 6" xfId="3810" xr:uid="{00000000-0005-0000-0000-000081570000}"/>
    <cellStyle name="Normal 17 4 3 6 2" xfId="51651" xr:uid="{00000000-0005-0000-0000-000082570000}"/>
    <cellStyle name="Normal 17 4 3 6 3" xfId="35551" xr:uid="{00000000-0005-0000-0000-000083570000}"/>
    <cellStyle name="Normal 17 4 3 6 4" xfId="16415" xr:uid="{00000000-0005-0000-0000-000084570000}"/>
    <cellStyle name="Normal 17 4 3 7" xfId="42084" xr:uid="{00000000-0005-0000-0000-000085570000}"/>
    <cellStyle name="Normal 17 4 3 8" xfId="25984" xr:uid="{00000000-0005-0000-0000-000086570000}"/>
    <cellStyle name="Normal 17 4 3 9" xfId="12920" xr:uid="{00000000-0005-0000-0000-000087570000}"/>
    <cellStyle name="Normal 17 4 4" xfId="836" xr:uid="{00000000-0005-0000-0000-000088570000}"/>
    <cellStyle name="Normal 17 4 4 2" xfId="2864" xr:uid="{00000000-0005-0000-0000-000089570000}"/>
    <cellStyle name="Normal 17 4 4 2 2" xfId="9396" xr:uid="{00000000-0005-0000-0000-00008A570000}"/>
    <cellStyle name="Normal 17 4 4 2 2 2" xfId="41137" xr:uid="{00000000-0005-0000-0000-00008B570000}"/>
    <cellStyle name="Normal 17 4 4 2 2 2 2" xfId="57237" xr:uid="{00000000-0005-0000-0000-00008C570000}"/>
    <cellStyle name="Normal 17 4 4 2 2 3" xfId="47670" xr:uid="{00000000-0005-0000-0000-00008D570000}"/>
    <cellStyle name="Normal 17 4 4 2 2 4" xfId="31570" xr:uid="{00000000-0005-0000-0000-00008E570000}"/>
    <cellStyle name="Normal 17 4 4 2 2 5" xfId="22001" xr:uid="{00000000-0005-0000-0000-00008F570000}"/>
    <cellStyle name="Normal 17 4 4 2 3" xfId="12432" xr:uid="{00000000-0005-0000-0000-000090570000}"/>
    <cellStyle name="Normal 17 4 4 2 3 2" xfId="50706" xr:uid="{00000000-0005-0000-0000-000091570000}"/>
    <cellStyle name="Normal 17 4 4 2 3 3" xfId="34606" xr:uid="{00000000-0005-0000-0000-000092570000}"/>
    <cellStyle name="Normal 17 4 4 2 3 4" xfId="25037" xr:uid="{00000000-0005-0000-0000-000093570000}"/>
    <cellStyle name="Normal 17 4 4 2 4" xfId="6360" xr:uid="{00000000-0005-0000-0000-000094570000}"/>
    <cellStyle name="Normal 17 4 4 2 4 2" xfId="54201" xr:uid="{00000000-0005-0000-0000-000095570000}"/>
    <cellStyle name="Normal 17 4 4 2 4 3" xfId="38101" xr:uid="{00000000-0005-0000-0000-000096570000}"/>
    <cellStyle name="Normal 17 4 4 2 4 4" xfId="18965" xr:uid="{00000000-0005-0000-0000-000097570000}"/>
    <cellStyle name="Normal 17 4 4 2 5" xfId="44634" xr:uid="{00000000-0005-0000-0000-000098570000}"/>
    <cellStyle name="Normal 17 4 4 2 6" xfId="28534" xr:uid="{00000000-0005-0000-0000-000099570000}"/>
    <cellStyle name="Normal 17 4 4 2 7" xfId="15470" xr:uid="{00000000-0005-0000-0000-00009A570000}"/>
    <cellStyle name="Normal 17 4 4 3" xfId="1846" xr:uid="{00000000-0005-0000-0000-00009B570000}"/>
    <cellStyle name="Normal 17 4 4 3 2" xfId="8380" xr:uid="{00000000-0005-0000-0000-00009C570000}"/>
    <cellStyle name="Normal 17 4 4 3 2 2" xfId="40121" xr:uid="{00000000-0005-0000-0000-00009D570000}"/>
    <cellStyle name="Normal 17 4 4 3 2 2 2" xfId="56221" xr:uid="{00000000-0005-0000-0000-00009E570000}"/>
    <cellStyle name="Normal 17 4 4 3 2 3" xfId="46654" xr:uid="{00000000-0005-0000-0000-00009F570000}"/>
    <cellStyle name="Normal 17 4 4 3 2 4" xfId="30554" xr:uid="{00000000-0005-0000-0000-0000A0570000}"/>
    <cellStyle name="Normal 17 4 4 3 2 5" xfId="20985" xr:uid="{00000000-0005-0000-0000-0000A1570000}"/>
    <cellStyle name="Normal 17 4 4 3 3" xfId="11416" xr:uid="{00000000-0005-0000-0000-0000A2570000}"/>
    <cellStyle name="Normal 17 4 4 3 3 2" xfId="49690" xr:uid="{00000000-0005-0000-0000-0000A3570000}"/>
    <cellStyle name="Normal 17 4 4 3 3 3" xfId="33590" xr:uid="{00000000-0005-0000-0000-0000A4570000}"/>
    <cellStyle name="Normal 17 4 4 3 3 4" xfId="24021" xr:uid="{00000000-0005-0000-0000-0000A5570000}"/>
    <cellStyle name="Normal 17 4 4 3 4" xfId="5344" xr:uid="{00000000-0005-0000-0000-0000A6570000}"/>
    <cellStyle name="Normal 17 4 4 3 4 2" xfId="53185" xr:uid="{00000000-0005-0000-0000-0000A7570000}"/>
    <cellStyle name="Normal 17 4 4 3 4 3" xfId="37085" xr:uid="{00000000-0005-0000-0000-0000A8570000}"/>
    <cellStyle name="Normal 17 4 4 3 4 4" xfId="17949" xr:uid="{00000000-0005-0000-0000-0000A9570000}"/>
    <cellStyle name="Normal 17 4 4 3 5" xfId="43618" xr:uid="{00000000-0005-0000-0000-0000AA570000}"/>
    <cellStyle name="Normal 17 4 4 3 6" xfId="27518" xr:uid="{00000000-0005-0000-0000-0000AB570000}"/>
    <cellStyle name="Normal 17 4 4 3 7" xfId="14454" xr:uid="{00000000-0005-0000-0000-0000AC570000}"/>
    <cellStyle name="Normal 17 4 4 4" xfId="7370" xr:uid="{00000000-0005-0000-0000-0000AD570000}"/>
    <cellStyle name="Normal 17 4 4 4 2" xfId="39111" xr:uid="{00000000-0005-0000-0000-0000AE570000}"/>
    <cellStyle name="Normal 17 4 4 4 2 2" xfId="55211" xr:uid="{00000000-0005-0000-0000-0000AF570000}"/>
    <cellStyle name="Normal 17 4 4 4 3" xfId="45644" xr:uid="{00000000-0005-0000-0000-0000B0570000}"/>
    <cellStyle name="Normal 17 4 4 4 4" xfId="29544" xr:uid="{00000000-0005-0000-0000-0000B1570000}"/>
    <cellStyle name="Normal 17 4 4 4 5" xfId="19975" xr:uid="{00000000-0005-0000-0000-0000B2570000}"/>
    <cellStyle name="Normal 17 4 4 5" xfId="10406" xr:uid="{00000000-0005-0000-0000-0000B3570000}"/>
    <cellStyle name="Normal 17 4 4 5 2" xfId="48680" xr:uid="{00000000-0005-0000-0000-0000B4570000}"/>
    <cellStyle name="Normal 17 4 4 5 3" xfId="32580" xr:uid="{00000000-0005-0000-0000-0000B5570000}"/>
    <cellStyle name="Normal 17 4 4 5 4" xfId="23011" xr:uid="{00000000-0005-0000-0000-0000B6570000}"/>
    <cellStyle name="Normal 17 4 4 6" xfId="4334" xr:uid="{00000000-0005-0000-0000-0000B7570000}"/>
    <cellStyle name="Normal 17 4 4 6 2" xfId="52175" xr:uid="{00000000-0005-0000-0000-0000B8570000}"/>
    <cellStyle name="Normal 17 4 4 6 3" xfId="36075" xr:uid="{00000000-0005-0000-0000-0000B9570000}"/>
    <cellStyle name="Normal 17 4 4 6 4" xfId="16939" xr:uid="{00000000-0005-0000-0000-0000BA570000}"/>
    <cellStyle name="Normal 17 4 4 7" xfId="42608" xr:uid="{00000000-0005-0000-0000-0000BB570000}"/>
    <cellStyle name="Normal 17 4 4 8" xfId="26508" xr:uid="{00000000-0005-0000-0000-0000BC570000}"/>
    <cellStyle name="Normal 17 4 4 9" xfId="13444" xr:uid="{00000000-0005-0000-0000-0000BD570000}"/>
    <cellStyle name="Normal 17 4 5" xfId="2110" xr:uid="{00000000-0005-0000-0000-0000BE570000}"/>
    <cellStyle name="Normal 17 4 5 2" xfId="8644" xr:uid="{00000000-0005-0000-0000-0000BF570000}"/>
    <cellStyle name="Normal 17 4 5 2 2" xfId="40385" xr:uid="{00000000-0005-0000-0000-0000C0570000}"/>
    <cellStyle name="Normal 17 4 5 2 2 2" xfId="56485" xr:uid="{00000000-0005-0000-0000-0000C1570000}"/>
    <cellStyle name="Normal 17 4 5 2 3" xfId="46918" xr:uid="{00000000-0005-0000-0000-0000C2570000}"/>
    <cellStyle name="Normal 17 4 5 2 4" xfId="30818" xr:uid="{00000000-0005-0000-0000-0000C3570000}"/>
    <cellStyle name="Normal 17 4 5 2 5" xfId="21249" xr:uid="{00000000-0005-0000-0000-0000C4570000}"/>
    <cellStyle name="Normal 17 4 5 3" xfId="11680" xr:uid="{00000000-0005-0000-0000-0000C5570000}"/>
    <cellStyle name="Normal 17 4 5 3 2" xfId="49954" xr:uid="{00000000-0005-0000-0000-0000C6570000}"/>
    <cellStyle name="Normal 17 4 5 3 3" xfId="33854" xr:uid="{00000000-0005-0000-0000-0000C7570000}"/>
    <cellStyle name="Normal 17 4 5 3 4" xfId="24285" xr:uid="{00000000-0005-0000-0000-0000C8570000}"/>
    <cellStyle name="Normal 17 4 5 4" xfId="5608" xr:uid="{00000000-0005-0000-0000-0000C9570000}"/>
    <cellStyle name="Normal 17 4 5 4 2" xfId="53449" xr:uid="{00000000-0005-0000-0000-0000CA570000}"/>
    <cellStyle name="Normal 17 4 5 4 3" xfId="37349" xr:uid="{00000000-0005-0000-0000-0000CB570000}"/>
    <cellStyle name="Normal 17 4 5 4 4" xfId="18213" xr:uid="{00000000-0005-0000-0000-0000CC570000}"/>
    <cellStyle name="Normal 17 4 5 5" xfId="43882" xr:uid="{00000000-0005-0000-0000-0000CD570000}"/>
    <cellStyle name="Normal 17 4 5 6" xfId="27782" xr:uid="{00000000-0005-0000-0000-0000CE570000}"/>
    <cellStyle name="Normal 17 4 5 7" xfId="14718" xr:uid="{00000000-0005-0000-0000-0000CF570000}"/>
    <cellStyle name="Normal 17 4 6" xfId="1163" xr:uid="{00000000-0005-0000-0000-0000D0570000}"/>
    <cellStyle name="Normal 17 4 6 2" xfId="7697" xr:uid="{00000000-0005-0000-0000-0000D1570000}"/>
    <cellStyle name="Normal 17 4 6 2 2" xfId="39438" xr:uid="{00000000-0005-0000-0000-0000D2570000}"/>
    <cellStyle name="Normal 17 4 6 2 2 2" xfId="55538" xr:uid="{00000000-0005-0000-0000-0000D3570000}"/>
    <cellStyle name="Normal 17 4 6 2 3" xfId="45971" xr:uid="{00000000-0005-0000-0000-0000D4570000}"/>
    <cellStyle name="Normal 17 4 6 2 4" xfId="29871" xr:uid="{00000000-0005-0000-0000-0000D5570000}"/>
    <cellStyle name="Normal 17 4 6 2 5" xfId="20302" xr:uid="{00000000-0005-0000-0000-0000D6570000}"/>
    <cellStyle name="Normal 17 4 6 3" xfId="10733" xr:uid="{00000000-0005-0000-0000-0000D7570000}"/>
    <cellStyle name="Normal 17 4 6 3 2" xfId="49007" xr:uid="{00000000-0005-0000-0000-0000D8570000}"/>
    <cellStyle name="Normal 17 4 6 3 3" xfId="32907" xr:uid="{00000000-0005-0000-0000-0000D9570000}"/>
    <cellStyle name="Normal 17 4 6 3 4" xfId="23338" xr:uid="{00000000-0005-0000-0000-0000DA570000}"/>
    <cellStyle name="Normal 17 4 6 4" xfId="4661" xr:uid="{00000000-0005-0000-0000-0000DB570000}"/>
    <cellStyle name="Normal 17 4 6 4 2" xfId="52502" xr:uid="{00000000-0005-0000-0000-0000DC570000}"/>
    <cellStyle name="Normal 17 4 6 4 3" xfId="36402" xr:uid="{00000000-0005-0000-0000-0000DD570000}"/>
    <cellStyle name="Normal 17 4 6 4 4" xfId="17266" xr:uid="{00000000-0005-0000-0000-0000DE570000}"/>
    <cellStyle name="Normal 17 4 6 5" xfId="42935" xr:uid="{00000000-0005-0000-0000-0000DF570000}"/>
    <cellStyle name="Normal 17 4 6 6" xfId="26835" xr:uid="{00000000-0005-0000-0000-0000E0570000}"/>
    <cellStyle name="Normal 17 4 6 7" xfId="13771" xr:uid="{00000000-0005-0000-0000-0000E1570000}"/>
    <cellStyle name="Normal 17 4 7" xfId="3651" xr:uid="{00000000-0005-0000-0000-0000E2570000}"/>
    <cellStyle name="Normal 17 4 7 2" xfId="35392" xr:uid="{00000000-0005-0000-0000-0000E3570000}"/>
    <cellStyle name="Normal 17 4 7 2 2" xfId="51492" xr:uid="{00000000-0005-0000-0000-0000E4570000}"/>
    <cellStyle name="Normal 17 4 7 3" xfId="41925" xr:uid="{00000000-0005-0000-0000-0000E5570000}"/>
    <cellStyle name="Normal 17 4 7 4" xfId="25825" xr:uid="{00000000-0005-0000-0000-0000E6570000}"/>
    <cellStyle name="Normal 17 4 7 5" xfId="16256" xr:uid="{00000000-0005-0000-0000-0000E7570000}"/>
    <cellStyle name="Normal 17 4 8" xfId="6687" xr:uid="{00000000-0005-0000-0000-0000E8570000}"/>
    <cellStyle name="Normal 17 4 8 2" xfId="38428" xr:uid="{00000000-0005-0000-0000-0000E9570000}"/>
    <cellStyle name="Normal 17 4 8 2 2" xfId="54528" xr:uid="{00000000-0005-0000-0000-0000EA570000}"/>
    <cellStyle name="Normal 17 4 8 3" xfId="44961" xr:uid="{00000000-0005-0000-0000-0000EB570000}"/>
    <cellStyle name="Normal 17 4 8 4" xfId="28861" xr:uid="{00000000-0005-0000-0000-0000EC570000}"/>
    <cellStyle name="Normal 17 4 8 5" xfId="19292" xr:uid="{00000000-0005-0000-0000-0000ED570000}"/>
    <cellStyle name="Normal 17 4 9" xfId="9723" xr:uid="{00000000-0005-0000-0000-0000EE570000}"/>
    <cellStyle name="Normal 17 4 9 2" xfId="47997" xr:uid="{00000000-0005-0000-0000-0000EF570000}"/>
    <cellStyle name="Normal 17 4 9 3" xfId="31897" xr:uid="{00000000-0005-0000-0000-0000F0570000}"/>
    <cellStyle name="Normal 17 4 9 4" xfId="22328" xr:uid="{00000000-0005-0000-0000-0000F1570000}"/>
    <cellStyle name="Normal 17 5" xfId="162" xr:uid="{00000000-0005-0000-0000-0000F2570000}"/>
    <cellStyle name="Normal 17 5 10" xfId="3208" xr:uid="{00000000-0005-0000-0000-0000F3570000}"/>
    <cellStyle name="Normal 17 5 10 2" xfId="51050" xr:uid="{00000000-0005-0000-0000-0000F4570000}"/>
    <cellStyle name="Normal 17 5 10 3" xfId="34950" xr:uid="{00000000-0005-0000-0000-0000F5570000}"/>
    <cellStyle name="Normal 17 5 10 4" xfId="15814" xr:uid="{00000000-0005-0000-0000-0000F6570000}"/>
    <cellStyle name="Normal 17 5 11" xfId="41483" xr:uid="{00000000-0005-0000-0000-0000F7570000}"/>
    <cellStyle name="Normal 17 5 12" xfId="25383" xr:uid="{00000000-0005-0000-0000-0000F8570000}"/>
    <cellStyle name="Normal 17 5 13" xfId="12778" xr:uid="{00000000-0005-0000-0000-0000F9570000}"/>
    <cellStyle name="Normal 17 5 2" xfId="339" xr:uid="{00000000-0005-0000-0000-0000FA570000}"/>
    <cellStyle name="Normal 17 5 2 10" xfId="13168" xr:uid="{00000000-0005-0000-0000-0000FB570000}"/>
    <cellStyle name="Normal 17 5 2 2" xfId="2358" xr:uid="{00000000-0005-0000-0000-0000FC570000}"/>
    <cellStyle name="Normal 17 5 2 2 2" xfId="8892" xr:uid="{00000000-0005-0000-0000-0000FD570000}"/>
    <cellStyle name="Normal 17 5 2 2 2 2" xfId="40633" xr:uid="{00000000-0005-0000-0000-0000FE570000}"/>
    <cellStyle name="Normal 17 5 2 2 2 2 2" xfId="56733" xr:uid="{00000000-0005-0000-0000-0000FF570000}"/>
    <cellStyle name="Normal 17 5 2 2 2 3" xfId="47166" xr:uid="{00000000-0005-0000-0000-000000580000}"/>
    <cellStyle name="Normal 17 5 2 2 2 4" xfId="31066" xr:uid="{00000000-0005-0000-0000-000001580000}"/>
    <cellStyle name="Normal 17 5 2 2 2 5" xfId="21497" xr:uid="{00000000-0005-0000-0000-000002580000}"/>
    <cellStyle name="Normal 17 5 2 2 3" xfId="11928" xr:uid="{00000000-0005-0000-0000-000003580000}"/>
    <cellStyle name="Normal 17 5 2 2 3 2" xfId="50202" xr:uid="{00000000-0005-0000-0000-000004580000}"/>
    <cellStyle name="Normal 17 5 2 2 3 3" xfId="34102" xr:uid="{00000000-0005-0000-0000-000005580000}"/>
    <cellStyle name="Normal 17 5 2 2 3 4" xfId="24533" xr:uid="{00000000-0005-0000-0000-000006580000}"/>
    <cellStyle name="Normal 17 5 2 2 4" xfId="5856" xr:uid="{00000000-0005-0000-0000-000007580000}"/>
    <cellStyle name="Normal 17 5 2 2 4 2" xfId="53697" xr:uid="{00000000-0005-0000-0000-000008580000}"/>
    <cellStyle name="Normal 17 5 2 2 4 3" xfId="37597" xr:uid="{00000000-0005-0000-0000-000009580000}"/>
    <cellStyle name="Normal 17 5 2 2 4 4" xfId="18461" xr:uid="{00000000-0005-0000-0000-00000A580000}"/>
    <cellStyle name="Normal 17 5 2 2 5" xfId="44130" xr:uid="{00000000-0005-0000-0000-00000B580000}"/>
    <cellStyle name="Normal 17 5 2 2 6" xfId="28030" xr:uid="{00000000-0005-0000-0000-00000C580000}"/>
    <cellStyle name="Normal 17 5 2 2 7" xfId="14966" xr:uid="{00000000-0005-0000-0000-00000D580000}"/>
    <cellStyle name="Normal 17 5 2 3" xfId="1570" xr:uid="{00000000-0005-0000-0000-00000E580000}"/>
    <cellStyle name="Normal 17 5 2 3 2" xfId="8104" xr:uid="{00000000-0005-0000-0000-00000F580000}"/>
    <cellStyle name="Normal 17 5 2 3 2 2" xfId="39845" xr:uid="{00000000-0005-0000-0000-000010580000}"/>
    <cellStyle name="Normal 17 5 2 3 2 2 2" xfId="55945" xr:uid="{00000000-0005-0000-0000-000011580000}"/>
    <cellStyle name="Normal 17 5 2 3 2 3" xfId="46378" xr:uid="{00000000-0005-0000-0000-000012580000}"/>
    <cellStyle name="Normal 17 5 2 3 2 4" xfId="30278" xr:uid="{00000000-0005-0000-0000-000013580000}"/>
    <cellStyle name="Normal 17 5 2 3 2 5" xfId="20709" xr:uid="{00000000-0005-0000-0000-000014580000}"/>
    <cellStyle name="Normal 17 5 2 3 3" xfId="11140" xr:uid="{00000000-0005-0000-0000-000015580000}"/>
    <cellStyle name="Normal 17 5 2 3 3 2" xfId="49414" xr:uid="{00000000-0005-0000-0000-000016580000}"/>
    <cellStyle name="Normal 17 5 2 3 3 3" xfId="33314" xr:uid="{00000000-0005-0000-0000-000017580000}"/>
    <cellStyle name="Normal 17 5 2 3 3 4" xfId="23745" xr:uid="{00000000-0005-0000-0000-000018580000}"/>
    <cellStyle name="Normal 17 5 2 3 4" xfId="5068" xr:uid="{00000000-0005-0000-0000-000019580000}"/>
    <cellStyle name="Normal 17 5 2 3 4 2" xfId="52909" xr:uid="{00000000-0005-0000-0000-00001A580000}"/>
    <cellStyle name="Normal 17 5 2 3 4 3" xfId="36809" xr:uid="{00000000-0005-0000-0000-00001B580000}"/>
    <cellStyle name="Normal 17 5 2 3 4 4" xfId="17673" xr:uid="{00000000-0005-0000-0000-00001C580000}"/>
    <cellStyle name="Normal 17 5 2 3 5" xfId="43342" xr:uid="{00000000-0005-0000-0000-00001D580000}"/>
    <cellStyle name="Normal 17 5 2 3 6" xfId="27242" xr:uid="{00000000-0005-0000-0000-00001E580000}"/>
    <cellStyle name="Normal 17 5 2 3 7" xfId="14178" xr:uid="{00000000-0005-0000-0000-00001F580000}"/>
    <cellStyle name="Normal 17 5 2 4" xfId="4058" xr:uid="{00000000-0005-0000-0000-000020580000}"/>
    <cellStyle name="Normal 17 5 2 4 2" xfId="35799" xr:uid="{00000000-0005-0000-0000-000021580000}"/>
    <cellStyle name="Normal 17 5 2 4 2 2" xfId="51899" xr:uid="{00000000-0005-0000-0000-000022580000}"/>
    <cellStyle name="Normal 17 5 2 4 3" xfId="42332" xr:uid="{00000000-0005-0000-0000-000023580000}"/>
    <cellStyle name="Normal 17 5 2 4 4" xfId="26232" xr:uid="{00000000-0005-0000-0000-000024580000}"/>
    <cellStyle name="Normal 17 5 2 4 5" xfId="16663" xr:uid="{00000000-0005-0000-0000-000025580000}"/>
    <cellStyle name="Normal 17 5 2 5" xfId="7094" xr:uid="{00000000-0005-0000-0000-000026580000}"/>
    <cellStyle name="Normal 17 5 2 5 2" xfId="38835" xr:uid="{00000000-0005-0000-0000-000027580000}"/>
    <cellStyle name="Normal 17 5 2 5 2 2" xfId="54935" xr:uid="{00000000-0005-0000-0000-000028580000}"/>
    <cellStyle name="Normal 17 5 2 5 3" xfId="45368" xr:uid="{00000000-0005-0000-0000-000029580000}"/>
    <cellStyle name="Normal 17 5 2 5 4" xfId="29268" xr:uid="{00000000-0005-0000-0000-00002A580000}"/>
    <cellStyle name="Normal 17 5 2 5 5" xfId="19699" xr:uid="{00000000-0005-0000-0000-00002B580000}"/>
    <cellStyle name="Normal 17 5 2 6" xfId="10130" xr:uid="{00000000-0005-0000-0000-00002C580000}"/>
    <cellStyle name="Normal 17 5 2 6 2" xfId="48404" xr:uid="{00000000-0005-0000-0000-00002D580000}"/>
    <cellStyle name="Normal 17 5 2 6 3" xfId="32304" xr:uid="{00000000-0005-0000-0000-00002E580000}"/>
    <cellStyle name="Normal 17 5 2 6 4" xfId="22735" xr:uid="{00000000-0005-0000-0000-00002F580000}"/>
    <cellStyle name="Normal 17 5 2 7" xfId="3446" xr:uid="{00000000-0005-0000-0000-000030580000}"/>
    <cellStyle name="Normal 17 5 2 7 2" xfId="51287" xr:uid="{00000000-0005-0000-0000-000031580000}"/>
    <cellStyle name="Normal 17 5 2 7 3" xfId="35187" xr:uid="{00000000-0005-0000-0000-000032580000}"/>
    <cellStyle name="Normal 17 5 2 7 4" xfId="16051" xr:uid="{00000000-0005-0000-0000-000033580000}"/>
    <cellStyle name="Normal 17 5 2 8" xfId="41720" xr:uid="{00000000-0005-0000-0000-000034580000}"/>
    <cellStyle name="Normal 17 5 2 9" xfId="25620" xr:uid="{00000000-0005-0000-0000-000035580000}"/>
    <cellStyle name="Normal 17 5 3" xfId="597" xr:uid="{00000000-0005-0000-0000-000036580000}"/>
    <cellStyle name="Normal 17 5 3 2" xfId="2625" xr:uid="{00000000-0005-0000-0000-000037580000}"/>
    <cellStyle name="Normal 17 5 3 2 2" xfId="9157" xr:uid="{00000000-0005-0000-0000-000038580000}"/>
    <cellStyle name="Normal 17 5 3 2 2 2" xfId="40898" xr:uid="{00000000-0005-0000-0000-000039580000}"/>
    <cellStyle name="Normal 17 5 3 2 2 2 2" xfId="56998" xr:uid="{00000000-0005-0000-0000-00003A580000}"/>
    <cellStyle name="Normal 17 5 3 2 2 3" xfId="47431" xr:uid="{00000000-0005-0000-0000-00003B580000}"/>
    <cellStyle name="Normal 17 5 3 2 2 4" xfId="31331" xr:uid="{00000000-0005-0000-0000-00003C580000}"/>
    <cellStyle name="Normal 17 5 3 2 2 5" xfId="21762" xr:uid="{00000000-0005-0000-0000-00003D580000}"/>
    <cellStyle name="Normal 17 5 3 2 3" xfId="12193" xr:uid="{00000000-0005-0000-0000-00003E580000}"/>
    <cellStyle name="Normal 17 5 3 2 3 2" xfId="50467" xr:uid="{00000000-0005-0000-0000-00003F580000}"/>
    <cellStyle name="Normal 17 5 3 2 3 3" xfId="34367" xr:uid="{00000000-0005-0000-0000-000040580000}"/>
    <cellStyle name="Normal 17 5 3 2 3 4" xfId="24798" xr:uid="{00000000-0005-0000-0000-000041580000}"/>
    <cellStyle name="Normal 17 5 3 2 4" xfId="6121" xr:uid="{00000000-0005-0000-0000-000042580000}"/>
    <cellStyle name="Normal 17 5 3 2 4 2" xfId="53962" xr:uid="{00000000-0005-0000-0000-000043580000}"/>
    <cellStyle name="Normal 17 5 3 2 4 3" xfId="37862" xr:uid="{00000000-0005-0000-0000-000044580000}"/>
    <cellStyle name="Normal 17 5 3 2 4 4" xfId="18726" xr:uid="{00000000-0005-0000-0000-000045580000}"/>
    <cellStyle name="Normal 17 5 3 2 5" xfId="44395" xr:uid="{00000000-0005-0000-0000-000046580000}"/>
    <cellStyle name="Normal 17 5 3 2 6" xfId="28295" xr:uid="{00000000-0005-0000-0000-000047580000}"/>
    <cellStyle name="Normal 17 5 3 2 7" xfId="15231" xr:uid="{00000000-0005-0000-0000-000048580000}"/>
    <cellStyle name="Normal 17 5 3 3" xfId="1393" xr:uid="{00000000-0005-0000-0000-000049580000}"/>
    <cellStyle name="Normal 17 5 3 3 2" xfId="7927" xr:uid="{00000000-0005-0000-0000-00004A580000}"/>
    <cellStyle name="Normal 17 5 3 3 2 2" xfId="39668" xr:uid="{00000000-0005-0000-0000-00004B580000}"/>
    <cellStyle name="Normal 17 5 3 3 2 2 2" xfId="55768" xr:uid="{00000000-0005-0000-0000-00004C580000}"/>
    <cellStyle name="Normal 17 5 3 3 2 3" xfId="46201" xr:uid="{00000000-0005-0000-0000-00004D580000}"/>
    <cellStyle name="Normal 17 5 3 3 2 4" xfId="30101" xr:uid="{00000000-0005-0000-0000-00004E580000}"/>
    <cellStyle name="Normal 17 5 3 3 2 5" xfId="20532" xr:uid="{00000000-0005-0000-0000-00004F580000}"/>
    <cellStyle name="Normal 17 5 3 3 3" xfId="10963" xr:uid="{00000000-0005-0000-0000-000050580000}"/>
    <cellStyle name="Normal 17 5 3 3 3 2" xfId="49237" xr:uid="{00000000-0005-0000-0000-000051580000}"/>
    <cellStyle name="Normal 17 5 3 3 3 3" xfId="33137" xr:uid="{00000000-0005-0000-0000-000052580000}"/>
    <cellStyle name="Normal 17 5 3 3 3 4" xfId="23568" xr:uid="{00000000-0005-0000-0000-000053580000}"/>
    <cellStyle name="Normal 17 5 3 3 4" xfId="4891" xr:uid="{00000000-0005-0000-0000-000054580000}"/>
    <cellStyle name="Normal 17 5 3 3 4 2" xfId="52732" xr:uid="{00000000-0005-0000-0000-000055580000}"/>
    <cellStyle name="Normal 17 5 3 3 4 3" xfId="36632" xr:uid="{00000000-0005-0000-0000-000056580000}"/>
    <cellStyle name="Normal 17 5 3 3 4 4" xfId="17496" xr:uid="{00000000-0005-0000-0000-000057580000}"/>
    <cellStyle name="Normal 17 5 3 3 5" xfId="43165" xr:uid="{00000000-0005-0000-0000-000058580000}"/>
    <cellStyle name="Normal 17 5 3 3 6" xfId="27065" xr:uid="{00000000-0005-0000-0000-000059580000}"/>
    <cellStyle name="Normal 17 5 3 3 7" xfId="14001" xr:uid="{00000000-0005-0000-0000-00005A580000}"/>
    <cellStyle name="Normal 17 5 3 4" xfId="6917" xr:uid="{00000000-0005-0000-0000-00005B580000}"/>
    <cellStyle name="Normal 17 5 3 4 2" xfId="38658" xr:uid="{00000000-0005-0000-0000-00005C580000}"/>
    <cellStyle name="Normal 17 5 3 4 2 2" xfId="54758" xr:uid="{00000000-0005-0000-0000-00005D580000}"/>
    <cellStyle name="Normal 17 5 3 4 3" xfId="45191" xr:uid="{00000000-0005-0000-0000-00005E580000}"/>
    <cellStyle name="Normal 17 5 3 4 4" xfId="29091" xr:uid="{00000000-0005-0000-0000-00005F580000}"/>
    <cellStyle name="Normal 17 5 3 4 5" xfId="19522" xr:uid="{00000000-0005-0000-0000-000060580000}"/>
    <cellStyle name="Normal 17 5 3 5" xfId="9953" xr:uid="{00000000-0005-0000-0000-000061580000}"/>
    <cellStyle name="Normal 17 5 3 5 2" xfId="48227" xr:uid="{00000000-0005-0000-0000-000062580000}"/>
    <cellStyle name="Normal 17 5 3 5 3" xfId="32127" xr:uid="{00000000-0005-0000-0000-000063580000}"/>
    <cellStyle name="Normal 17 5 3 5 4" xfId="22558" xr:uid="{00000000-0005-0000-0000-000064580000}"/>
    <cellStyle name="Normal 17 5 3 6" xfId="3881" xr:uid="{00000000-0005-0000-0000-000065580000}"/>
    <cellStyle name="Normal 17 5 3 6 2" xfId="51722" xr:uid="{00000000-0005-0000-0000-000066580000}"/>
    <cellStyle name="Normal 17 5 3 6 3" xfId="35622" xr:uid="{00000000-0005-0000-0000-000067580000}"/>
    <cellStyle name="Normal 17 5 3 6 4" xfId="16486" xr:uid="{00000000-0005-0000-0000-000068580000}"/>
    <cellStyle name="Normal 17 5 3 7" xfId="42155" xr:uid="{00000000-0005-0000-0000-000069580000}"/>
    <cellStyle name="Normal 17 5 3 8" xfId="26055" xr:uid="{00000000-0005-0000-0000-00006A580000}"/>
    <cellStyle name="Normal 17 5 3 9" xfId="12991" xr:uid="{00000000-0005-0000-0000-00006B580000}"/>
    <cellStyle name="Normal 17 5 4" xfId="853" xr:uid="{00000000-0005-0000-0000-00006C580000}"/>
    <cellStyle name="Normal 17 5 4 2" xfId="2881" xr:uid="{00000000-0005-0000-0000-00006D580000}"/>
    <cellStyle name="Normal 17 5 4 2 2" xfId="9413" xr:uid="{00000000-0005-0000-0000-00006E580000}"/>
    <cellStyle name="Normal 17 5 4 2 2 2" xfId="41154" xr:uid="{00000000-0005-0000-0000-00006F580000}"/>
    <cellStyle name="Normal 17 5 4 2 2 2 2" xfId="57254" xr:uid="{00000000-0005-0000-0000-000070580000}"/>
    <cellStyle name="Normal 17 5 4 2 2 3" xfId="47687" xr:uid="{00000000-0005-0000-0000-000071580000}"/>
    <cellStyle name="Normal 17 5 4 2 2 4" xfId="31587" xr:uid="{00000000-0005-0000-0000-000072580000}"/>
    <cellStyle name="Normal 17 5 4 2 2 5" xfId="22018" xr:uid="{00000000-0005-0000-0000-000073580000}"/>
    <cellStyle name="Normal 17 5 4 2 3" xfId="12449" xr:uid="{00000000-0005-0000-0000-000074580000}"/>
    <cellStyle name="Normal 17 5 4 2 3 2" xfId="50723" xr:uid="{00000000-0005-0000-0000-000075580000}"/>
    <cellStyle name="Normal 17 5 4 2 3 3" xfId="34623" xr:uid="{00000000-0005-0000-0000-000076580000}"/>
    <cellStyle name="Normal 17 5 4 2 3 4" xfId="25054" xr:uid="{00000000-0005-0000-0000-000077580000}"/>
    <cellStyle name="Normal 17 5 4 2 4" xfId="6377" xr:uid="{00000000-0005-0000-0000-000078580000}"/>
    <cellStyle name="Normal 17 5 4 2 4 2" xfId="54218" xr:uid="{00000000-0005-0000-0000-000079580000}"/>
    <cellStyle name="Normal 17 5 4 2 4 3" xfId="38118" xr:uid="{00000000-0005-0000-0000-00007A580000}"/>
    <cellStyle name="Normal 17 5 4 2 4 4" xfId="18982" xr:uid="{00000000-0005-0000-0000-00007B580000}"/>
    <cellStyle name="Normal 17 5 4 2 5" xfId="44651" xr:uid="{00000000-0005-0000-0000-00007C580000}"/>
    <cellStyle name="Normal 17 5 4 2 6" xfId="28551" xr:uid="{00000000-0005-0000-0000-00007D580000}"/>
    <cellStyle name="Normal 17 5 4 2 7" xfId="15487" xr:uid="{00000000-0005-0000-0000-00007E580000}"/>
    <cellStyle name="Normal 17 5 4 3" xfId="1863" xr:uid="{00000000-0005-0000-0000-00007F580000}"/>
    <cellStyle name="Normal 17 5 4 3 2" xfId="8397" xr:uid="{00000000-0005-0000-0000-000080580000}"/>
    <cellStyle name="Normal 17 5 4 3 2 2" xfId="40138" xr:uid="{00000000-0005-0000-0000-000081580000}"/>
    <cellStyle name="Normal 17 5 4 3 2 2 2" xfId="56238" xr:uid="{00000000-0005-0000-0000-000082580000}"/>
    <cellStyle name="Normal 17 5 4 3 2 3" xfId="46671" xr:uid="{00000000-0005-0000-0000-000083580000}"/>
    <cellStyle name="Normal 17 5 4 3 2 4" xfId="30571" xr:uid="{00000000-0005-0000-0000-000084580000}"/>
    <cellStyle name="Normal 17 5 4 3 2 5" xfId="21002" xr:uid="{00000000-0005-0000-0000-000085580000}"/>
    <cellStyle name="Normal 17 5 4 3 3" xfId="11433" xr:uid="{00000000-0005-0000-0000-000086580000}"/>
    <cellStyle name="Normal 17 5 4 3 3 2" xfId="49707" xr:uid="{00000000-0005-0000-0000-000087580000}"/>
    <cellStyle name="Normal 17 5 4 3 3 3" xfId="33607" xr:uid="{00000000-0005-0000-0000-000088580000}"/>
    <cellStyle name="Normal 17 5 4 3 3 4" xfId="24038" xr:uid="{00000000-0005-0000-0000-000089580000}"/>
    <cellStyle name="Normal 17 5 4 3 4" xfId="5361" xr:uid="{00000000-0005-0000-0000-00008A580000}"/>
    <cellStyle name="Normal 17 5 4 3 4 2" xfId="53202" xr:uid="{00000000-0005-0000-0000-00008B580000}"/>
    <cellStyle name="Normal 17 5 4 3 4 3" xfId="37102" xr:uid="{00000000-0005-0000-0000-00008C580000}"/>
    <cellStyle name="Normal 17 5 4 3 4 4" xfId="17966" xr:uid="{00000000-0005-0000-0000-00008D580000}"/>
    <cellStyle name="Normal 17 5 4 3 5" xfId="43635" xr:uid="{00000000-0005-0000-0000-00008E580000}"/>
    <cellStyle name="Normal 17 5 4 3 6" xfId="27535" xr:uid="{00000000-0005-0000-0000-00008F580000}"/>
    <cellStyle name="Normal 17 5 4 3 7" xfId="14471" xr:uid="{00000000-0005-0000-0000-000090580000}"/>
    <cellStyle name="Normal 17 5 4 4" xfId="7387" xr:uid="{00000000-0005-0000-0000-000091580000}"/>
    <cellStyle name="Normal 17 5 4 4 2" xfId="39128" xr:uid="{00000000-0005-0000-0000-000092580000}"/>
    <cellStyle name="Normal 17 5 4 4 2 2" xfId="55228" xr:uid="{00000000-0005-0000-0000-000093580000}"/>
    <cellStyle name="Normal 17 5 4 4 3" xfId="45661" xr:uid="{00000000-0005-0000-0000-000094580000}"/>
    <cellStyle name="Normal 17 5 4 4 4" xfId="29561" xr:uid="{00000000-0005-0000-0000-000095580000}"/>
    <cellStyle name="Normal 17 5 4 4 5" xfId="19992" xr:uid="{00000000-0005-0000-0000-000096580000}"/>
    <cellStyle name="Normal 17 5 4 5" xfId="10423" xr:uid="{00000000-0005-0000-0000-000097580000}"/>
    <cellStyle name="Normal 17 5 4 5 2" xfId="48697" xr:uid="{00000000-0005-0000-0000-000098580000}"/>
    <cellStyle name="Normal 17 5 4 5 3" xfId="32597" xr:uid="{00000000-0005-0000-0000-000099580000}"/>
    <cellStyle name="Normal 17 5 4 5 4" xfId="23028" xr:uid="{00000000-0005-0000-0000-00009A580000}"/>
    <cellStyle name="Normal 17 5 4 6" xfId="4351" xr:uid="{00000000-0005-0000-0000-00009B580000}"/>
    <cellStyle name="Normal 17 5 4 6 2" xfId="52192" xr:uid="{00000000-0005-0000-0000-00009C580000}"/>
    <cellStyle name="Normal 17 5 4 6 3" xfId="36092" xr:uid="{00000000-0005-0000-0000-00009D580000}"/>
    <cellStyle name="Normal 17 5 4 6 4" xfId="16956" xr:uid="{00000000-0005-0000-0000-00009E580000}"/>
    <cellStyle name="Normal 17 5 4 7" xfId="42625" xr:uid="{00000000-0005-0000-0000-00009F580000}"/>
    <cellStyle name="Normal 17 5 4 8" xfId="26525" xr:uid="{00000000-0005-0000-0000-0000A0580000}"/>
    <cellStyle name="Normal 17 5 4 9" xfId="13461" xr:uid="{00000000-0005-0000-0000-0000A1580000}"/>
    <cellStyle name="Normal 17 5 5" xfId="2181" xr:uid="{00000000-0005-0000-0000-0000A2580000}"/>
    <cellStyle name="Normal 17 5 5 2" xfId="8715" xr:uid="{00000000-0005-0000-0000-0000A3580000}"/>
    <cellStyle name="Normal 17 5 5 2 2" xfId="40456" xr:uid="{00000000-0005-0000-0000-0000A4580000}"/>
    <cellStyle name="Normal 17 5 5 2 2 2" xfId="56556" xr:uid="{00000000-0005-0000-0000-0000A5580000}"/>
    <cellStyle name="Normal 17 5 5 2 3" xfId="46989" xr:uid="{00000000-0005-0000-0000-0000A6580000}"/>
    <cellStyle name="Normal 17 5 5 2 4" xfId="30889" xr:uid="{00000000-0005-0000-0000-0000A7580000}"/>
    <cellStyle name="Normal 17 5 5 2 5" xfId="21320" xr:uid="{00000000-0005-0000-0000-0000A8580000}"/>
    <cellStyle name="Normal 17 5 5 3" xfId="11751" xr:uid="{00000000-0005-0000-0000-0000A9580000}"/>
    <cellStyle name="Normal 17 5 5 3 2" xfId="50025" xr:uid="{00000000-0005-0000-0000-0000AA580000}"/>
    <cellStyle name="Normal 17 5 5 3 3" xfId="33925" xr:uid="{00000000-0005-0000-0000-0000AB580000}"/>
    <cellStyle name="Normal 17 5 5 3 4" xfId="24356" xr:uid="{00000000-0005-0000-0000-0000AC580000}"/>
    <cellStyle name="Normal 17 5 5 4" xfId="5679" xr:uid="{00000000-0005-0000-0000-0000AD580000}"/>
    <cellStyle name="Normal 17 5 5 4 2" xfId="53520" xr:uid="{00000000-0005-0000-0000-0000AE580000}"/>
    <cellStyle name="Normal 17 5 5 4 3" xfId="37420" xr:uid="{00000000-0005-0000-0000-0000AF580000}"/>
    <cellStyle name="Normal 17 5 5 4 4" xfId="18284" xr:uid="{00000000-0005-0000-0000-0000B0580000}"/>
    <cellStyle name="Normal 17 5 5 5" xfId="43953" xr:uid="{00000000-0005-0000-0000-0000B1580000}"/>
    <cellStyle name="Normal 17 5 5 6" xfId="27853" xr:uid="{00000000-0005-0000-0000-0000B2580000}"/>
    <cellStyle name="Normal 17 5 5 7" xfId="14789" xr:uid="{00000000-0005-0000-0000-0000B3580000}"/>
    <cellStyle name="Normal 17 5 6" xfId="1180" xr:uid="{00000000-0005-0000-0000-0000B4580000}"/>
    <cellStyle name="Normal 17 5 6 2" xfId="7714" xr:uid="{00000000-0005-0000-0000-0000B5580000}"/>
    <cellStyle name="Normal 17 5 6 2 2" xfId="39455" xr:uid="{00000000-0005-0000-0000-0000B6580000}"/>
    <cellStyle name="Normal 17 5 6 2 2 2" xfId="55555" xr:uid="{00000000-0005-0000-0000-0000B7580000}"/>
    <cellStyle name="Normal 17 5 6 2 3" xfId="45988" xr:uid="{00000000-0005-0000-0000-0000B8580000}"/>
    <cellStyle name="Normal 17 5 6 2 4" xfId="29888" xr:uid="{00000000-0005-0000-0000-0000B9580000}"/>
    <cellStyle name="Normal 17 5 6 2 5" xfId="20319" xr:uid="{00000000-0005-0000-0000-0000BA580000}"/>
    <cellStyle name="Normal 17 5 6 3" xfId="10750" xr:uid="{00000000-0005-0000-0000-0000BB580000}"/>
    <cellStyle name="Normal 17 5 6 3 2" xfId="49024" xr:uid="{00000000-0005-0000-0000-0000BC580000}"/>
    <cellStyle name="Normal 17 5 6 3 3" xfId="32924" xr:uid="{00000000-0005-0000-0000-0000BD580000}"/>
    <cellStyle name="Normal 17 5 6 3 4" xfId="23355" xr:uid="{00000000-0005-0000-0000-0000BE580000}"/>
    <cellStyle name="Normal 17 5 6 4" xfId="4678" xr:uid="{00000000-0005-0000-0000-0000BF580000}"/>
    <cellStyle name="Normal 17 5 6 4 2" xfId="52519" xr:uid="{00000000-0005-0000-0000-0000C0580000}"/>
    <cellStyle name="Normal 17 5 6 4 3" xfId="36419" xr:uid="{00000000-0005-0000-0000-0000C1580000}"/>
    <cellStyle name="Normal 17 5 6 4 4" xfId="17283" xr:uid="{00000000-0005-0000-0000-0000C2580000}"/>
    <cellStyle name="Normal 17 5 6 5" xfId="42952" xr:uid="{00000000-0005-0000-0000-0000C3580000}"/>
    <cellStyle name="Normal 17 5 6 6" xfId="26852" xr:uid="{00000000-0005-0000-0000-0000C4580000}"/>
    <cellStyle name="Normal 17 5 6 7" xfId="13788" xr:uid="{00000000-0005-0000-0000-0000C5580000}"/>
    <cellStyle name="Normal 17 5 7" xfId="3668" xr:uid="{00000000-0005-0000-0000-0000C6580000}"/>
    <cellStyle name="Normal 17 5 7 2" xfId="35409" xr:uid="{00000000-0005-0000-0000-0000C7580000}"/>
    <cellStyle name="Normal 17 5 7 2 2" xfId="51509" xr:uid="{00000000-0005-0000-0000-0000C8580000}"/>
    <cellStyle name="Normal 17 5 7 3" xfId="41942" xr:uid="{00000000-0005-0000-0000-0000C9580000}"/>
    <cellStyle name="Normal 17 5 7 4" xfId="25842" xr:uid="{00000000-0005-0000-0000-0000CA580000}"/>
    <cellStyle name="Normal 17 5 7 5" xfId="16273" xr:uid="{00000000-0005-0000-0000-0000CB580000}"/>
    <cellStyle name="Normal 17 5 8" xfId="6704" xr:uid="{00000000-0005-0000-0000-0000CC580000}"/>
    <cellStyle name="Normal 17 5 8 2" xfId="38445" xr:uid="{00000000-0005-0000-0000-0000CD580000}"/>
    <cellStyle name="Normal 17 5 8 2 2" xfId="54545" xr:uid="{00000000-0005-0000-0000-0000CE580000}"/>
    <cellStyle name="Normal 17 5 8 3" xfId="44978" xr:uid="{00000000-0005-0000-0000-0000CF580000}"/>
    <cellStyle name="Normal 17 5 8 4" xfId="28878" xr:uid="{00000000-0005-0000-0000-0000D0580000}"/>
    <cellStyle name="Normal 17 5 8 5" xfId="19309" xr:uid="{00000000-0005-0000-0000-0000D1580000}"/>
    <cellStyle name="Normal 17 5 9" xfId="9740" xr:uid="{00000000-0005-0000-0000-0000D2580000}"/>
    <cellStyle name="Normal 17 5 9 2" xfId="48014" xr:uid="{00000000-0005-0000-0000-0000D3580000}"/>
    <cellStyle name="Normal 17 5 9 3" xfId="31914" xr:uid="{00000000-0005-0000-0000-0000D4580000}"/>
    <cellStyle name="Normal 17 5 9 4" xfId="22345" xr:uid="{00000000-0005-0000-0000-0000D5580000}"/>
    <cellStyle name="Normal 17 6" xfId="233" xr:uid="{00000000-0005-0000-0000-0000D6580000}"/>
    <cellStyle name="Normal 17 6 10" xfId="41500" xr:uid="{00000000-0005-0000-0000-0000D7580000}"/>
    <cellStyle name="Normal 17 6 11" xfId="25400" xr:uid="{00000000-0005-0000-0000-0000D8580000}"/>
    <cellStyle name="Normal 17 6 12" xfId="12795" xr:uid="{00000000-0005-0000-0000-0000D9580000}"/>
    <cellStyle name="Normal 17 6 2" xfId="614" xr:uid="{00000000-0005-0000-0000-0000DA580000}"/>
    <cellStyle name="Normal 17 6 2 10" xfId="13062" xr:uid="{00000000-0005-0000-0000-0000DB580000}"/>
    <cellStyle name="Normal 17 6 2 2" xfId="2642" xr:uid="{00000000-0005-0000-0000-0000DC580000}"/>
    <cellStyle name="Normal 17 6 2 2 2" xfId="9174" xr:uid="{00000000-0005-0000-0000-0000DD580000}"/>
    <cellStyle name="Normal 17 6 2 2 2 2" xfId="40915" xr:uid="{00000000-0005-0000-0000-0000DE580000}"/>
    <cellStyle name="Normal 17 6 2 2 2 2 2" xfId="57015" xr:uid="{00000000-0005-0000-0000-0000DF580000}"/>
    <cellStyle name="Normal 17 6 2 2 2 3" xfId="47448" xr:uid="{00000000-0005-0000-0000-0000E0580000}"/>
    <cellStyle name="Normal 17 6 2 2 2 4" xfId="31348" xr:uid="{00000000-0005-0000-0000-0000E1580000}"/>
    <cellStyle name="Normal 17 6 2 2 2 5" xfId="21779" xr:uid="{00000000-0005-0000-0000-0000E2580000}"/>
    <cellStyle name="Normal 17 6 2 2 3" xfId="12210" xr:uid="{00000000-0005-0000-0000-0000E3580000}"/>
    <cellStyle name="Normal 17 6 2 2 3 2" xfId="50484" xr:uid="{00000000-0005-0000-0000-0000E4580000}"/>
    <cellStyle name="Normal 17 6 2 2 3 3" xfId="34384" xr:uid="{00000000-0005-0000-0000-0000E5580000}"/>
    <cellStyle name="Normal 17 6 2 2 3 4" xfId="24815" xr:uid="{00000000-0005-0000-0000-0000E6580000}"/>
    <cellStyle name="Normal 17 6 2 2 4" xfId="6138" xr:uid="{00000000-0005-0000-0000-0000E7580000}"/>
    <cellStyle name="Normal 17 6 2 2 4 2" xfId="53979" xr:uid="{00000000-0005-0000-0000-0000E8580000}"/>
    <cellStyle name="Normal 17 6 2 2 4 3" xfId="37879" xr:uid="{00000000-0005-0000-0000-0000E9580000}"/>
    <cellStyle name="Normal 17 6 2 2 4 4" xfId="18743" xr:uid="{00000000-0005-0000-0000-0000EA580000}"/>
    <cellStyle name="Normal 17 6 2 2 5" xfId="44412" xr:uid="{00000000-0005-0000-0000-0000EB580000}"/>
    <cellStyle name="Normal 17 6 2 2 6" xfId="28312" xr:uid="{00000000-0005-0000-0000-0000EC580000}"/>
    <cellStyle name="Normal 17 6 2 2 7" xfId="15248" xr:uid="{00000000-0005-0000-0000-0000ED580000}"/>
    <cellStyle name="Normal 17 6 2 3" xfId="1464" xr:uid="{00000000-0005-0000-0000-0000EE580000}"/>
    <cellStyle name="Normal 17 6 2 3 2" xfId="7998" xr:uid="{00000000-0005-0000-0000-0000EF580000}"/>
    <cellStyle name="Normal 17 6 2 3 2 2" xfId="39739" xr:uid="{00000000-0005-0000-0000-0000F0580000}"/>
    <cellStyle name="Normal 17 6 2 3 2 2 2" xfId="55839" xr:uid="{00000000-0005-0000-0000-0000F1580000}"/>
    <cellStyle name="Normal 17 6 2 3 2 3" xfId="46272" xr:uid="{00000000-0005-0000-0000-0000F2580000}"/>
    <cellStyle name="Normal 17 6 2 3 2 4" xfId="30172" xr:uid="{00000000-0005-0000-0000-0000F3580000}"/>
    <cellStyle name="Normal 17 6 2 3 2 5" xfId="20603" xr:uid="{00000000-0005-0000-0000-0000F4580000}"/>
    <cellStyle name="Normal 17 6 2 3 3" xfId="11034" xr:uid="{00000000-0005-0000-0000-0000F5580000}"/>
    <cellStyle name="Normal 17 6 2 3 3 2" xfId="49308" xr:uid="{00000000-0005-0000-0000-0000F6580000}"/>
    <cellStyle name="Normal 17 6 2 3 3 3" xfId="33208" xr:uid="{00000000-0005-0000-0000-0000F7580000}"/>
    <cellStyle name="Normal 17 6 2 3 3 4" xfId="23639" xr:uid="{00000000-0005-0000-0000-0000F8580000}"/>
    <cellStyle name="Normal 17 6 2 3 4" xfId="4962" xr:uid="{00000000-0005-0000-0000-0000F9580000}"/>
    <cellStyle name="Normal 17 6 2 3 4 2" xfId="52803" xr:uid="{00000000-0005-0000-0000-0000FA580000}"/>
    <cellStyle name="Normal 17 6 2 3 4 3" xfId="36703" xr:uid="{00000000-0005-0000-0000-0000FB580000}"/>
    <cellStyle name="Normal 17 6 2 3 4 4" xfId="17567" xr:uid="{00000000-0005-0000-0000-0000FC580000}"/>
    <cellStyle name="Normal 17 6 2 3 5" xfId="43236" xr:uid="{00000000-0005-0000-0000-0000FD580000}"/>
    <cellStyle name="Normal 17 6 2 3 6" xfId="27136" xr:uid="{00000000-0005-0000-0000-0000FE580000}"/>
    <cellStyle name="Normal 17 6 2 3 7" xfId="14072" xr:uid="{00000000-0005-0000-0000-0000FF580000}"/>
    <cellStyle name="Normal 17 6 2 4" xfId="3952" xr:uid="{00000000-0005-0000-0000-000000590000}"/>
    <cellStyle name="Normal 17 6 2 4 2" xfId="35693" xr:uid="{00000000-0005-0000-0000-000001590000}"/>
    <cellStyle name="Normal 17 6 2 4 2 2" xfId="51793" xr:uid="{00000000-0005-0000-0000-000002590000}"/>
    <cellStyle name="Normal 17 6 2 4 3" xfId="42226" xr:uid="{00000000-0005-0000-0000-000003590000}"/>
    <cellStyle name="Normal 17 6 2 4 4" xfId="26126" xr:uid="{00000000-0005-0000-0000-000004590000}"/>
    <cellStyle name="Normal 17 6 2 4 5" xfId="16557" xr:uid="{00000000-0005-0000-0000-000005590000}"/>
    <cellStyle name="Normal 17 6 2 5" xfId="6988" xr:uid="{00000000-0005-0000-0000-000006590000}"/>
    <cellStyle name="Normal 17 6 2 5 2" xfId="38729" xr:uid="{00000000-0005-0000-0000-000007590000}"/>
    <cellStyle name="Normal 17 6 2 5 2 2" xfId="54829" xr:uid="{00000000-0005-0000-0000-000008590000}"/>
    <cellStyle name="Normal 17 6 2 5 3" xfId="45262" xr:uid="{00000000-0005-0000-0000-000009590000}"/>
    <cellStyle name="Normal 17 6 2 5 4" xfId="29162" xr:uid="{00000000-0005-0000-0000-00000A590000}"/>
    <cellStyle name="Normal 17 6 2 5 5" xfId="19593" xr:uid="{00000000-0005-0000-0000-00000B590000}"/>
    <cellStyle name="Normal 17 6 2 6" xfId="10024" xr:uid="{00000000-0005-0000-0000-00000C590000}"/>
    <cellStyle name="Normal 17 6 2 6 2" xfId="48298" xr:uid="{00000000-0005-0000-0000-00000D590000}"/>
    <cellStyle name="Normal 17 6 2 6 3" xfId="32198" xr:uid="{00000000-0005-0000-0000-00000E590000}"/>
    <cellStyle name="Normal 17 6 2 6 4" xfId="22629" xr:uid="{00000000-0005-0000-0000-00000F590000}"/>
    <cellStyle name="Normal 17 6 2 7" xfId="3463" xr:uid="{00000000-0005-0000-0000-000010590000}"/>
    <cellStyle name="Normal 17 6 2 7 2" xfId="51304" xr:uid="{00000000-0005-0000-0000-000011590000}"/>
    <cellStyle name="Normal 17 6 2 7 3" xfId="35204" xr:uid="{00000000-0005-0000-0000-000012590000}"/>
    <cellStyle name="Normal 17 6 2 7 4" xfId="16068" xr:uid="{00000000-0005-0000-0000-000013590000}"/>
    <cellStyle name="Normal 17 6 2 8" xfId="41737" xr:uid="{00000000-0005-0000-0000-000014590000}"/>
    <cellStyle name="Normal 17 6 2 9" xfId="25637" xr:uid="{00000000-0005-0000-0000-000015590000}"/>
    <cellStyle name="Normal 17 6 3" xfId="870" xr:uid="{00000000-0005-0000-0000-000016590000}"/>
    <cellStyle name="Normal 17 6 3 2" xfId="2898" xr:uid="{00000000-0005-0000-0000-000017590000}"/>
    <cellStyle name="Normal 17 6 3 2 2" xfId="9430" xr:uid="{00000000-0005-0000-0000-000018590000}"/>
    <cellStyle name="Normal 17 6 3 2 2 2" xfId="41171" xr:uid="{00000000-0005-0000-0000-000019590000}"/>
    <cellStyle name="Normal 17 6 3 2 2 2 2" xfId="57271" xr:uid="{00000000-0005-0000-0000-00001A590000}"/>
    <cellStyle name="Normal 17 6 3 2 2 3" xfId="47704" xr:uid="{00000000-0005-0000-0000-00001B590000}"/>
    <cellStyle name="Normal 17 6 3 2 2 4" xfId="31604" xr:uid="{00000000-0005-0000-0000-00001C590000}"/>
    <cellStyle name="Normal 17 6 3 2 2 5" xfId="22035" xr:uid="{00000000-0005-0000-0000-00001D590000}"/>
    <cellStyle name="Normal 17 6 3 2 3" xfId="12466" xr:uid="{00000000-0005-0000-0000-00001E590000}"/>
    <cellStyle name="Normal 17 6 3 2 3 2" xfId="50740" xr:uid="{00000000-0005-0000-0000-00001F590000}"/>
    <cellStyle name="Normal 17 6 3 2 3 3" xfId="34640" xr:uid="{00000000-0005-0000-0000-000020590000}"/>
    <cellStyle name="Normal 17 6 3 2 3 4" xfId="25071" xr:uid="{00000000-0005-0000-0000-000021590000}"/>
    <cellStyle name="Normal 17 6 3 2 4" xfId="6394" xr:uid="{00000000-0005-0000-0000-000022590000}"/>
    <cellStyle name="Normal 17 6 3 2 4 2" xfId="54235" xr:uid="{00000000-0005-0000-0000-000023590000}"/>
    <cellStyle name="Normal 17 6 3 2 4 3" xfId="38135" xr:uid="{00000000-0005-0000-0000-000024590000}"/>
    <cellStyle name="Normal 17 6 3 2 4 4" xfId="18999" xr:uid="{00000000-0005-0000-0000-000025590000}"/>
    <cellStyle name="Normal 17 6 3 2 5" xfId="44668" xr:uid="{00000000-0005-0000-0000-000026590000}"/>
    <cellStyle name="Normal 17 6 3 2 6" xfId="28568" xr:uid="{00000000-0005-0000-0000-000027590000}"/>
    <cellStyle name="Normal 17 6 3 2 7" xfId="15504" xr:uid="{00000000-0005-0000-0000-000028590000}"/>
    <cellStyle name="Normal 17 6 3 3" xfId="1880" xr:uid="{00000000-0005-0000-0000-000029590000}"/>
    <cellStyle name="Normal 17 6 3 3 2" xfId="8414" xr:uid="{00000000-0005-0000-0000-00002A590000}"/>
    <cellStyle name="Normal 17 6 3 3 2 2" xfId="40155" xr:uid="{00000000-0005-0000-0000-00002B590000}"/>
    <cellStyle name="Normal 17 6 3 3 2 2 2" xfId="56255" xr:uid="{00000000-0005-0000-0000-00002C590000}"/>
    <cellStyle name="Normal 17 6 3 3 2 3" xfId="46688" xr:uid="{00000000-0005-0000-0000-00002D590000}"/>
    <cellStyle name="Normal 17 6 3 3 2 4" xfId="30588" xr:uid="{00000000-0005-0000-0000-00002E590000}"/>
    <cellStyle name="Normal 17 6 3 3 2 5" xfId="21019" xr:uid="{00000000-0005-0000-0000-00002F590000}"/>
    <cellStyle name="Normal 17 6 3 3 3" xfId="11450" xr:uid="{00000000-0005-0000-0000-000030590000}"/>
    <cellStyle name="Normal 17 6 3 3 3 2" xfId="49724" xr:uid="{00000000-0005-0000-0000-000031590000}"/>
    <cellStyle name="Normal 17 6 3 3 3 3" xfId="33624" xr:uid="{00000000-0005-0000-0000-000032590000}"/>
    <cellStyle name="Normal 17 6 3 3 3 4" xfId="24055" xr:uid="{00000000-0005-0000-0000-000033590000}"/>
    <cellStyle name="Normal 17 6 3 3 4" xfId="5378" xr:uid="{00000000-0005-0000-0000-000034590000}"/>
    <cellStyle name="Normal 17 6 3 3 4 2" xfId="53219" xr:uid="{00000000-0005-0000-0000-000035590000}"/>
    <cellStyle name="Normal 17 6 3 3 4 3" xfId="37119" xr:uid="{00000000-0005-0000-0000-000036590000}"/>
    <cellStyle name="Normal 17 6 3 3 4 4" xfId="17983" xr:uid="{00000000-0005-0000-0000-000037590000}"/>
    <cellStyle name="Normal 17 6 3 3 5" xfId="43652" xr:uid="{00000000-0005-0000-0000-000038590000}"/>
    <cellStyle name="Normal 17 6 3 3 6" xfId="27552" xr:uid="{00000000-0005-0000-0000-000039590000}"/>
    <cellStyle name="Normal 17 6 3 3 7" xfId="14488" xr:uid="{00000000-0005-0000-0000-00003A590000}"/>
    <cellStyle name="Normal 17 6 3 4" xfId="7404" xr:uid="{00000000-0005-0000-0000-00003B590000}"/>
    <cellStyle name="Normal 17 6 3 4 2" xfId="39145" xr:uid="{00000000-0005-0000-0000-00003C590000}"/>
    <cellStyle name="Normal 17 6 3 4 2 2" xfId="55245" xr:uid="{00000000-0005-0000-0000-00003D590000}"/>
    <cellStyle name="Normal 17 6 3 4 3" xfId="45678" xr:uid="{00000000-0005-0000-0000-00003E590000}"/>
    <cellStyle name="Normal 17 6 3 4 4" xfId="29578" xr:uid="{00000000-0005-0000-0000-00003F590000}"/>
    <cellStyle name="Normal 17 6 3 4 5" xfId="20009" xr:uid="{00000000-0005-0000-0000-000040590000}"/>
    <cellStyle name="Normal 17 6 3 5" xfId="10440" xr:uid="{00000000-0005-0000-0000-000041590000}"/>
    <cellStyle name="Normal 17 6 3 5 2" xfId="48714" xr:uid="{00000000-0005-0000-0000-000042590000}"/>
    <cellStyle name="Normal 17 6 3 5 3" xfId="32614" xr:uid="{00000000-0005-0000-0000-000043590000}"/>
    <cellStyle name="Normal 17 6 3 5 4" xfId="23045" xr:uid="{00000000-0005-0000-0000-000044590000}"/>
    <cellStyle name="Normal 17 6 3 6" xfId="4368" xr:uid="{00000000-0005-0000-0000-000045590000}"/>
    <cellStyle name="Normal 17 6 3 6 2" xfId="52209" xr:uid="{00000000-0005-0000-0000-000046590000}"/>
    <cellStyle name="Normal 17 6 3 6 3" xfId="36109" xr:uid="{00000000-0005-0000-0000-000047590000}"/>
    <cellStyle name="Normal 17 6 3 6 4" xfId="16973" xr:uid="{00000000-0005-0000-0000-000048590000}"/>
    <cellStyle name="Normal 17 6 3 7" xfId="42642" xr:uid="{00000000-0005-0000-0000-000049590000}"/>
    <cellStyle name="Normal 17 6 3 8" xfId="26542" xr:uid="{00000000-0005-0000-0000-00004A590000}"/>
    <cellStyle name="Normal 17 6 3 9" xfId="13478" xr:uid="{00000000-0005-0000-0000-00004B590000}"/>
    <cellStyle name="Normal 17 6 4" xfId="2252" xr:uid="{00000000-0005-0000-0000-00004C590000}"/>
    <cellStyle name="Normal 17 6 4 2" xfId="8786" xr:uid="{00000000-0005-0000-0000-00004D590000}"/>
    <cellStyle name="Normal 17 6 4 2 2" xfId="40527" xr:uid="{00000000-0005-0000-0000-00004E590000}"/>
    <cellStyle name="Normal 17 6 4 2 2 2" xfId="56627" xr:uid="{00000000-0005-0000-0000-00004F590000}"/>
    <cellStyle name="Normal 17 6 4 2 3" xfId="47060" xr:uid="{00000000-0005-0000-0000-000050590000}"/>
    <cellStyle name="Normal 17 6 4 2 4" xfId="30960" xr:uid="{00000000-0005-0000-0000-000051590000}"/>
    <cellStyle name="Normal 17 6 4 2 5" xfId="21391" xr:uid="{00000000-0005-0000-0000-000052590000}"/>
    <cellStyle name="Normal 17 6 4 3" xfId="11822" xr:uid="{00000000-0005-0000-0000-000053590000}"/>
    <cellStyle name="Normal 17 6 4 3 2" xfId="50096" xr:uid="{00000000-0005-0000-0000-000054590000}"/>
    <cellStyle name="Normal 17 6 4 3 3" xfId="33996" xr:uid="{00000000-0005-0000-0000-000055590000}"/>
    <cellStyle name="Normal 17 6 4 3 4" xfId="24427" xr:uid="{00000000-0005-0000-0000-000056590000}"/>
    <cellStyle name="Normal 17 6 4 4" xfId="5750" xr:uid="{00000000-0005-0000-0000-000057590000}"/>
    <cellStyle name="Normal 17 6 4 4 2" xfId="53591" xr:uid="{00000000-0005-0000-0000-000058590000}"/>
    <cellStyle name="Normal 17 6 4 4 3" xfId="37491" xr:uid="{00000000-0005-0000-0000-000059590000}"/>
    <cellStyle name="Normal 17 6 4 4 4" xfId="18355" xr:uid="{00000000-0005-0000-0000-00005A590000}"/>
    <cellStyle name="Normal 17 6 4 5" xfId="44024" xr:uid="{00000000-0005-0000-0000-00005B590000}"/>
    <cellStyle name="Normal 17 6 4 6" xfId="27924" xr:uid="{00000000-0005-0000-0000-00005C590000}"/>
    <cellStyle name="Normal 17 6 4 7" xfId="14860" xr:uid="{00000000-0005-0000-0000-00005D590000}"/>
    <cellStyle name="Normal 17 6 5" xfId="1197" xr:uid="{00000000-0005-0000-0000-00005E590000}"/>
    <cellStyle name="Normal 17 6 5 2" xfId="7731" xr:uid="{00000000-0005-0000-0000-00005F590000}"/>
    <cellStyle name="Normal 17 6 5 2 2" xfId="39472" xr:uid="{00000000-0005-0000-0000-000060590000}"/>
    <cellStyle name="Normal 17 6 5 2 2 2" xfId="55572" xr:uid="{00000000-0005-0000-0000-000061590000}"/>
    <cellStyle name="Normal 17 6 5 2 3" xfId="46005" xr:uid="{00000000-0005-0000-0000-000062590000}"/>
    <cellStyle name="Normal 17 6 5 2 4" xfId="29905" xr:uid="{00000000-0005-0000-0000-000063590000}"/>
    <cellStyle name="Normal 17 6 5 2 5" xfId="20336" xr:uid="{00000000-0005-0000-0000-000064590000}"/>
    <cellStyle name="Normal 17 6 5 3" xfId="10767" xr:uid="{00000000-0005-0000-0000-000065590000}"/>
    <cellStyle name="Normal 17 6 5 3 2" xfId="49041" xr:uid="{00000000-0005-0000-0000-000066590000}"/>
    <cellStyle name="Normal 17 6 5 3 3" xfId="32941" xr:uid="{00000000-0005-0000-0000-000067590000}"/>
    <cellStyle name="Normal 17 6 5 3 4" xfId="23372" xr:uid="{00000000-0005-0000-0000-000068590000}"/>
    <cellStyle name="Normal 17 6 5 4" xfId="4695" xr:uid="{00000000-0005-0000-0000-000069590000}"/>
    <cellStyle name="Normal 17 6 5 4 2" xfId="52536" xr:uid="{00000000-0005-0000-0000-00006A590000}"/>
    <cellStyle name="Normal 17 6 5 4 3" xfId="36436" xr:uid="{00000000-0005-0000-0000-00006B590000}"/>
    <cellStyle name="Normal 17 6 5 4 4" xfId="17300" xr:uid="{00000000-0005-0000-0000-00006C590000}"/>
    <cellStyle name="Normal 17 6 5 5" xfId="42969" xr:uid="{00000000-0005-0000-0000-00006D590000}"/>
    <cellStyle name="Normal 17 6 5 6" xfId="26869" xr:uid="{00000000-0005-0000-0000-00006E590000}"/>
    <cellStyle name="Normal 17 6 5 7" xfId="13805" xr:uid="{00000000-0005-0000-0000-00006F590000}"/>
    <cellStyle name="Normal 17 6 6" xfId="3685" xr:uid="{00000000-0005-0000-0000-000070590000}"/>
    <cellStyle name="Normal 17 6 6 2" xfId="35426" xr:uid="{00000000-0005-0000-0000-000071590000}"/>
    <cellStyle name="Normal 17 6 6 2 2" xfId="51526" xr:uid="{00000000-0005-0000-0000-000072590000}"/>
    <cellStyle name="Normal 17 6 6 3" xfId="41959" xr:uid="{00000000-0005-0000-0000-000073590000}"/>
    <cellStyle name="Normal 17 6 6 4" xfId="25859" xr:uid="{00000000-0005-0000-0000-000074590000}"/>
    <cellStyle name="Normal 17 6 6 5" xfId="16290" xr:uid="{00000000-0005-0000-0000-000075590000}"/>
    <cellStyle name="Normal 17 6 7" xfId="6721" xr:uid="{00000000-0005-0000-0000-000076590000}"/>
    <cellStyle name="Normal 17 6 7 2" xfId="38462" xr:uid="{00000000-0005-0000-0000-000077590000}"/>
    <cellStyle name="Normal 17 6 7 2 2" xfId="54562" xr:uid="{00000000-0005-0000-0000-000078590000}"/>
    <cellStyle name="Normal 17 6 7 3" xfId="44995" xr:uid="{00000000-0005-0000-0000-000079590000}"/>
    <cellStyle name="Normal 17 6 7 4" xfId="28895" xr:uid="{00000000-0005-0000-0000-00007A590000}"/>
    <cellStyle name="Normal 17 6 7 5" xfId="19326" xr:uid="{00000000-0005-0000-0000-00007B590000}"/>
    <cellStyle name="Normal 17 6 8" xfId="9757" xr:uid="{00000000-0005-0000-0000-00007C590000}"/>
    <cellStyle name="Normal 17 6 8 2" xfId="48031" xr:uid="{00000000-0005-0000-0000-00007D590000}"/>
    <cellStyle name="Normal 17 6 8 3" xfId="31931" xr:uid="{00000000-0005-0000-0000-00007E590000}"/>
    <cellStyle name="Normal 17 6 8 4" xfId="22362" xr:uid="{00000000-0005-0000-0000-00007F590000}"/>
    <cellStyle name="Normal 17 6 9" xfId="3225" xr:uid="{00000000-0005-0000-0000-000080590000}"/>
    <cellStyle name="Normal 17 6 9 2" xfId="51067" xr:uid="{00000000-0005-0000-0000-000081590000}"/>
    <cellStyle name="Normal 17 6 9 3" xfId="34967" xr:uid="{00000000-0005-0000-0000-000082590000}"/>
    <cellStyle name="Normal 17 6 9 4" xfId="15831" xr:uid="{00000000-0005-0000-0000-000083590000}"/>
    <cellStyle name="Normal 17 7" xfId="50" xr:uid="{00000000-0005-0000-0000-000084590000}"/>
    <cellStyle name="Normal 17 7 10" xfId="41517" xr:uid="{00000000-0005-0000-0000-000085590000}"/>
    <cellStyle name="Normal 17 7 11" xfId="25417" xr:uid="{00000000-0005-0000-0000-000086590000}"/>
    <cellStyle name="Normal 17 7 12" xfId="12812" xr:uid="{00000000-0005-0000-0000-000087590000}"/>
    <cellStyle name="Normal 17 7 2" xfId="887" xr:uid="{00000000-0005-0000-0000-000088590000}"/>
    <cellStyle name="Normal 17 7 2 10" xfId="13495" xr:uid="{00000000-0005-0000-0000-000089590000}"/>
    <cellStyle name="Normal 17 7 2 2" xfId="2915" xr:uid="{00000000-0005-0000-0000-00008A590000}"/>
    <cellStyle name="Normal 17 7 2 2 2" xfId="9447" xr:uid="{00000000-0005-0000-0000-00008B590000}"/>
    <cellStyle name="Normal 17 7 2 2 2 2" xfId="41188" xr:uid="{00000000-0005-0000-0000-00008C590000}"/>
    <cellStyle name="Normal 17 7 2 2 2 2 2" xfId="57288" xr:uid="{00000000-0005-0000-0000-00008D590000}"/>
    <cellStyle name="Normal 17 7 2 2 2 3" xfId="47721" xr:uid="{00000000-0005-0000-0000-00008E590000}"/>
    <cellStyle name="Normal 17 7 2 2 2 4" xfId="31621" xr:uid="{00000000-0005-0000-0000-00008F590000}"/>
    <cellStyle name="Normal 17 7 2 2 2 5" xfId="22052" xr:uid="{00000000-0005-0000-0000-000090590000}"/>
    <cellStyle name="Normal 17 7 2 2 3" xfId="12483" xr:uid="{00000000-0005-0000-0000-000091590000}"/>
    <cellStyle name="Normal 17 7 2 2 3 2" xfId="50757" xr:uid="{00000000-0005-0000-0000-000092590000}"/>
    <cellStyle name="Normal 17 7 2 2 3 3" xfId="34657" xr:uid="{00000000-0005-0000-0000-000093590000}"/>
    <cellStyle name="Normal 17 7 2 2 3 4" xfId="25088" xr:uid="{00000000-0005-0000-0000-000094590000}"/>
    <cellStyle name="Normal 17 7 2 2 4" xfId="6411" xr:uid="{00000000-0005-0000-0000-000095590000}"/>
    <cellStyle name="Normal 17 7 2 2 4 2" xfId="54252" xr:uid="{00000000-0005-0000-0000-000096590000}"/>
    <cellStyle name="Normal 17 7 2 2 4 3" xfId="38152" xr:uid="{00000000-0005-0000-0000-000097590000}"/>
    <cellStyle name="Normal 17 7 2 2 4 4" xfId="19016" xr:uid="{00000000-0005-0000-0000-000098590000}"/>
    <cellStyle name="Normal 17 7 2 2 5" xfId="44685" xr:uid="{00000000-0005-0000-0000-000099590000}"/>
    <cellStyle name="Normal 17 7 2 2 6" xfId="28585" xr:uid="{00000000-0005-0000-0000-00009A590000}"/>
    <cellStyle name="Normal 17 7 2 2 7" xfId="15521" xr:uid="{00000000-0005-0000-0000-00009B590000}"/>
    <cellStyle name="Normal 17 7 2 3" xfId="1897" xr:uid="{00000000-0005-0000-0000-00009C590000}"/>
    <cellStyle name="Normal 17 7 2 3 2" xfId="8431" xr:uid="{00000000-0005-0000-0000-00009D590000}"/>
    <cellStyle name="Normal 17 7 2 3 2 2" xfId="40172" xr:uid="{00000000-0005-0000-0000-00009E590000}"/>
    <cellStyle name="Normal 17 7 2 3 2 2 2" xfId="56272" xr:uid="{00000000-0005-0000-0000-00009F590000}"/>
    <cellStyle name="Normal 17 7 2 3 2 3" xfId="46705" xr:uid="{00000000-0005-0000-0000-0000A0590000}"/>
    <cellStyle name="Normal 17 7 2 3 2 4" xfId="30605" xr:uid="{00000000-0005-0000-0000-0000A1590000}"/>
    <cellStyle name="Normal 17 7 2 3 2 5" xfId="21036" xr:uid="{00000000-0005-0000-0000-0000A2590000}"/>
    <cellStyle name="Normal 17 7 2 3 3" xfId="11467" xr:uid="{00000000-0005-0000-0000-0000A3590000}"/>
    <cellStyle name="Normal 17 7 2 3 3 2" xfId="49741" xr:uid="{00000000-0005-0000-0000-0000A4590000}"/>
    <cellStyle name="Normal 17 7 2 3 3 3" xfId="33641" xr:uid="{00000000-0005-0000-0000-0000A5590000}"/>
    <cellStyle name="Normal 17 7 2 3 3 4" xfId="24072" xr:uid="{00000000-0005-0000-0000-0000A6590000}"/>
    <cellStyle name="Normal 17 7 2 3 4" xfId="5395" xr:uid="{00000000-0005-0000-0000-0000A7590000}"/>
    <cellStyle name="Normal 17 7 2 3 4 2" xfId="53236" xr:uid="{00000000-0005-0000-0000-0000A8590000}"/>
    <cellStyle name="Normal 17 7 2 3 4 3" xfId="37136" xr:uid="{00000000-0005-0000-0000-0000A9590000}"/>
    <cellStyle name="Normal 17 7 2 3 4 4" xfId="18000" xr:uid="{00000000-0005-0000-0000-0000AA590000}"/>
    <cellStyle name="Normal 17 7 2 3 5" xfId="43669" xr:uid="{00000000-0005-0000-0000-0000AB590000}"/>
    <cellStyle name="Normal 17 7 2 3 6" xfId="27569" xr:uid="{00000000-0005-0000-0000-0000AC590000}"/>
    <cellStyle name="Normal 17 7 2 3 7" xfId="14505" xr:uid="{00000000-0005-0000-0000-0000AD590000}"/>
    <cellStyle name="Normal 17 7 2 4" xfId="4385" xr:uid="{00000000-0005-0000-0000-0000AE590000}"/>
    <cellStyle name="Normal 17 7 2 4 2" xfId="36126" xr:uid="{00000000-0005-0000-0000-0000AF590000}"/>
    <cellStyle name="Normal 17 7 2 4 2 2" xfId="52226" xr:uid="{00000000-0005-0000-0000-0000B0590000}"/>
    <cellStyle name="Normal 17 7 2 4 3" xfId="42659" xr:uid="{00000000-0005-0000-0000-0000B1590000}"/>
    <cellStyle name="Normal 17 7 2 4 4" xfId="26559" xr:uid="{00000000-0005-0000-0000-0000B2590000}"/>
    <cellStyle name="Normal 17 7 2 4 5" xfId="16990" xr:uid="{00000000-0005-0000-0000-0000B3590000}"/>
    <cellStyle name="Normal 17 7 2 5" xfId="7421" xr:uid="{00000000-0005-0000-0000-0000B4590000}"/>
    <cellStyle name="Normal 17 7 2 5 2" xfId="39162" xr:uid="{00000000-0005-0000-0000-0000B5590000}"/>
    <cellStyle name="Normal 17 7 2 5 2 2" xfId="55262" xr:uid="{00000000-0005-0000-0000-0000B6590000}"/>
    <cellStyle name="Normal 17 7 2 5 3" xfId="45695" xr:uid="{00000000-0005-0000-0000-0000B7590000}"/>
    <cellStyle name="Normal 17 7 2 5 4" xfId="29595" xr:uid="{00000000-0005-0000-0000-0000B8590000}"/>
    <cellStyle name="Normal 17 7 2 5 5" xfId="20026" xr:uid="{00000000-0005-0000-0000-0000B9590000}"/>
    <cellStyle name="Normal 17 7 2 6" xfId="10457" xr:uid="{00000000-0005-0000-0000-0000BA590000}"/>
    <cellStyle name="Normal 17 7 2 6 2" xfId="48731" xr:uid="{00000000-0005-0000-0000-0000BB590000}"/>
    <cellStyle name="Normal 17 7 2 6 3" xfId="32631" xr:uid="{00000000-0005-0000-0000-0000BC590000}"/>
    <cellStyle name="Normal 17 7 2 6 4" xfId="23062" xr:uid="{00000000-0005-0000-0000-0000BD590000}"/>
    <cellStyle name="Normal 17 7 2 7" xfId="3480" xr:uid="{00000000-0005-0000-0000-0000BE590000}"/>
    <cellStyle name="Normal 17 7 2 7 2" xfId="51321" xr:uid="{00000000-0005-0000-0000-0000BF590000}"/>
    <cellStyle name="Normal 17 7 2 7 3" xfId="35221" xr:uid="{00000000-0005-0000-0000-0000C0590000}"/>
    <cellStyle name="Normal 17 7 2 7 4" xfId="16085" xr:uid="{00000000-0005-0000-0000-0000C1590000}"/>
    <cellStyle name="Normal 17 7 2 8" xfId="41754" xr:uid="{00000000-0005-0000-0000-0000C2590000}"/>
    <cellStyle name="Normal 17 7 2 9" xfId="25654" xr:uid="{00000000-0005-0000-0000-0000C3590000}"/>
    <cellStyle name="Normal 17 7 3" xfId="665" xr:uid="{00000000-0005-0000-0000-0000C4590000}"/>
    <cellStyle name="Normal 17 7 3 2" xfId="2693" xr:uid="{00000000-0005-0000-0000-0000C5590000}"/>
    <cellStyle name="Normal 17 7 3 2 2" xfId="9225" xr:uid="{00000000-0005-0000-0000-0000C6590000}"/>
    <cellStyle name="Normal 17 7 3 2 2 2" xfId="40966" xr:uid="{00000000-0005-0000-0000-0000C7590000}"/>
    <cellStyle name="Normal 17 7 3 2 2 2 2" xfId="57066" xr:uid="{00000000-0005-0000-0000-0000C8590000}"/>
    <cellStyle name="Normal 17 7 3 2 2 3" xfId="47499" xr:uid="{00000000-0005-0000-0000-0000C9590000}"/>
    <cellStyle name="Normal 17 7 3 2 2 4" xfId="31399" xr:uid="{00000000-0005-0000-0000-0000CA590000}"/>
    <cellStyle name="Normal 17 7 3 2 2 5" xfId="21830" xr:uid="{00000000-0005-0000-0000-0000CB590000}"/>
    <cellStyle name="Normal 17 7 3 2 3" xfId="12261" xr:uid="{00000000-0005-0000-0000-0000CC590000}"/>
    <cellStyle name="Normal 17 7 3 2 3 2" xfId="50535" xr:uid="{00000000-0005-0000-0000-0000CD590000}"/>
    <cellStyle name="Normal 17 7 3 2 3 3" xfId="34435" xr:uid="{00000000-0005-0000-0000-0000CE590000}"/>
    <cellStyle name="Normal 17 7 3 2 3 4" xfId="24866" xr:uid="{00000000-0005-0000-0000-0000CF590000}"/>
    <cellStyle name="Normal 17 7 3 2 4" xfId="6189" xr:uid="{00000000-0005-0000-0000-0000D0590000}"/>
    <cellStyle name="Normal 17 7 3 2 4 2" xfId="54030" xr:uid="{00000000-0005-0000-0000-0000D1590000}"/>
    <cellStyle name="Normal 17 7 3 2 4 3" xfId="37930" xr:uid="{00000000-0005-0000-0000-0000D2590000}"/>
    <cellStyle name="Normal 17 7 3 2 4 4" xfId="18794" xr:uid="{00000000-0005-0000-0000-0000D3590000}"/>
    <cellStyle name="Normal 17 7 3 2 5" xfId="44463" xr:uid="{00000000-0005-0000-0000-0000D4590000}"/>
    <cellStyle name="Normal 17 7 3 2 6" xfId="28363" xr:uid="{00000000-0005-0000-0000-0000D5590000}"/>
    <cellStyle name="Normal 17 7 3 2 7" xfId="15299" xr:uid="{00000000-0005-0000-0000-0000D6590000}"/>
    <cellStyle name="Normal 17 7 3 3" xfId="1675" xr:uid="{00000000-0005-0000-0000-0000D7590000}"/>
    <cellStyle name="Normal 17 7 3 3 2" xfId="8209" xr:uid="{00000000-0005-0000-0000-0000D8590000}"/>
    <cellStyle name="Normal 17 7 3 3 2 2" xfId="39950" xr:uid="{00000000-0005-0000-0000-0000D9590000}"/>
    <cellStyle name="Normal 17 7 3 3 2 2 2" xfId="56050" xr:uid="{00000000-0005-0000-0000-0000DA590000}"/>
    <cellStyle name="Normal 17 7 3 3 2 3" xfId="46483" xr:uid="{00000000-0005-0000-0000-0000DB590000}"/>
    <cellStyle name="Normal 17 7 3 3 2 4" xfId="30383" xr:uid="{00000000-0005-0000-0000-0000DC590000}"/>
    <cellStyle name="Normal 17 7 3 3 2 5" xfId="20814" xr:uid="{00000000-0005-0000-0000-0000DD590000}"/>
    <cellStyle name="Normal 17 7 3 3 3" xfId="11245" xr:uid="{00000000-0005-0000-0000-0000DE590000}"/>
    <cellStyle name="Normal 17 7 3 3 3 2" xfId="49519" xr:uid="{00000000-0005-0000-0000-0000DF590000}"/>
    <cellStyle name="Normal 17 7 3 3 3 3" xfId="33419" xr:uid="{00000000-0005-0000-0000-0000E0590000}"/>
    <cellStyle name="Normal 17 7 3 3 3 4" xfId="23850" xr:uid="{00000000-0005-0000-0000-0000E1590000}"/>
    <cellStyle name="Normal 17 7 3 3 4" xfId="5173" xr:uid="{00000000-0005-0000-0000-0000E2590000}"/>
    <cellStyle name="Normal 17 7 3 3 4 2" xfId="53014" xr:uid="{00000000-0005-0000-0000-0000E3590000}"/>
    <cellStyle name="Normal 17 7 3 3 4 3" xfId="36914" xr:uid="{00000000-0005-0000-0000-0000E4590000}"/>
    <cellStyle name="Normal 17 7 3 3 4 4" xfId="17778" xr:uid="{00000000-0005-0000-0000-0000E5590000}"/>
    <cellStyle name="Normal 17 7 3 3 5" xfId="43447" xr:uid="{00000000-0005-0000-0000-0000E6590000}"/>
    <cellStyle name="Normal 17 7 3 3 6" xfId="27347" xr:uid="{00000000-0005-0000-0000-0000E7590000}"/>
    <cellStyle name="Normal 17 7 3 3 7" xfId="14283" xr:uid="{00000000-0005-0000-0000-0000E8590000}"/>
    <cellStyle name="Normal 17 7 3 4" xfId="7199" xr:uid="{00000000-0005-0000-0000-0000E9590000}"/>
    <cellStyle name="Normal 17 7 3 4 2" xfId="38940" xr:uid="{00000000-0005-0000-0000-0000EA590000}"/>
    <cellStyle name="Normal 17 7 3 4 2 2" xfId="55040" xr:uid="{00000000-0005-0000-0000-0000EB590000}"/>
    <cellStyle name="Normal 17 7 3 4 3" xfId="45473" xr:uid="{00000000-0005-0000-0000-0000EC590000}"/>
    <cellStyle name="Normal 17 7 3 4 4" xfId="29373" xr:uid="{00000000-0005-0000-0000-0000ED590000}"/>
    <cellStyle name="Normal 17 7 3 4 5" xfId="19804" xr:uid="{00000000-0005-0000-0000-0000EE590000}"/>
    <cellStyle name="Normal 17 7 3 5" xfId="10235" xr:uid="{00000000-0005-0000-0000-0000EF590000}"/>
    <cellStyle name="Normal 17 7 3 5 2" xfId="48509" xr:uid="{00000000-0005-0000-0000-0000F0590000}"/>
    <cellStyle name="Normal 17 7 3 5 3" xfId="32409" xr:uid="{00000000-0005-0000-0000-0000F1590000}"/>
    <cellStyle name="Normal 17 7 3 5 4" xfId="22840" xr:uid="{00000000-0005-0000-0000-0000F2590000}"/>
    <cellStyle name="Normal 17 7 3 6" xfId="4163" xr:uid="{00000000-0005-0000-0000-0000F3590000}"/>
    <cellStyle name="Normal 17 7 3 6 2" xfId="52004" xr:uid="{00000000-0005-0000-0000-0000F4590000}"/>
    <cellStyle name="Normal 17 7 3 6 3" xfId="35904" xr:uid="{00000000-0005-0000-0000-0000F5590000}"/>
    <cellStyle name="Normal 17 7 3 6 4" xfId="16768" xr:uid="{00000000-0005-0000-0000-0000F6590000}"/>
    <cellStyle name="Normal 17 7 3 7" xfId="42437" xr:uid="{00000000-0005-0000-0000-0000F7590000}"/>
    <cellStyle name="Normal 17 7 3 8" xfId="26337" xr:uid="{00000000-0005-0000-0000-0000F8590000}"/>
    <cellStyle name="Normal 17 7 3 9" xfId="13273" xr:uid="{00000000-0005-0000-0000-0000F9590000}"/>
    <cellStyle name="Normal 17 7 4" xfId="2465" xr:uid="{00000000-0005-0000-0000-0000FA590000}"/>
    <cellStyle name="Normal 17 7 4 2" xfId="8997" xr:uid="{00000000-0005-0000-0000-0000FB590000}"/>
    <cellStyle name="Normal 17 7 4 2 2" xfId="40738" xr:uid="{00000000-0005-0000-0000-0000FC590000}"/>
    <cellStyle name="Normal 17 7 4 2 2 2" xfId="56838" xr:uid="{00000000-0005-0000-0000-0000FD590000}"/>
    <cellStyle name="Normal 17 7 4 2 3" xfId="47271" xr:uid="{00000000-0005-0000-0000-0000FE590000}"/>
    <cellStyle name="Normal 17 7 4 2 4" xfId="31171" xr:uid="{00000000-0005-0000-0000-0000FF590000}"/>
    <cellStyle name="Normal 17 7 4 2 5" xfId="21602" xr:uid="{00000000-0005-0000-0000-0000005A0000}"/>
    <cellStyle name="Normal 17 7 4 3" xfId="12033" xr:uid="{00000000-0005-0000-0000-0000015A0000}"/>
    <cellStyle name="Normal 17 7 4 3 2" xfId="50307" xr:uid="{00000000-0005-0000-0000-0000025A0000}"/>
    <cellStyle name="Normal 17 7 4 3 3" xfId="34207" xr:uid="{00000000-0005-0000-0000-0000035A0000}"/>
    <cellStyle name="Normal 17 7 4 3 4" xfId="24638" xr:uid="{00000000-0005-0000-0000-0000045A0000}"/>
    <cellStyle name="Normal 17 7 4 4" xfId="5961" xr:uid="{00000000-0005-0000-0000-0000055A0000}"/>
    <cellStyle name="Normal 17 7 4 4 2" xfId="53802" xr:uid="{00000000-0005-0000-0000-0000065A0000}"/>
    <cellStyle name="Normal 17 7 4 4 3" xfId="37702" xr:uid="{00000000-0005-0000-0000-0000075A0000}"/>
    <cellStyle name="Normal 17 7 4 4 4" xfId="18566" xr:uid="{00000000-0005-0000-0000-0000085A0000}"/>
    <cellStyle name="Normal 17 7 4 5" xfId="44235" xr:uid="{00000000-0005-0000-0000-0000095A0000}"/>
    <cellStyle name="Normal 17 7 4 6" xfId="28135" xr:uid="{00000000-0005-0000-0000-00000A5A0000}"/>
    <cellStyle name="Normal 17 7 4 7" xfId="15071" xr:uid="{00000000-0005-0000-0000-00000B5A0000}"/>
    <cellStyle name="Normal 17 7 5" xfId="1214" xr:uid="{00000000-0005-0000-0000-00000C5A0000}"/>
    <cellStyle name="Normal 17 7 5 2" xfId="7748" xr:uid="{00000000-0005-0000-0000-00000D5A0000}"/>
    <cellStyle name="Normal 17 7 5 2 2" xfId="39489" xr:uid="{00000000-0005-0000-0000-00000E5A0000}"/>
    <cellStyle name="Normal 17 7 5 2 2 2" xfId="55589" xr:uid="{00000000-0005-0000-0000-00000F5A0000}"/>
    <cellStyle name="Normal 17 7 5 2 3" xfId="46022" xr:uid="{00000000-0005-0000-0000-0000105A0000}"/>
    <cellStyle name="Normal 17 7 5 2 4" xfId="29922" xr:uid="{00000000-0005-0000-0000-0000115A0000}"/>
    <cellStyle name="Normal 17 7 5 2 5" xfId="20353" xr:uid="{00000000-0005-0000-0000-0000125A0000}"/>
    <cellStyle name="Normal 17 7 5 3" xfId="10784" xr:uid="{00000000-0005-0000-0000-0000135A0000}"/>
    <cellStyle name="Normal 17 7 5 3 2" xfId="49058" xr:uid="{00000000-0005-0000-0000-0000145A0000}"/>
    <cellStyle name="Normal 17 7 5 3 3" xfId="32958" xr:uid="{00000000-0005-0000-0000-0000155A0000}"/>
    <cellStyle name="Normal 17 7 5 3 4" xfId="23389" xr:uid="{00000000-0005-0000-0000-0000165A0000}"/>
    <cellStyle name="Normal 17 7 5 4" xfId="4712" xr:uid="{00000000-0005-0000-0000-0000175A0000}"/>
    <cellStyle name="Normal 17 7 5 4 2" xfId="52553" xr:uid="{00000000-0005-0000-0000-0000185A0000}"/>
    <cellStyle name="Normal 17 7 5 4 3" xfId="36453" xr:uid="{00000000-0005-0000-0000-0000195A0000}"/>
    <cellStyle name="Normal 17 7 5 4 4" xfId="17317" xr:uid="{00000000-0005-0000-0000-00001A5A0000}"/>
    <cellStyle name="Normal 17 7 5 5" xfId="42986" xr:uid="{00000000-0005-0000-0000-00001B5A0000}"/>
    <cellStyle name="Normal 17 7 5 6" xfId="26886" xr:uid="{00000000-0005-0000-0000-00001C5A0000}"/>
    <cellStyle name="Normal 17 7 5 7" xfId="13822" xr:uid="{00000000-0005-0000-0000-00001D5A0000}"/>
    <cellStyle name="Normal 17 7 6" xfId="3702" xr:uid="{00000000-0005-0000-0000-00001E5A0000}"/>
    <cellStyle name="Normal 17 7 6 2" xfId="35443" xr:uid="{00000000-0005-0000-0000-00001F5A0000}"/>
    <cellStyle name="Normal 17 7 6 2 2" xfId="51543" xr:uid="{00000000-0005-0000-0000-0000205A0000}"/>
    <cellStyle name="Normal 17 7 6 3" xfId="41976" xr:uid="{00000000-0005-0000-0000-0000215A0000}"/>
    <cellStyle name="Normal 17 7 6 4" xfId="25876" xr:uid="{00000000-0005-0000-0000-0000225A0000}"/>
    <cellStyle name="Normal 17 7 6 5" xfId="16307" xr:uid="{00000000-0005-0000-0000-0000235A0000}"/>
    <cellStyle name="Normal 17 7 7" xfId="6738" xr:uid="{00000000-0005-0000-0000-0000245A0000}"/>
    <cellStyle name="Normal 17 7 7 2" xfId="38479" xr:uid="{00000000-0005-0000-0000-0000255A0000}"/>
    <cellStyle name="Normal 17 7 7 2 2" xfId="54579" xr:uid="{00000000-0005-0000-0000-0000265A0000}"/>
    <cellStyle name="Normal 17 7 7 3" xfId="45012" xr:uid="{00000000-0005-0000-0000-0000275A0000}"/>
    <cellStyle name="Normal 17 7 7 4" xfId="28912" xr:uid="{00000000-0005-0000-0000-0000285A0000}"/>
    <cellStyle name="Normal 17 7 7 5" xfId="19343" xr:uid="{00000000-0005-0000-0000-0000295A0000}"/>
    <cellStyle name="Normal 17 7 8" xfId="9774" xr:uid="{00000000-0005-0000-0000-00002A5A0000}"/>
    <cellStyle name="Normal 17 7 8 2" xfId="48048" xr:uid="{00000000-0005-0000-0000-00002B5A0000}"/>
    <cellStyle name="Normal 17 7 8 3" xfId="31948" xr:uid="{00000000-0005-0000-0000-00002C5A0000}"/>
    <cellStyle name="Normal 17 7 8 4" xfId="22379" xr:uid="{00000000-0005-0000-0000-00002D5A0000}"/>
    <cellStyle name="Normal 17 7 9" xfId="3242" xr:uid="{00000000-0005-0000-0000-00002E5A0000}"/>
    <cellStyle name="Normal 17 7 9 2" xfId="51084" xr:uid="{00000000-0005-0000-0000-00002F5A0000}"/>
    <cellStyle name="Normal 17 7 9 3" xfId="34984" xr:uid="{00000000-0005-0000-0000-0000305A0000}"/>
    <cellStyle name="Normal 17 7 9 4" xfId="15848" xr:uid="{00000000-0005-0000-0000-0000315A0000}"/>
    <cellStyle name="Normal 17 8" xfId="451" xr:uid="{00000000-0005-0000-0000-0000325A0000}"/>
    <cellStyle name="Normal 17 8 10" xfId="41534" xr:uid="{00000000-0005-0000-0000-0000335A0000}"/>
    <cellStyle name="Normal 17 8 11" xfId="25434" xr:uid="{00000000-0005-0000-0000-0000345A0000}"/>
    <cellStyle name="Normal 17 8 12" xfId="12829" xr:uid="{00000000-0005-0000-0000-0000355A0000}"/>
    <cellStyle name="Normal 17 8 2" xfId="904" xr:uid="{00000000-0005-0000-0000-0000365A0000}"/>
    <cellStyle name="Normal 17 8 2 10" xfId="13512" xr:uid="{00000000-0005-0000-0000-0000375A0000}"/>
    <cellStyle name="Normal 17 8 2 2" xfId="2932" xr:uid="{00000000-0005-0000-0000-0000385A0000}"/>
    <cellStyle name="Normal 17 8 2 2 2" xfId="9464" xr:uid="{00000000-0005-0000-0000-0000395A0000}"/>
    <cellStyle name="Normal 17 8 2 2 2 2" xfId="41205" xr:uid="{00000000-0005-0000-0000-00003A5A0000}"/>
    <cellStyle name="Normal 17 8 2 2 2 2 2" xfId="57305" xr:uid="{00000000-0005-0000-0000-00003B5A0000}"/>
    <cellStyle name="Normal 17 8 2 2 2 3" xfId="47738" xr:uid="{00000000-0005-0000-0000-00003C5A0000}"/>
    <cellStyle name="Normal 17 8 2 2 2 4" xfId="31638" xr:uid="{00000000-0005-0000-0000-00003D5A0000}"/>
    <cellStyle name="Normal 17 8 2 2 2 5" xfId="22069" xr:uid="{00000000-0005-0000-0000-00003E5A0000}"/>
    <cellStyle name="Normal 17 8 2 2 3" xfId="12500" xr:uid="{00000000-0005-0000-0000-00003F5A0000}"/>
    <cellStyle name="Normal 17 8 2 2 3 2" xfId="50774" xr:uid="{00000000-0005-0000-0000-0000405A0000}"/>
    <cellStyle name="Normal 17 8 2 2 3 3" xfId="34674" xr:uid="{00000000-0005-0000-0000-0000415A0000}"/>
    <cellStyle name="Normal 17 8 2 2 3 4" xfId="25105" xr:uid="{00000000-0005-0000-0000-0000425A0000}"/>
    <cellStyle name="Normal 17 8 2 2 4" xfId="6428" xr:uid="{00000000-0005-0000-0000-0000435A0000}"/>
    <cellStyle name="Normal 17 8 2 2 4 2" xfId="54269" xr:uid="{00000000-0005-0000-0000-0000445A0000}"/>
    <cellStyle name="Normal 17 8 2 2 4 3" xfId="38169" xr:uid="{00000000-0005-0000-0000-0000455A0000}"/>
    <cellStyle name="Normal 17 8 2 2 4 4" xfId="19033" xr:uid="{00000000-0005-0000-0000-0000465A0000}"/>
    <cellStyle name="Normal 17 8 2 2 5" xfId="44702" xr:uid="{00000000-0005-0000-0000-0000475A0000}"/>
    <cellStyle name="Normal 17 8 2 2 6" xfId="28602" xr:uid="{00000000-0005-0000-0000-0000485A0000}"/>
    <cellStyle name="Normal 17 8 2 2 7" xfId="15538" xr:uid="{00000000-0005-0000-0000-0000495A0000}"/>
    <cellStyle name="Normal 17 8 2 3" xfId="1914" xr:uid="{00000000-0005-0000-0000-00004A5A0000}"/>
    <cellStyle name="Normal 17 8 2 3 2" xfId="8448" xr:uid="{00000000-0005-0000-0000-00004B5A0000}"/>
    <cellStyle name="Normal 17 8 2 3 2 2" xfId="40189" xr:uid="{00000000-0005-0000-0000-00004C5A0000}"/>
    <cellStyle name="Normal 17 8 2 3 2 2 2" xfId="56289" xr:uid="{00000000-0005-0000-0000-00004D5A0000}"/>
    <cellStyle name="Normal 17 8 2 3 2 3" xfId="46722" xr:uid="{00000000-0005-0000-0000-00004E5A0000}"/>
    <cellStyle name="Normal 17 8 2 3 2 4" xfId="30622" xr:uid="{00000000-0005-0000-0000-00004F5A0000}"/>
    <cellStyle name="Normal 17 8 2 3 2 5" xfId="21053" xr:uid="{00000000-0005-0000-0000-0000505A0000}"/>
    <cellStyle name="Normal 17 8 2 3 3" xfId="11484" xr:uid="{00000000-0005-0000-0000-0000515A0000}"/>
    <cellStyle name="Normal 17 8 2 3 3 2" xfId="49758" xr:uid="{00000000-0005-0000-0000-0000525A0000}"/>
    <cellStyle name="Normal 17 8 2 3 3 3" xfId="33658" xr:uid="{00000000-0005-0000-0000-0000535A0000}"/>
    <cellStyle name="Normal 17 8 2 3 3 4" xfId="24089" xr:uid="{00000000-0005-0000-0000-0000545A0000}"/>
    <cellStyle name="Normal 17 8 2 3 4" xfId="5412" xr:uid="{00000000-0005-0000-0000-0000555A0000}"/>
    <cellStyle name="Normal 17 8 2 3 4 2" xfId="53253" xr:uid="{00000000-0005-0000-0000-0000565A0000}"/>
    <cellStyle name="Normal 17 8 2 3 4 3" xfId="37153" xr:uid="{00000000-0005-0000-0000-0000575A0000}"/>
    <cellStyle name="Normal 17 8 2 3 4 4" xfId="18017" xr:uid="{00000000-0005-0000-0000-0000585A0000}"/>
    <cellStyle name="Normal 17 8 2 3 5" xfId="43686" xr:uid="{00000000-0005-0000-0000-0000595A0000}"/>
    <cellStyle name="Normal 17 8 2 3 6" xfId="27586" xr:uid="{00000000-0005-0000-0000-00005A5A0000}"/>
    <cellStyle name="Normal 17 8 2 3 7" xfId="14522" xr:uid="{00000000-0005-0000-0000-00005B5A0000}"/>
    <cellStyle name="Normal 17 8 2 4" xfId="4402" xr:uid="{00000000-0005-0000-0000-00005C5A0000}"/>
    <cellStyle name="Normal 17 8 2 4 2" xfId="36143" xr:uid="{00000000-0005-0000-0000-00005D5A0000}"/>
    <cellStyle name="Normal 17 8 2 4 2 2" xfId="52243" xr:uid="{00000000-0005-0000-0000-00005E5A0000}"/>
    <cellStyle name="Normal 17 8 2 4 3" xfId="42676" xr:uid="{00000000-0005-0000-0000-00005F5A0000}"/>
    <cellStyle name="Normal 17 8 2 4 4" xfId="26576" xr:uid="{00000000-0005-0000-0000-0000605A0000}"/>
    <cellStyle name="Normal 17 8 2 4 5" xfId="17007" xr:uid="{00000000-0005-0000-0000-0000615A0000}"/>
    <cellStyle name="Normal 17 8 2 5" xfId="7438" xr:uid="{00000000-0005-0000-0000-0000625A0000}"/>
    <cellStyle name="Normal 17 8 2 5 2" xfId="39179" xr:uid="{00000000-0005-0000-0000-0000635A0000}"/>
    <cellStyle name="Normal 17 8 2 5 2 2" xfId="55279" xr:uid="{00000000-0005-0000-0000-0000645A0000}"/>
    <cellStyle name="Normal 17 8 2 5 3" xfId="45712" xr:uid="{00000000-0005-0000-0000-0000655A0000}"/>
    <cellStyle name="Normal 17 8 2 5 4" xfId="29612" xr:uid="{00000000-0005-0000-0000-0000665A0000}"/>
    <cellStyle name="Normal 17 8 2 5 5" xfId="20043" xr:uid="{00000000-0005-0000-0000-0000675A0000}"/>
    <cellStyle name="Normal 17 8 2 6" xfId="10474" xr:uid="{00000000-0005-0000-0000-0000685A0000}"/>
    <cellStyle name="Normal 17 8 2 6 2" xfId="48748" xr:uid="{00000000-0005-0000-0000-0000695A0000}"/>
    <cellStyle name="Normal 17 8 2 6 3" xfId="32648" xr:uid="{00000000-0005-0000-0000-00006A5A0000}"/>
    <cellStyle name="Normal 17 8 2 6 4" xfId="23079" xr:uid="{00000000-0005-0000-0000-00006B5A0000}"/>
    <cellStyle name="Normal 17 8 2 7" xfId="3497" xr:uid="{00000000-0005-0000-0000-00006C5A0000}"/>
    <cellStyle name="Normal 17 8 2 7 2" xfId="51338" xr:uid="{00000000-0005-0000-0000-00006D5A0000}"/>
    <cellStyle name="Normal 17 8 2 7 3" xfId="35238" xr:uid="{00000000-0005-0000-0000-00006E5A0000}"/>
    <cellStyle name="Normal 17 8 2 7 4" xfId="16102" xr:uid="{00000000-0005-0000-0000-00006F5A0000}"/>
    <cellStyle name="Normal 17 8 2 8" xfId="41771" xr:uid="{00000000-0005-0000-0000-0000705A0000}"/>
    <cellStyle name="Normal 17 8 2 9" xfId="25671" xr:uid="{00000000-0005-0000-0000-0000715A0000}"/>
    <cellStyle name="Normal 17 8 3" xfId="682" xr:uid="{00000000-0005-0000-0000-0000725A0000}"/>
    <cellStyle name="Normal 17 8 3 2" xfId="2710" xr:uid="{00000000-0005-0000-0000-0000735A0000}"/>
    <cellStyle name="Normal 17 8 3 2 2" xfId="9242" xr:uid="{00000000-0005-0000-0000-0000745A0000}"/>
    <cellStyle name="Normal 17 8 3 2 2 2" xfId="40983" xr:uid="{00000000-0005-0000-0000-0000755A0000}"/>
    <cellStyle name="Normal 17 8 3 2 2 2 2" xfId="57083" xr:uid="{00000000-0005-0000-0000-0000765A0000}"/>
    <cellStyle name="Normal 17 8 3 2 2 3" xfId="47516" xr:uid="{00000000-0005-0000-0000-0000775A0000}"/>
    <cellStyle name="Normal 17 8 3 2 2 4" xfId="31416" xr:uid="{00000000-0005-0000-0000-0000785A0000}"/>
    <cellStyle name="Normal 17 8 3 2 2 5" xfId="21847" xr:uid="{00000000-0005-0000-0000-0000795A0000}"/>
    <cellStyle name="Normal 17 8 3 2 3" xfId="12278" xr:uid="{00000000-0005-0000-0000-00007A5A0000}"/>
    <cellStyle name="Normal 17 8 3 2 3 2" xfId="50552" xr:uid="{00000000-0005-0000-0000-00007B5A0000}"/>
    <cellStyle name="Normal 17 8 3 2 3 3" xfId="34452" xr:uid="{00000000-0005-0000-0000-00007C5A0000}"/>
    <cellStyle name="Normal 17 8 3 2 3 4" xfId="24883" xr:uid="{00000000-0005-0000-0000-00007D5A0000}"/>
    <cellStyle name="Normal 17 8 3 2 4" xfId="6206" xr:uid="{00000000-0005-0000-0000-00007E5A0000}"/>
    <cellStyle name="Normal 17 8 3 2 4 2" xfId="54047" xr:uid="{00000000-0005-0000-0000-00007F5A0000}"/>
    <cellStyle name="Normal 17 8 3 2 4 3" xfId="37947" xr:uid="{00000000-0005-0000-0000-0000805A0000}"/>
    <cellStyle name="Normal 17 8 3 2 4 4" xfId="18811" xr:uid="{00000000-0005-0000-0000-0000815A0000}"/>
    <cellStyle name="Normal 17 8 3 2 5" xfId="44480" xr:uid="{00000000-0005-0000-0000-0000825A0000}"/>
    <cellStyle name="Normal 17 8 3 2 6" xfId="28380" xr:uid="{00000000-0005-0000-0000-0000835A0000}"/>
    <cellStyle name="Normal 17 8 3 2 7" xfId="15316" xr:uid="{00000000-0005-0000-0000-0000845A0000}"/>
    <cellStyle name="Normal 17 8 3 3" xfId="1692" xr:uid="{00000000-0005-0000-0000-0000855A0000}"/>
    <cellStyle name="Normal 17 8 3 3 2" xfId="8226" xr:uid="{00000000-0005-0000-0000-0000865A0000}"/>
    <cellStyle name="Normal 17 8 3 3 2 2" xfId="39967" xr:uid="{00000000-0005-0000-0000-0000875A0000}"/>
    <cellStyle name="Normal 17 8 3 3 2 2 2" xfId="56067" xr:uid="{00000000-0005-0000-0000-0000885A0000}"/>
    <cellStyle name="Normal 17 8 3 3 2 3" xfId="46500" xr:uid="{00000000-0005-0000-0000-0000895A0000}"/>
    <cellStyle name="Normal 17 8 3 3 2 4" xfId="30400" xr:uid="{00000000-0005-0000-0000-00008A5A0000}"/>
    <cellStyle name="Normal 17 8 3 3 2 5" xfId="20831" xr:uid="{00000000-0005-0000-0000-00008B5A0000}"/>
    <cellStyle name="Normal 17 8 3 3 3" xfId="11262" xr:uid="{00000000-0005-0000-0000-00008C5A0000}"/>
    <cellStyle name="Normal 17 8 3 3 3 2" xfId="49536" xr:uid="{00000000-0005-0000-0000-00008D5A0000}"/>
    <cellStyle name="Normal 17 8 3 3 3 3" xfId="33436" xr:uid="{00000000-0005-0000-0000-00008E5A0000}"/>
    <cellStyle name="Normal 17 8 3 3 3 4" xfId="23867" xr:uid="{00000000-0005-0000-0000-00008F5A0000}"/>
    <cellStyle name="Normal 17 8 3 3 4" xfId="5190" xr:uid="{00000000-0005-0000-0000-0000905A0000}"/>
    <cellStyle name="Normal 17 8 3 3 4 2" xfId="53031" xr:uid="{00000000-0005-0000-0000-0000915A0000}"/>
    <cellStyle name="Normal 17 8 3 3 4 3" xfId="36931" xr:uid="{00000000-0005-0000-0000-0000925A0000}"/>
    <cellStyle name="Normal 17 8 3 3 4 4" xfId="17795" xr:uid="{00000000-0005-0000-0000-0000935A0000}"/>
    <cellStyle name="Normal 17 8 3 3 5" xfId="43464" xr:uid="{00000000-0005-0000-0000-0000945A0000}"/>
    <cellStyle name="Normal 17 8 3 3 6" xfId="27364" xr:uid="{00000000-0005-0000-0000-0000955A0000}"/>
    <cellStyle name="Normal 17 8 3 3 7" xfId="14300" xr:uid="{00000000-0005-0000-0000-0000965A0000}"/>
    <cellStyle name="Normal 17 8 3 4" xfId="7216" xr:uid="{00000000-0005-0000-0000-0000975A0000}"/>
    <cellStyle name="Normal 17 8 3 4 2" xfId="38957" xr:uid="{00000000-0005-0000-0000-0000985A0000}"/>
    <cellStyle name="Normal 17 8 3 4 2 2" xfId="55057" xr:uid="{00000000-0005-0000-0000-0000995A0000}"/>
    <cellStyle name="Normal 17 8 3 4 3" xfId="45490" xr:uid="{00000000-0005-0000-0000-00009A5A0000}"/>
    <cellStyle name="Normal 17 8 3 4 4" xfId="29390" xr:uid="{00000000-0005-0000-0000-00009B5A0000}"/>
    <cellStyle name="Normal 17 8 3 4 5" xfId="19821" xr:uid="{00000000-0005-0000-0000-00009C5A0000}"/>
    <cellStyle name="Normal 17 8 3 5" xfId="10252" xr:uid="{00000000-0005-0000-0000-00009D5A0000}"/>
    <cellStyle name="Normal 17 8 3 5 2" xfId="48526" xr:uid="{00000000-0005-0000-0000-00009E5A0000}"/>
    <cellStyle name="Normal 17 8 3 5 3" xfId="32426" xr:uid="{00000000-0005-0000-0000-00009F5A0000}"/>
    <cellStyle name="Normal 17 8 3 5 4" xfId="22857" xr:uid="{00000000-0005-0000-0000-0000A05A0000}"/>
    <cellStyle name="Normal 17 8 3 6" xfId="4180" xr:uid="{00000000-0005-0000-0000-0000A15A0000}"/>
    <cellStyle name="Normal 17 8 3 6 2" xfId="52021" xr:uid="{00000000-0005-0000-0000-0000A25A0000}"/>
    <cellStyle name="Normal 17 8 3 6 3" xfId="35921" xr:uid="{00000000-0005-0000-0000-0000A35A0000}"/>
    <cellStyle name="Normal 17 8 3 6 4" xfId="16785" xr:uid="{00000000-0005-0000-0000-0000A45A0000}"/>
    <cellStyle name="Normal 17 8 3 7" xfId="42454" xr:uid="{00000000-0005-0000-0000-0000A55A0000}"/>
    <cellStyle name="Normal 17 8 3 8" xfId="26354" xr:uid="{00000000-0005-0000-0000-0000A65A0000}"/>
    <cellStyle name="Normal 17 8 3 9" xfId="13290" xr:uid="{00000000-0005-0000-0000-0000A75A0000}"/>
    <cellStyle name="Normal 17 8 4" xfId="2482" xr:uid="{00000000-0005-0000-0000-0000A85A0000}"/>
    <cellStyle name="Normal 17 8 4 2" xfId="9014" xr:uid="{00000000-0005-0000-0000-0000A95A0000}"/>
    <cellStyle name="Normal 17 8 4 2 2" xfId="40755" xr:uid="{00000000-0005-0000-0000-0000AA5A0000}"/>
    <cellStyle name="Normal 17 8 4 2 2 2" xfId="56855" xr:uid="{00000000-0005-0000-0000-0000AB5A0000}"/>
    <cellStyle name="Normal 17 8 4 2 3" xfId="47288" xr:uid="{00000000-0005-0000-0000-0000AC5A0000}"/>
    <cellStyle name="Normal 17 8 4 2 4" xfId="31188" xr:uid="{00000000-0005-0000-0000-0000AD5A0000}"/>
    <cellStyle name="Normal 17 8 4 2 5" xfId="21619" xr:uid="{00000000-0005-0000-0000-0000AE5A0000}"/>
    <cellStyle name="Normal 17 8 4 3" xfId="12050" xr:uid="{00000000-0005-0000-0000-0000AF5A0000}"/>
    <cellStyle name="Normal 17 8 4 3 2" xfId="50324" xr:uid="{00000000-0005-0000-0000-0000B05A0000}"/>
    <cellStyle name="Normal 17 8 4 3 3" xfId="34224" xr:uid="{00000000-0005-0000-0000-0000B15A0000}"/>
    <cellStyle name="Normal 17 8 4 3 4" xfId="24655" xr:uid="{00000000-0005-0000-0000-0000B25A0000}"/>
    <cellStyle name="Normal 17 8 4 4" xfId="5978" xr:uid="{00000000-0005-0000-0000-0000B35A0000}"/>
    <cellStyle name="Normal 17 8 4 4 2" xfId="53819" xr:uid="{00000000-0005-0000-0000-0000B45A0000}"/>
    <cellStyle name="Normal 17 8 4 4 3" xfId="37719" xr:uid="{00000000-0005-0000-0000-0000B55A0000}"/>
    <cellStyle name="Normal 17 8 4 4 4" xfId="18583" xr:uid="{00000000-0005-0000-0000-0000B65A0000}"/>
    <cellStyle name="Normal 17 8 4 5" xfId="44252" xr:uid="{00000000-0005-0000-0000-0000B75A0000}"/>
    <cellStyle name="Normal 17 8 4 6" xfId="28152" xr:uid="{00000000-0005-0000-0000-0000B85A0000}"/>
    <cellStyle name="Normal 17 8 4 7" xfId="15088" xr:uid="{00000000-0005-0000-0000-0000B95A0000}"/>
    <cellStyle name="Normal 17 8 5" xfId="1231" xr:uid="{00000000-0005-0000-0000-0000BA5A0000}"/>
    <cellStyle name="Normal 17 8 5 2" xfId="7765" xr:uid="{00000000-0005-0000-0000-0000BB5A0000}"/>
    <cellStyle name="Normal 17 8 5 2 2" xfId="39506" xr:uid="{00000000-0005-0000-0000-0000BC5A0000}"/>
    <cellStyle name="Normal 17 8 5 2 2 2" xfId="55606" xr:uid="{00000000-0005-0000-0000-0000BD5A0000}"/>
    <cellStyle name="Normal 17 8 5 2 3" xfId="46039" xr:uid="{00000000-0005-0000-0000-0000BE5A0000}"/>
    <cellStyle name="Normal 17 8 5 2 4" xfId="29939" xr:uid="{00000000-0005-0000-0000-0000BF5A0000}"/>
    <cellStyle name="Normal 17 8 5 2 5" xfId="20370" xr:uid="{00000000-0005-0000-0000-0000C05A0000}"/>
    <cellStyle name="Normal 17 8 5 3" xfId="10801" xr:uid="{00000000-0005-0000-0000-0000C15A0000}"/>
    <cellStyle name="Normal 17 8 5 3 2" xfId="49075" xr:uid="{00000000-0005-0000-0000-0000C25A0000}"/>
    <cellStyle name="Normal 17 8 5 3 3" xfId="32975" xr:uid="{00000000-0005-0000-0000-0000C35A0000}"/>
    <cellStyle name="Normal 17 8 5 3 4" xfId="23406" xr:uid="{00000000-0005-0000-0000-0000C45A0000}"/>
    <cellStyle name="Normal 17 8 5 4" xfId="4729" xr:uid="{00000000-0005-0000-0000-0000C55A0000}"/>
    <cellStyle name="Normal 17 8 5 4 2" xfId="52570" xr:uid="{00000000-0005-0000-0000-0000C65A0000}"/>
    <cellStyle name="Normal 17 8 5 4 3" xfId="36470" xr:uid="{00000000-0005-0000-0000-0000C75A0000}"/>
    <cellStyle name="Normal 17 8 5 4 4" xfId="17334" xr:uid="{00000000-0005-0000-0000-0000C85A0000}"/>
    <cellStyle name="Normal 17 8 5 5" xfId="43003" xr:uid="{00000000-0005-0000-0000-0000C95A0000}"/>
    <cellStyle name="Normal 17 8 5 6" xfId="26903" xr:uid="{00000000-0005-0000-0000-0000CA5A0000}"/>
    <cellStyle name="Normal 17 8 5 7" xfId="13839" xr:uid="{00000000-0005-0000-0000-0000CB5A0000}"/>
    <cellStyle name="Normal 17 8 6" xfId="3719" xr:uid="{00000000-0005-0000-0000-0000CC5A0000}"/>
    <cellStyle name="Normal 17 8 6 2" xfId="35460" xr:uid="{00000000-0005-0000-0000-0000CD5A0000}"/>
    <cellStyle name="Normal 17 8 6 2 2" xfId="51560" xr:uid="{00000000-0005-0000-0000-0000CE5A0000}"/>
    <cellStyle name="Normal 17 8 6 3" xfId="41993" xr:uid="{00000000-0005-0000-0000-0000CF5A0000}"/>
    <cellStyle name="Normal 17 8 6 4" xfId="25893" xr:uid="{00000000-0005-0000-0000-0000D05A0000}"/>
    <cellStyle name="Normal 17 8 6 5" xfId="16324" xr:uid="{00000000-0005-0000-0000-0000D15A0000}"/>
    <cellStyle name="Normal 17 8 7" xfId="6755" xr:uid="{00000000-0005-0000-0000-0000D25A0000}"/>
    <cellStyle name="Normal 17 8 7 2" xfId="38496" xr:uid="{00000000-0005-0000-0000-0000D35A0000}"/>
    <cellStyle name="Normal 17 8 7 2 2" xfId="54596" xr:uid="{00000000-0005-0000-0000-0000D45A0000}"/>
    <cellStyle name="Normal 17 8 7 3" xfId="45029" xr:uid="{00000000-0005-0000-0000-0000D55A0000}"/>
    <cellStyle name="Normal 17 8 7 4" xfId="28929" xr:uid="{00000000-0005-0000-0000-0000D65A0000}"/>
    <cellStyle name="Normal 17 8 7 5" xfId="19360" xr:uid="{00000000-0005-0000-0000-0000D75A0000}"/>
    <cellStyle name="Normal 17 8 8" xfId="9791" xr:uid="{00000000-0005-0000-0000-0000D85A0000}"/>
    <cellStyle name="Normal 17 8 8 2" xfId="48065" xr:uid="{00000000-0005-0000-0000-0000D95A0000}"/>
    <cellStyle name="Normal 17 8 8 3" xfId="31965" xr:uid="{00000000-0005-0000-0000-0000DA5A0000}"/>
    <cellStyle name="Normal 17 8 8 4" xfId="22396" xr:uid="{00000000-0005-0000-0000-0000DB5A0000}"/>
    <cellStyle name="Normal 17 8 9" xfId="3259" xr:uid="{00000000-0005-0000-0000-0000DC5A0000}"/>
    <cellStyle name="Normal 17 8 9 2" xfId="51101" xr:uid="{00000000-0005-0000-0000-0000DD5A0000}"/>
    <cellStyle name="Normal 17 8 9 3" xfId="35001" xr:uid="{00000000-0005-0000-0000-0000DE5A0000}"/>
    <cellStyle name="Normal 17 8 9 4" xfId="15865" xr:uid="{00000000-0005-0000-0000-0000DF5A0000}"/>
    <cellStyle name="Normal 17 9" xfId="468" xr:uid="{00000000-0005-0000-0000-0000E05A0000}"/>
    <cellStyle name="Normal 17 9 10" xfId="41551" xr:uid="{00000000-0005-0000-0000-0000E15A0000}"/>
    <cellStyle name="Normal 17 9 11" xfId="25451" xr:uid="{00000000-0005-0000-0000-0000E25A0000}"/>
    <cellStyle name="Normal 17 9 12" xfId="12846" xr:uid="{00000000-0005-0000-0000-0000E35A0000}"/>
    <cellStyle name="Normal 17 9 2" xfId="921" xr:uid="{00000000-0005-0000-0000-0000E45A0000}"/>
    <cellStyle name="Normal 17 9 2 10" xfId="13529" xr:uid="{00000000-0005-0000-0000-0000E55A0000}"/>
    <cellStyle name="Normal 17 9 2 2" xfId="2949" xr:uid="{00000000-0005-0000-0000-0000E65A0000}"/>
    <cellStyle name="Normal 17 9 2 2 2" xfId="9481" xr:uid="{00000000-0005-0000-0000-0000E75A0000}"/>
    <cellStyle name="Normal 17 9 2 2 2 2" xfId="41222" xr:uid="{00000000-0005-0000-0000-0000E85A0000}"/>
    <cellStyle name="Normal 17 9 2 2 2 2 2" xfId="57322" xr:uid="{00000000-0005-0000-0000-0000E95A0000}"/>
    <cellStyle name="Normal 17 9 2 2 2 3" xfId="47755" xr:uid="{00000000-0005-0000-0000-0000EA5A0000}"/>
    <cellStyle name="Normal 17 9 2 2 2 4" xfId="31655" xr:uid="{00000000-0005-0000-0000-0000EB5A0000}"/>
    <cellStyle name="Normal 17 9 2 2 2 5" xfId="22086" xr:uid="{00000000-0005-0000-0000-0000EC5A0000}"/>
    <cellStyle name="Normal 17 9 2 2 3" xfId="12517" xr:uid="{00000000-0005-0000-0000-0000ED5A0000}"/>
    <cellStyle name="Normal 17 9 2 2 3 2" xfId="50791" xr:uid="{00000000-0005-0000-0000-0000EE5A0000}"/>
    <cellStyle name="Normal 17 9 2 2 3 3" xfId="34691" xr:uid="{00000000-0005-0000-0000-0000EF5A0000}"/>
    <cellStyle name="Normal 17 9 2 2 3 4" xfId="25122" xr:uid="{00000000-0005-0000-0000-0000F05A0000}"/>
    <cellStyle name="Normal 17 9 2 2 4" xfId="6445" xr:uid="{00000000-0005-0000-0000-0000F15A0000}"/>
    <cellStyle name="Normal 17 9 2 2 4 2" xfId="54286" xr:uid="{00000000-0005-0000-0000-0000F25A0000}"/>
    <cellStyle name="Normal 17 9 2 2 4 3" xfId="38186" xr:uid="{00000000-0005-0000-0000-0000F35A0000}"/>
    <cellStyle name="Normal 17 9 2 2 4 4" xfId="19050" xr:uid="{00000000-0005-0000-0000-0000F45A0000}"/>
    <cellStyle name="Normal 17 9 2 2 5" xfId="44719" xr:uid="{00000000-0005-0000-0000-0000F55A0000}"/>
    <cellStyle name="Normal 17 9 2 2 6" xfId="28619" xr:uid="{00000000-0005-0000-0000-0000F65A0000}"/>
    <cellStyle name="Normal 17 9 2 2 7" xfId="15555" xr:uid="{00000000-0005-0000-0000-0000F75A0000}"/>
    <cellStyle name="Normal 17 9 2 3" xfId="1931" xr:uid="{00000000-0005-0000-0000-0000F85A0000}"/>
    <cellStyle name="Normal 17 9 2 3 2" xfId="8465" xr:uid="{00000000-0005-0000-0000-0000F95A0000}"/>
    <cellStyle name="Normal 17 9 2 3 2 2" xfId="40206" xr:uid="{00000000-0005-0000-0000-0000FA5A0000}"/>
    <cellStyle name="Normal 17 9 2 3 2 2 2" xfId="56306" xr:uid="{00000000-0005-0000-0000-0000FB5A0000}"/>
    <cellStyle name="Normal 17 9 2 3 2 3" xfId="46739" xr:uid="{00000000-0005-0000-0000-0000FC5A0000}"/>
    <cellStyle name="Normal 17 9 2 3 2 4" xfId="30639" xr:uid="{00000000-0005-0000-0000-0000FD5A0000}"/>
    <cellStyle name="Normal 17 9 2 3 2 5" xfId="21070" xr:uid="{00000000-0005-0000-0000-0000FE5A0000}"/>
    <cellStyle name="Normal 17 9 2 3 3" xfId="11501" xr:uid="{00000000-0005-0000-0000-0000FF5A0000}"/>
    <cellStyle name="Normal 17 9 2 3 3 2" xfId="49775" xr:uid="{00000000-0005-0000-0000-0000005B0000}"/>
    <cellStyle name="Normal 17 9 2 3 3 3" xfId="33675" xr:uid="{00000000-0005-0000-0000-0000015B0000}"/>
    <cellStyle name="Normal 17 9 2 3 3 4" xfId="24106" xr:uid="{00000000-0005-0000-0000-0000025B0000}"/>
    <cellStyle name="Normal 17 9 2 3 4" xfId="5429" xr:uid="{00000000-0005-0000-0000-0000035B0000}"/>
    <cellStyle name="Normal 17 9 2 3 4 2" xfId="53270" xr:uid="{00000000-0005-0000-0000-0000045B0000}"/>
    <cellStyle name="Normal 17 9 2 3 4 3" xfId="37170" xr:uid="{00000000-0005-0000-0000-0000055B0000}"/>
    <cellStyle name="Normal 17 9 2 3 4 4" xfId="18034" xr:uid="{00000000-0005-0000-0000-0000065B0000}"/>
    <cellStyle name="Normal 17 9 2 3 5" xfId="43703" xr:uid="{00000000-0005-0000-0000-0000075B0000}"/>
    <cellStyle name="Normal 17 9 2 3 6" xfId="27603" xr:uid="{00000000-0005-0000-0000-0000085B0000}"/>
    <cellStyle name="Normal 17 9 2 3 7" xfId="14539" xr:uid="{00000000-0005-0000-0000-0000095B0000}"/>
    <cellStyle name="Normal 17 9 2 4" xfId="4419" xr:uid="{00000000-0005-0000-0000-00000A5B0000}"/>
    <cellStyle name="Normal 17 9 2 4 2" xfId="36160" xr:uid="{00000000-0005-0000-0000-00000B5B0000}"/>
    <cellStyle name="Normal 17 9 2 4 2 2" xfId="52260" xr:uid="{00000000-0005-0000-0000-00000C5B0000}"/>
    <cellStyle name="Normal 17 9 2 4 3" xfId="42693" xr:uid="{00000000-0005-0000-0000-00000D5B0000}"/>
    <cellStyle name="Normal 17 9 2 4 4" xfId="26593" xr:uid="{00000000-0005-0000-0000-00000E5B0000}"/>
    <cellStyle name="Normal 17 9 2 4 5" xfId="17024" xr:uid="{00000000-0005-0000-0000-00000F5B0000}"/>
    <cellStyle name="Normal 17 9 2 5" xfId="7455" xr:uid="{00000000-0005-0000-0000-0000105B0000}"/>
    <cellStyle name="Normal 17 9 2 5 2" xfId="39196" xr:uid="{00000000-0005-0000-0000-0000115B0000}"/>
    <cellStyle name="Normal 17 9 2 5 2 2" xfId="55296" xr:uid="{00000000-0005-0000-0000-0000125B0000}"/>
    <cellStyle name="Normal 17 9 2 5 3" xfId="45729" xr:uid="{00000000-0005-0000-0000-0000135B0000}"/>
    <cellStyle name="Normal 17 9 2 5 4" xfId="29629" xr:uid="{00000000-0005-0000-0000-0000145B0000}"/>
    <cellStyle name="Normal 17 9 2 5 5" xfId="20060" xr:uid="{00000000-0005-0000-0000-0000155B0000}"/>
    <cellStyle name="Normal 17 9 2 6" xfId="10491" xr:uid="{00000000-0005-0000-0000-0000165B0000}"/>
    <cellStyle name="Normal 17 9 2 6 2" xfId="48765" xr:uid="{00000000-0005-0000-0000-0000175B0000}"/>
    <cellStyle name="Normal 17 9 2 6 3" xfId="32665" xr:uid="{00000000-0005-0000-0000-0000185B0000}"/>
    <cellStyle name="Normal 17 9 2 6 4" xfId="23096" xr:uid="{00000000-0005-0000-0000-0000195B0000}"/>
    <cellStyle name="Normal 17 9 2 7" xfId="3514" xr:uid="{00000000-0005-0000-0000-00001A5B0000}"/>
    <cellStyle name="Normal 17 9 2 7 2" xfId="51355" xr:uid="{00000000-0005-0000-0000-00001B5B0000}"/>
    <cellStyle name="Normal 17 9 2 7 3" xfId="35255" xr:uid="{00000000-0005-0000-0000-00001C5B0000}"/>
    <cellStyle name="Normal 17 9 2 7 4" xfId="16119" xr:uid="{00000000-0005-0000-0000-00001D5B0000}"/>
    <cellStyle name="Normal 17 9 2 8" xfId="41788" xr:uid="{00000000-0005-0000-0000-00001E5B0000}"/>
    <cellStyle name="Normal 17 9 2 9" xfId="25688" xr:uid="{00000000-0005-0000-0000-00001F5B0000}"/>
    <cellStyle name="Normal 17 9 3" xfId="699" xr:uid="{00000000-0005-0000-0000-0000205B0000}"/>
    <cellStyle name="Normal 17 9 3 2" xfId="2727" xr:uid="{00000000-0005-0000-0000-0000215B0000}"/>
    <cellStyle name="Normal 17 9 3 2 2" xfId="9259" xr:uid="{00000000-0005-0000-0000-0000225B0000}"/>
    <cellStyle name="Normal 17 9 3 2 2 2" xfId="41000" xr:uid="{00000000-0005-0000-0000-0000235B0000}"/>
    <cellStyle name="Normal 17 9 3 2 2 2 2" xfId="57100" xr:uid="{00000000-0005-0000-0000-0000245B0000}"/>
    <cellStyle name="Normal 17 9 3 2 2 3" xfId="47533" xr:uid="{00000000-0005-0000-0000-0000255B0000}"/>
    <cellStyle name="Normal 17 9 3 2 2 4" xfId="31433" xr:uid="{00000000-0005-0000-0000-0000265B0000}"/>
    <cellStyle name="Normal 17 9 3 2 2 5" xfId="21864" xr:uid="{00000000-0005-0000-0000-0000275B0000}"/>
    <cellStyle name="Normal 17 9 3 2 3" xfId="12295" xr:uid="{00000000-0005-0000-0000-0000285B0000}"/>
    <cellStyle name="Normal 17 9 3 2 3 2" xfId="50569" xr:uid="{00000000-0005-0000-0000-0000295B0000}"/>
    <cellStyle name="Normal 17 9 3 2 3 3" xfId="34469" xr:uid="{00000000-0005-0000-0000-00002A5B0000}"/>
    <cellStyle name="Normal 17 9 3 2 3 4" xfId="24900" xr:uid="{00000000-0005-0000-0000-00002B5B0000}"/>
    <cellStyle name="Normal 17 9 3 2 4" xfId="6223" xr:uid="{00000000-0005-0000-0000-00002C5B0000}"/>
    <cellStyle name="Normal 17 9 3 2 4 2" xfId="54064" xr:uid="{00000000-0005-0000-0000-00002D5B0000}"/>
    <cellStyle name="Normal 17 9 3 2 4 3" xfId="37964" xr:uid="{00000000-0005-0000-0000-00002E5B0000}"/>
    <cellStyle name="Normal 17 9 3 2 4 4" xfId="18828" xr:uid="{00000000-0005-0000-0000-00002F5B0000}"/>
    <cellStyle name="Normal 17 9 3 2 5" xfId="44497" xr:uid="{00000000-0005-0000-0000-0000305B0000}"/>
    <cellStyle name="Normal 17 9 3 2 6" xfId="28397" xr:uid="{00000000-0005-0000-0000-0000315B0000}"/>
    <cellStyle name="Normal 17 9 3 2 7" xfId="15333" xr:uid="{00000000-0005-0000-0000-0000325B0000}"/>
    <cellStyle name="Normal 17 9 3 3" xfId="1709" xr:uid="{00000000-0005-0000-0000-0000335B0000}"/>
    <cellStyle name="Normal 17 9 3 3 2" xfId="8243" xr:uid="{00000000-0005-0000-0000-0000345B0000}"/>
    <cellStyle name="Normal 17 9 3 3 2 2" xfId="39984" xr:uid="{00000000-0005-0000-0000-0000355B0000}"/>
    <cellStyle name="Normal 17 9 3 3 2 2 2" xfId="56084" xr:uid="{00000000-0005-0000-0000-0000365B0000}"/>
    <cellStyle name="Normal 17 9 3 3 2 3" xfId="46517" xr:uid="{00000000-0005-0000-0000-0000375B0000}"/>
    <cellStyle name="Normal 17 9 3 3 2 4" xfId="30417" xr:uid="{00000000-0005-0000-0000-0000385B0000}"/>
    <cellStyle name="Normal 17 9 3 3 2 5" xfId="20848" xr:uid="{00000000-0005-0000-0000-0000395B0000}"/>
    <cellStyle name="Normal 17 9 3 3 3" xfId="11279" xr:uid="{00000000-0005-0000-0000-00003A5B0000}"/>
    <cellStyle name="Normal 17 9 3 3 3 2" xfId="49553" xr:uid="{00000000-0005-0000-0000-00003B5B0000}"/>
    <cellStyle name="Normal 17 9 3 3 3 3" xfId="33453" xr:uid="{00000000-0005-0000-0000-00003C5B0000}"/>
    <cellStyle name="Normal 17 9 3 3 3 4" xfId="23884" xr:uid="{00000000-0005-0000-0000-00003D5B0000}"/>
    <cellStyle name="Normal 17 9 3 3 4" xfId="5207" xr:uid="{00000000-0005-0000-0000-00003E5B0000}"/>
    <cellStyle name="Normal 17 9 3 3 4 2" xfId="53048" xr:uid="{00000000-0005-0000-0000-00003F5B0000}"/>
    <cellStyle name="Normal 17 9 3 3 4 3" xfId="36948" xr:uid="{00000000-0005-0000-0000-0000405B0000}"/>
    <cellStyle name="Normal 17 9 3 3 4 4" xfId="17812" xr:uid="{00000000-0005-0000-0000-0000415B0000}"/>
    <cellStyle name="Normal 17 9 3 3 5" xfId="43481" xr:uid="{00000000-0005-0000-0000-0000425B0000}"/>
    <cellStyle name="Normal 17 9 3 3 6" xfId="27381" xr:uid="{00000000-0005-0000-0000-0000435B0000}"/>
    <cellStyle name="Normal 17 9 3 3 7" xfId="14317" xr:uid="{00000000-0005-0000-0000-0000445B0000}"/>
    <cellStyle name="Normal 17 9 3 4" xfId="7233" xr:uid="{00000000-0005-0000-0000-0000455B0000}"/>
    <cellStyle name="Normal 17 9 3 4 2" xfId="38974" xr:uid="{00000000-0005-0000-0000-0000465B0000}"/>
    <cellStyle name="Normal 17 9 3 4 2 2" xfId="55074" xr:uid="{00000000-0005-0000-0000-0000475B0000}"/>
    <cellStyle name="Normal 17 9 3 4 3" xfId="45507" xr:uid="{00000000-0005-0000-0000-0000485B0000}"/>
    <cellStyle name="Normal 17 9 3 4 4" xfId="29407" xr:uid="{00000000-0005-0000-0000-0000495B0000}"/>
    <cellStyle name="Normal 17 9 3 4 5" xfId="19838" xr:uid="{00000000-0005-0000-0000-00004A5B0000}"/>
    <cellStyle name="Normal 17 9 3 5" xfId="10269" xr:uid="{00000000-0005-0000-0000-00004B5B0000}"/>
    <cellStyle name="Normal 17 9 3 5 2" xfId="48543" xr:uid="{00000000-0005-0000-0000-00004C5B0000}"/>
    <cellStyle name="Normal 17 9 3 5 3" xfId="32443" xr:uid="{00000000-0005-0000-0000-00004D5B0000}"/>
    <cellStyle name="Normal 17 9 3 5 4" xfId="22874" xr:uid="{00000000-0005-0000-0000-00004E5B0000}"/>
    <cellStyle name="Normal 17 9 3 6" xfId="4197" xr:uid="{00000000-0005-0000-0000-00004F5B0000}"/>
    <cellStyle name="Normal 17 9 3 6 2" xfId="52038" xr:uid="{00000000-0005-0000-0000-0000505B0000}"/>
    <cellStyle name="Normal 17 9 3 6 3" xfId="35938" xr:uid="{00000000-0005-0000-0000-0000515B0000}"/>
    <cellStyle name="Normal 17 9 3 6 4" xfId="16802" xr:uid="{00000000-0005-0000-0000-0000525B0000}"/>
    <cellStyle name="Normal 17 9 3 7" xfId="42471" xr:uid="{00000000-0005-0000-0000-0000535B0000}"/>
    <cellStyle name="Normal 17 9 3 8" xfId="26371" xr:uid="{00000000-0005-0000-0000-0000545B0000}"/>
    <cellStyle name="Normal 17 9 3 9" xfId="13307" xr:uid="{00000000-0005-0000-0000-0000555B0000}"/>
    <cellStyle name="Normal 17 9 4" xfId="2499" xr:uid="{00000000-0005-0000-0000-0000565B0000}"/>
    <cellStyle name="Normal 17 9 4 2" xfId="9031" xr:uid="{00000000-0005-0000-0000-0000575B0000}"/>
    <cellStyle name="Normal 17 9 4 2 2" xfId="40772" xr:uid="{00000000-0005-0000-0000-0000585B0000}"/>
    <cellStyle name="Normal 17 9 4 2 2 2" xfId="56872" xr:uid="{00000000-0005-0000-0000-0000595B0000}"/>
    <cellStyle name="Normal 17 9 4 2 3" xfId="47305" xr:uid="{00000000-0005-0000-0000-00005A5B0000}"/>
    <cellStyle name="Normal 17 9 4 2 4" xfId="31205" xr:uid="{00000000-0005-0000-0000-00005B5B0000}"/>
    <cellStyle name="Normal 17 9 4 2 5" xfId="21636" xr:uid="{00000000-0005-0000-0000-00005C5B0000}"/>
    <cellStyle name="Normal 17 9 4 3" xfId="12067" xr:uid="{00000000-0005-0000-0000-00005D5B0000}"/>
    <cellStyle name="Normal 17 9 4 3 2" xfId="50341" xr:uid="{00000000-0005-0000-0000-00005E5B0000}"/>
    <cellStyle name="Normal 17 9 4 3 3" xfId="34241" xr:uid="{00000000-0005-0000-0000-00005F5B0000}"/>
    <cellStyle name="Normal 17 9 4 3 4" xfId="24672" xr:uid="{00000000-0005-0000-0000-0000605B0000}"/>
    <cellStyle name="Normal 17 9 4 4" xfId="5995" xr:uid="{00000000-0005-0000-0000-0000615B0000}"/>
    <cellStyle name="Normal 17 9 4 4 2" xfId="53836" xr:uid="{00000000-0005-0000-0000-0000625B0000}"/>
    <cellStyle name="Normal 17 9 4 4 3" xfId="37736" xr:uid="{00000000-0005-0000-0000-0000635B0000}"/>
    <cellStyle name="Normal 17 9 4 4 4" xfId="18600" xr:uid="{00000000-0005-0000-0000-0000645B0000}"/>
    <cellStyle name="Normal 17 9 4 5" xfId="44269" xr:uid="{00000000-0005-0000-0000-0000655B0000}"/>
    <cellStyle name="Normal 17 9 4 6" xfId="28169" xr:uid="{00000000-0005-0000-0000-0000665B0000}"/>
    <cellStyle name="Normal 17 9 4 7" xfId="15105" xr:uid="{00000000-0005-0000-0000-0000675B0000}"/>
    <cellStyle name="Normal 17 9 5" xfId="1248" xr:uid="{00000000-0005-0000-0000-0000685B0000}"/>
    <cellStyle name="Normal 17 9 5 2" xfId="7782" xr:uid="{00000000-0005-0000-0000-0000695B0000}"/>
    <cellStyle name="Normal 17 9 5 2 2" xfId="39523" xr:uid="{00000000-0005-0000-0000-00006A5B0000}"/>
    <cellStyle name="Normal 17 9 5 2 2 2" xfId="55623" xr:uid="{00000000-0005-0000-0000-00006B5B0000}"/>
    <cellStyle name="Normal 17 9 5 2 3" xfId="46056" xr:uid="{00000000-0005-0000-0000-00006C5B0000}"/>
    <cellStyle name="Normal 17 9 5 2 4" xfId="29956" xr:uid="{00000000-0005-0000-0000-00006D5B0000}"/>
    <cellStyle name="Normal 17 9 5 2 5" xfId="20387" xr:uid="{00000000-0005-0000-0000-00006E5B0000}"/>
    <cellStyle name="Normal 17 9 5 3" xfId="10818" xr:uid="{00000000-0005-0000-0000-00006F5B0000}"/>
    <cellStyle name="Normal 17 9 5 3 2" xfId="49092" xr:uid="{00000000-0005-0000-0000-0000705B0000}"/>
    <cellStyle name="Normal 17 9 5 3 3" xfId="32992" xr:uid="{00000000-0005-0000-0000-0000715B0000}"/>
    <cellStyle name="Normal 17 9 5 3 4" xfId="23423" xr:uid="{00000000-0005-0000-0000-0000725B0000}"/>
    <cellStyle name="Normal 17 9 5 4" xfId="4746" xr:uid="{00000000-0005-0000-0000-0000735B0000}"/>
    <cellStyle name="Normal 17 9 5 4 2" xfId="52587" xr:uid="{00000000-0005-0000-0000-0000745B0000}"/>
    <cellStyle name="Normal 17 9 5 4 3" xfId="36487" xr:uid="{00000000-0005-0000-0000-0000755B0000}"/>
    <cellStyle name="Normal 17 9 5 4 4" xfId="17351" xr:uid="{00000000-0005-0000-0000-0000765B0000}"/>
    <cellStyle name="Normal 17 9 5 5" xfId="43020" xr:uid="{00000000-0005-0000-0000-0000775B0000}"/>
    <cellStyle name="Normal 17 9 5 6" xfId="26920" xr:uid="{00000000-0005-0000-0000-0000785B0000}"/>
    <cellStyle name="Normal 17 9 5 7" xfId="13856" xr:uid="{00000000-0005-0000-0000-0000795B0000}"/>
    <cellStyle name="Normal 17 9 6" xfId="3736" xr:uid="{00000000-0005-0000-0000-00007A5B0000}"/>
    <cellStyle name="Normal 17 9 6 2" xfId="35477" xr:uid="{00000000-0005-0000-0000-00007B5B0000}"/>
    <cellStyle name="Normal 17 9 6 2 2" xfId="51577" xr:uid="{00000000-0005-0000-0000-00007C5B0000}"/>
    <cellStyle name="Normal 17 9 6 3" xfId="42010" xr:uid="{00000000-0005-0000-0000-00007D5B0000}"/>
    <cellStyle name="Normal 17 9 6 4" xfId="25910" xr:uid="{00000000-0005-0000-0000-00007E5B0000}"/>
    <cellStyle name="Normal 17 9 6 5" xfId="16341" xr:uid="{00000000-0005-0000-0000-00007F5B0000}"/>
    <cellStyle name="Normal 17 9 7" xfId="6772" xr:uid="{00000000-0005-0000-0000-0000805B0000}"/>
    <cellStyle name="Normal 17 9 7 2" xfId="38513" xr:uid="{00000000-0005-0000-0000-0000815B0000}"/>
    <cellStyle name="Normal 17 9 7 2 2" xfId="54613" xr:uid="{00000000-0005-0000-0000-0000825B0000}"/>
    <cellStyle name="Normal 17 9 7 3" xfId="45046" xr:uid="{00000000-0005-0000-0000-0000835B0000}"/>
    <cellStyle name="Normal 17 9 7 4" xfId="28946" xr:uid="{00000000-0005-0000-0000-0000845B0000}"/>
    <cellStyle name="Normal 17 9 7 5" xfId="19377" xr:uid="{00000000-0005-0000-0000-0000855B0000}"/>
    <cellStyle name="Normal 17 9 8" xfId="9808" xr:uid="{00000000-0005-0000-0000-0000865B0000}"/>
    <cellStyle name="Normal 17 9 8 2" xfId="48082" xr:uid="{00000000-0005-0000-0000-0000875B0000}"/>
    <cellStyle name="Normal 17 9 8 3" xfId="31982" xr:uid="{00000000-0005-0000-0000-0000885B0000}"/>
    <cellStyle name="Normal 17 9 8 4" xfId="22413" xr:uid="{00000000-0005-0000-0000-0000895B0000}"/>
    <cellStyle name="Normal 17 9 9" xfId="3276" xr:uid="{00000000-0005-0000-0000-00008A5B0000}"/>
    <cellStyle name="Normal 17 9 9 2" xfId="51118" xr:uid="{00000000-0005-0000-0000-00008B5B0000}"/>
    <cellStyle name="Normal 17 9 9 3" xfId="35018" xr:uid="{00000000-0005-0000-0000-00008C5B0000}"/>
    <cellStyle name="Normal 17 9 9 4" xfId="15882" xr:uid="{00000000-0005-0000-0000-00008D5B0000}"/>
    <cellStyle name="Normal 18" xfId="24" xr:uid="{00000000-0005-0000-0000-00008E5B0000}"/>
    <cellStyle name="Normal 18 10" xfId="486" xr:uid="{00000000-0005-0000-0000-00008F5B0000}"/>
    <cellStyle name="Normal 18 10 10" xfId="41569" xr:uid="{00000000-0005-0000-0000-0000905B0000}"/>
    <cellStyle name="Normal 18 10 11" xfId="25469" xr:uid="{00000000-0005-0000-0000-0000915B0000}"/>
    <cellStyle name="Normal 18 10 12" xfId="12864" xr:uid="{00000000-0005-0000-0000-0000925B0000}"/>
    <cellStyle name="Normal 18 10 2" xfId="939" xr:uid="{00000000-0005-0000-0000-0000935B0000}"/>
    <cellStyle name="Normal 18 10 2 10" xfId="13547" xr:uid="{00000000-0005-0000-0000-0000945B0000}"/>
    <cellStyle name="Normal 18 10 2 2" xfId="2967" xr:uid="{00000000-0005-0000-0000-0000955B0000}"/>
    <cellStyle name="Normal 18 10 2 2 2" xfId="9499" xr:uid="{00000000-0005-0000-0000-0000965B0000}"/>
    <cellStyle name="Normal 18 10 2 2 2 2" xfId="41240" xr:uid="{00000000-0005-0000-0000-0000975B0000}"/>
    <cellStyle name="Normal 18 10 2 2 2 2 2" xfId="57340" xr:uid="{00000000-0005-0000-0000-0000985B0000}"/>
    <cellStyle name="Normal 18 10 2 2 2 3" xfId="47773" xr:uid="{00000000-0005-0000-0000-0000995B0000}"/>
    <cellStyle name="Normal 18 10 2 2 2 4" xfId="31673" xr:uid="{00000000-0005-0000-0000-00009A5B0000}"/>
    <cellStyle name="Normal 18 10 2 2 2 5" xfId="22104" xr:uid="{00000000-0005-0000-0000-00009B5B0000}"/>
    <cellStyle name="Normal 18 10 2 2 3" xfId="12535" xr:uid="{00000000-0005-0000-0000-00009C5B0000}"/>
    <cellStyle name="Normal 18 10 2 2 3 2" xfId="50809" xr:uid="{00000000-0005-0000-0000-00009D5B0000}"/>
    <cellStyle name="Normal 18 10 2 2 3 3" xfId="34709" xr:uid="{00000000-0005-0000-0000-00009E5B0000}"/>
    <cellStyle name="Normal 18 10 2 2 3 4" xfId="25140" xr:uid="{00000000-0005-0000-0000-00009F5B0000}"/>
    <cellStyle name="Normal 18 10 2 2 4" xfId="6463" xr:uid="{00000000-0005-0000-0000-0000A05B0000}"/>
    <cellStyle name="Normal 18 10 2 2 4 2" xfId="54304" xr:uid="{00000000-0005-0000-0000-0000A15B0000}"/>
    <cellStyle name="Normal 18 10 2 2 4 3" xfId="38204" xr:uid="{00000000-0005-0000-0000-0000A25B0000}"/>
    <cellStyle name="Normal 18 10 2 2 4 4" xfId="19068" xr:uid="{00000000-0005-0000-0000-0000A35B0000}"/>
    <cellStyle name="Normal 18 10 2 2 5" xfId="44737" xr:uid="{00000000-0005-0000-0000-0000A45B0000}"/>
    <cellStyle name="Normal 18 10 2 2 6" xfId="28637" xr:uid="{00000000-0005-0000-0000-0000A55B0000}"/>
    <cellStyle name="Normal 18 10 2 2 7" xfId="15573" xr:uid="{00000000-0005-0000-0000-0000A65B0000}"/>
    <cellStyle name="Normal 18 10 2 3" xfId="1949" xr:uid="{00000000-0005-0000-0000-0000A75B0000}"/>
    <cellStyle name="Normal 18 10 2 3 2" xfId="8483" xr:uid="{00000000-0005-0000-0000-0000A85B0000}"/>
    <cellStyle name="Normal 18 10 2 3 2 2" xfId="40224" xr:uid="{00000000-0005-0000-0000-0000A95B0000}"/>
    <cellStyle name="Normal 18 10 2 3 2 2 2" xfId="56324" xr:uid="{00000000-0005-0000-0000-0000AA5B0000}"/>
    <cellStyle name="Normal 18 10 2 3 2 3" xfId="46757" xr:uid="{00000000-0005-0000-0000-0000AB5B0000}"/>
    <cellStyle name="Normal 18 10 2 3 2 4" xfId="30657" xr:uid="{00000000-0005-0000-0000-0000AC5B0000}"/>
    <cellStyle name="Normal 18 10 2 3 2 5" xfId="21088" xr:uid="{00000000-0005-0000-0000-0000AD5B0000}"/>
    <cellStyle name="Normal 18 10 2 3 3" xfId="11519" xr:uid="{00000000-0005-0000-0000-0000AE5B0000}"/>
    <cellStyle name="Normal 18 10 2 3 3 2" xfId="49793" xr:uid="{00000000-0005-0000-0000-0000AF5B0000}"/>
    <cellStyle name="Normal 18 10 2 3 3 3" xfId="33693" xr:uid="{00000000-0005-0000-0000-0000B05B0000}"/>
    <cellStyle name="Normal 18 10 2 3 3 4" xfId="24124" xr:uid="{00000000-0005-0000-0000-0000B15B0000}"/>
    <cellStyle name="Normal 18 10 2 3 4" xfId="5447" xr:uid="{00000000-0005-0000-0000-0000B25B0000}"/>
    <cellStyle name="Normal 18 10 2 3 4 2" xfId="53288" xr:uid="{00000000-0005-0000-0000-0000B35B0000}"/>
    <cellStyle name="Normal 18 10 2 3 4 3" xfId="37188" xr:uid="{00000000-0005-0000-0000-0000B45B0000}"/>
    <cellStyle name="Normal 18 10 2 3 4 4" xfId="18052" xr:uid="{00000000-0005-0000-0000-0000B55B0000}"/>
    <cellStyle name="Normal 18 10 2 3 5" xfId="43721" xr:uid="{00000000-0005-0000-0000-0000B65B0000}"/>
    <cellStyle name="Normal 18 10 2 3 6" xfId="27621" xr:uid="{00000000-0005-0000-0000-0000B75B0000}"/>
    <cellStyle name="Normal 18 10 2 3 7" xfId="14557" xr:uid="{00000000-0005-0000-0000-0000B85B0000}"/>
    <cellStyle name="Normal 18 10 2 4" xfId="4437" xr:uid="{00000000-0005-0000-0000-0000B95B0000}"/>
    <cellStyle name="Normal 18 10 2 4 2" xfId="36178" xr:uid="{00000000-0005-0000-0000-0000BA5B0000}"/>
    <cellStyle name="Normal 18 10 2 4 2 2" xfId="52278" xr:uid="{00000000-0005-0000-0000-0000BB5B0000}"/>
    <cellStyle name="Normal 18 10 2 4 3" xfId="42711" xr:uid="{00000000-0005-0000-0000-0000BC5B0000}"/>
    <cellStyle name="Normal 18 10 2 4 4" xfId="26611" xr:uid="{00000000-0005-0000-0000-0000BD5B0000}"/>
    <cellStyle name="Normal 18 10 2 4 5" xfId="17042" xr:uid="{00000000-0005-0000-0000-0000BE5B0000}"/>
    <cellStyle name="Normal 18 10 2 5" xfId="7473" xr:uid="{00000000-0005-0000-0000-0000BF5B0000}"/>
    <cellStyle name="Normal 18 10 2 5 2" xfId="39214" xr:uid="{00000000-0005-0000-0000-0000C05B0000}"/>
    <cellStyle name="Normal 18 10 2 5 2 2" xfId="55314" xr:uid="{00000000-0005-0000-0000-0000C15B0000}"/>
    <cellStyle name="Normal 18 10 2 5 3" xfId="45747" xr:uid="{00000000-0005-0000-0000-0000C25B0000}"/>
    <cellStyle name="Normal 18 10 2 5 4" xfId="29647" xr:uid="{00000000-0005-0000-0000-0000C35B0000}"/>
    <cellStyle name="Normal 18 10 2 5 5" xfId="20078" xr:uid="{00000000-0005-0000-0000-0000C45B0000}"/>
    <cellStyle name="Normal 18 10 2 6" xfId="10509" xr:uid="{00000000-0005-0000-0000-0000C55B0000}"/>
    <cellStyle name="Normal 18 10 2 6 2" xfId="48783" xr:uid="{00000000-0005-0000-0000-0000C65B0000}"/>
    <cellStyle name="Normal 18 10 2 6 3" xfId="32683" xr:uid="{00000000-0005-0000-0000-0000C75B0000}"/>
    <cellStyle name="Normal 18 10 2 6 4" xfId="23114" xr:uid="{00000000-0005-0000-0000-0000C85B0000}"/>
    <cellStyle name="Normal 18 10 2 7" xfId="3532" xr:uid="{00000000-0005-0000-0000-0000C95B0000}"/>
    <cellStyle name="Normal 18 10 2 7 2" xfId="51373" xr:uid="{00000000-0005-0000-0000-0000CA5B0000}"/>
    <cellStyle name="Normal 18 10 2 7 3" xfId="35273" xr:uid="{00000000-0005-0000-0000-0000CB5B0000}"/>
    <cellStyle name="Normal 18 10 2 7 4" xfId="16137" xr:uid="{00000000-0005-0000-0000-0000CC5B0000}"/>
    <cellStyle name="Normal 18 10 2 8" xfId="41806" xr:uid="{00000000-0005-0000-0000-0000CD5B0000}"/>
    <cellStyle name="Normal 18 10 2 9" xfId="25706" xr:uid="{00000000-0005-0000-0000-0000CE5B0000}"/>
    <cellStyle name="Normal 18 10 3" xfId="717" xr:uid="{00000000-0005-0000-0000-0000CF5B0000}"/>
    <cellStyle name="Normal 18 10 3 2" xfId="2745" xr:uid="{00000000-0005-0000-0000-0000D05B0000}"/>
    <cellStyle name="Normal 18 10 3 2 2" xfId="9277" xr:uid="{00000000-0005-0000-0000-0000D15B0000}"/>
    <cellStyle name="Normal 18 10 3 2 2 2" xfId="41018" xr:uid="{00000000-0005-0000-0000-0000D25B0000}"/>
    <cellStyle name="Normal 18 10 3 2 2 2 2" xfId="57118" xr:uid="{00000000-0005-0000-0000-0000D35B0000}"/>
    <cellStyle name="Normal 18 10 3 2 2 3" xfId="47551" xr:uid="{00000000-0005-0000-0000-0000D45B0000}"/>
    <cellStyle name="Normal 18 10 3 2 2 4" xfId="31451" xr:uid="{00000000-0005-0000-0000-0000D55B0000}"/>
    <cellStyle name="Normal 18 10 3 2 2 5" xfId="21882" xr:uid="{00000000-0005-0000-0000-0000D65B0000}"/>
    <cellStyle name="Normal 18 10 3 2 3" xfId="12313" xr:uid="{00000000-0005-0000-0000-0000D75B0000}"/>
    <cellStyle name="Normal 18 10 3 2 3 2" xfId="50587" xr:uid="{00000000-0005-0000-0000-0000D85B0000}"/>
    <cellStyle name="Normal 18 10 3 2 3 3" xfId="34487" xr:uid="{00000000-0005-0000-0000-0000D95B0000}"/>
    <cellStyle name="Normal 18 10 3 2 3 4" xfId="24918" xr:uid="{00000000-0005-0000-0000-0000DA5B0000}"/>
    <cellStyle name="Normal 18 10 3 2 4" xfId="6241" xr:uid="{00000000-0005-0000-0000-0000DB5B0000}"/>
    <cellStyle name="Normal 18 10 3 2 4 2" xfId="54082" xr:uid="{00000000-0005-0000-0000-0000DC5B0000}"/>
    <cellStyle name="Normal 18 10 3 2 4 3" xfId="37982" xr:uid="{00000000-0005-0000-0000-0000DD5B0000}"/>
    <cellStyle name="Normal 18 10 3 2 4 4" xfId="18846" xr:uid="{00000000-0005-0000-0000-0000DE5B0000}"/>
    <cellStyle name="Normal 18 10 3 2 5" xfId="44515" xr:uid="{00000000-0005-0000-0000-0000DF5B0000}"/>
    <cellStyle name="Normal 18 10 3 2 6" xfId="28415" xr:uid="{00000000-0005-0000-0000-0000E05B0000}"/>
    <cellStyle name="Normal 18 10 3 2 7" xfId="15351" xr:uid="{00000000-0005-0000-0000-0000E15B0000}"/>
    <cellStyle name="Normal 18 10 3 3" xfId="1727" xr:uid="{00000000-0005-0000-0000-0000E25B0000}"/>
    <cellStyle name="Normal 18 10 3 3 2" xfId="8261" xr:uid="{00000000-0005-0000-0000-0000E35B0000}"/>
    <cellStyle name="Normal 18 10 3 3 2 2" xfId="40002" xr:uid="{00000000-0005-0000-0000-0000E45B0000}"/>
    <cellStyle name="Normal 18 10 3 3 2 2 2" xfId="56102" xr:uid="{00000000-0005-0000-0000-0000E55B0000}"/>
    <cellStyle name="Normal 18 10 3 3 2 3" xfId="46535" xr:uid="{00000000-0005-0000-0000-0000E65B0000}"/>
    <cellStyle name="Normal 18 10 3 3 2 4" xfId="30435" xr:uid="{00000000-0005-0000-0000-0000E75B0000}"/>
    <cellStyle name="Normal 18 10 3 3 2 5" xfId="20866" xr:uid="{00000000-0005-0000-0000-0000E85B0000}"/>
    <cellStyle name="Normal 18 10 3 3 3" xfId="11297" xr:uid="{00000000-0005-0000-0000-0000E95B0000}"/>
    <cellStyle name="Normal 18 10 3 3 3 2" xfId="49571" xr:uid="{00000000-0005-0000-0000-0000EA5B0000}"/>
    <cellStyle name="Normal 18 10 3 3 3 3" xfId="33471" xr:uid="{00000000-0005-0000-0000-0000EB5B0000}"/>
    <cellStyle name="Normal 18 10 3 3 3 4" xfId="23902" xr:uid="{00000000-0005-0000-0000-0000EC5B0000}"/>
    <cellStyle name="Normal 18 10 3 3 4" xfId="5225" xr:uid="{00000000-0005-0000-0000-0000ED5B0000}"/>
    <cellStyle name="Normal 18 10 3 3 4 2" xfId="53066" xr:uid="{00000000-0005-0000-0000-0000EE5B0000}"/>
    <cellStyle name="Normal 18 10 3 3 4 3" xfId="36966" xr:uid="{00000000-0005-0000-0000-0000EF5B0000}"/>
    <cellStyle name="Normal 18 10 3 3 4 4" xfId="17830" xr:uid="{00000000-0005-0000-0000-0000F05B0000}"/>
    <cellStyle name="Normal 18 10 3 3 5" xfId="43499" xr:uid="{00000000-0005-0000-0000-0000F15B0000}"/>
    <cellStyle name="Normal 18 10 3 3 6" xfId="27399" xr:uid="{00000000-0005-0000-0000-0000F25B0000}"/>
    <cellStyle name="Normal 18 10 3 3 7" xfId="14335" xr:uid="{00000000-0005-0000-0000-0000F35B0000}"/>
    <cellStyle name="Normal 18 10 3 4" xfId="7251" xr:uid="{00000000-0005-0000-0000-0000F45B0000}"/>
    <cellStyle name="Normal 18 10 3 4 2" xfId="38992" xr:uid="{00000000-0005-0000-0000-0000F55B0000}"/>
    <cellStyle name="Normal 18 10 3 4 2 2" xfId="55092" xr:uid="{00000000-0005-0000-0000-0000F65B0000}"/>
    <cellStyle name="Normal 18 10 3 4 3" xfId="45525" xr:uid="{00000000-0005-0000-0000-0000F75B0000}"/>
    <cellStyle name="Normal 18 10 3 4 4" xfId="29425" xr:uid="{00000000-0005-0000-0000-0000F85B0000}"/>
    <cellStyle name="Normal 18 10 3 4 5" xfId="19856" xr:uid="{00000000-0005-0000-0000-0000F95B0000}"/>
    <cellStyle name="Normal 18 10 3 5" xfId="10287" xr:uid="{00000000-0005-0000-0000-0000FA5B0000}"/>
    <cellStyle name="Normal 18 10 3 5 2" xfId="48561" xr:uid="{00000000-0005-0000-0000-0000FB5B0000}"/>
    <cellStyle name="Normal 18 10 3 5 3" xfId="32461" xr:uid="{00000000-0005-0000-0000-0000FC5B0000}"/>
    <cellStyle name="Normal 18 10 3 5 4" xfId="22892" xr:uid="{00000000-0005-0000-0000-0000FD5B0000}"/>
    <cellStyle name="Normal 18 10 3 6" xfId="4215" xr:uid="{00000000-0005-0000-0000-0000FE5B0000}"/>
    <cellStyle name="Normal 18 10 3 6 2" xfId="52056" xr:uid="{00000000-0005-0000-0000-0000FF5B0000}"/>
    <cellStyle name="Normal 18 10 3 6 3" xfId="35956" xr:uid="{00000000-0005-0000-0000-0000005C0000}"/>
    <cellStyle name="Normal 18 10 3 6 4" xfId="16820" xr:uid="{00000000-0005-0000-0000-0000015C0000}"/>
    <cellStyle name="Normal 18 10 3 7" xfId="42489" xr:uid="{00000000-0005-0000-0000-0000025C0000}"/>
    <cellStyle name="Normal 18 10 3 8" xfId="26389" xr:uid="{00000000-0005-0000-0000-0000035C0000}"/>
    <cellStyle name="Normal 18 10 3 9" xfId="13325" xr:uid="{00000000-0005-0000-0000-0000045C0000}"/>
    <cellStyle name="Normal 18 10 4" xfId="2517" xr:uid="{00000000-0005-0000-0000-0000055C0000}"/>
    <cellStyle name="Normal 18 10 4 2" xfId="9049" xr:uid="{00000000-0005-0000-0000-0000065C0000}"/>
    <cellStyle name="Normal 18 10 4 2 2" xfId="40790" xr:uid="{00000000-0005-0000-0000-0000075C0000}"/>
    <cellStyle name="Normal 18 10 4 2 2 2" xfId="56890" xr:uid="{00000000-0005-0000-0000-0000085C0000}"/>
    <cellStyle name="Normal 18 10 4 2 3" xfId="47323" xr:uid="{00000000-0005-0000-0000-0000095C0000}"/>
    <cellStyle name="Normal 18 10 4 2 4" xfId="31223" xr:uid="{00000000-0005-0000-0000-00000A5C0000}"/>
    <cellStyle name="Normal 18 10 4 2 5" xfId="21654" xr:uid="{00000000-0005-0000-0000-00000B5C0000}"/>
    <cellStyle name="Normal 18 10 4 3" xfId="12085" xr:uid="{00000000-0005-0000-0000-00000C5C0000}"/>
    <cellStyle name="Normal 18 10 4 3 2" xfId="50359" xr:uid="{00000000-0005-0000-0000-00000D5C0000}"/>
    <cellStyle name="Normal 18 10 4 3 3" xfId="34259" xr:uid="{00000000-0005-0000-0000-00000E5C0000}"/>
    <cellStyle name="Normal 18 10 4 3 4" xfId="24690" xr:uid="{00000000-0005-0000-0000-00000F5C0000}"/>
    <cellStyle name="Normal 18 10 4 4" xfId="6013" xr:uid="{00000000-0005-0000-0000-0000105C0000}"/>
    <cellStyle name="Normal 18 10 4 4 2" xfId="53854" xr:uid="{00000000-0005-0000-0000-0000115C0000}"/>
    <cellStyle name="Normal 18 10 4 4 3" xfId="37754" xr:uid="{00000000-0005-0000-0000-0000125C0000}"/>
    <cellStyle name="Normal 18 10 4 4 4" xfId="18618" xr:uid="{00000000-0005-0000-0000-0000135C0000}"/>
    <cellStyle name="Normal 18 10 4 5" xfId="44287" xr:uid="{00000000-0005-0000-0000-0000145C0000}"/>
    <cellStyle name="Normal 18 10 4 6" xfId="28187" xr:uid="{00000000-0005-0000-0000-0000155C0000}"/>
    <cellStyle name="Normal 18 10 4 7" xfId="15123" xr:uid="{00000000-0005-0000-0000-0000165C0000}"/>
    <cellStyle name="Normal 18 10 5" xfId="1266" xr:uid="{00000000-0005-0000-0000-0000175C0000}"/>
    <cellStyle name="Normal 18 10 5 2" xfId="7800" xr:uid="{00000000-0005-0000-0000-0000185C0000}"/>
    <cellStyle name="Normal 18 10 5 2 2" xfId="39541" xr:uid="{00000000-0005-0000-0000-0000195C0000}"/>
    <cellStyle name="Normal 18 10 5 2 2 2" xfId="55641" xr:uid="{00000000-0005-0000-0000-00001A5C0000}"/>
    <cellStyle name="Normal 18 10 5 2 3" xfId="46074" xr:uid="{00000000-0005-0000-0000-00001B5C0000}"/>
    <cellStyle name="Normal 18 10 5 2 4" xfId="29974" xr:uid="{00000000-0005-0000-0000-00001C5C0000}"/>
    <cellStyle name="Normal 18 10 5 2 5" xfId="20405" xr:uid="{00000000-0005-0000-0000-00001D5C0000}"/>
    <cellStyle name="Normal 18 10 5 3" xfId="10836" xr:uid="{00000000-0005-0000-0000-00001E5C0000}"/>
    <cellStyle name="Normal 18 10 5 3 2" xfId="49110" xr:uid="{00000000-0005-0000-0000-00001F5C0000}"/>
    <cellStyle name="Normal 18 10 5 3 3" xfId="33010" xr:uid="{00000000-0005-0000-0000-0000205C0000}"/>
    <cellStyle name="Normal 18 10 5 3 4" xfId="23441" xr:uid="{00000000-0005-0000-0000-0000215C0000}"/>
    <cellStyle name="Normal 18 10 5 4" xfId="4764" xr:uid="{00000000-0005-0000-0000-0000225C0000}"/>
    <cellStyle name="Normal 18 10 5 4 2" xfId="52605" xr:uid="{00000000-0005-0000-0000-0000235C0000}"/>
    <cellStyle name="Normal 18 10 5 4 3" xfId="36505" xr:uid="{00000000-0005-0000-0000-0000245C0000}"/>
    <cellStyle name="Normal 18 10 5 4 4" xfId="17369" xr:uid="{00000000-0005-0000-0000-0000255C0000}"/>
    <cellStyle name="Normal 18 10 5 5" xfId="43038" xr:uid="{00000000-0005-0000-0000-0000265C0000}"/>
    <cellStyle name="Normal 18 10 5 6" xfId="26938" xr:uid="{00000000-0005-0000-0000-0000275C0000}"/>
    <cellStyle name="Normal 18 10 5 7" xfId="13874" xr:uid="{00000000-0005-0000-0000-0000285C0000}"/>
    <cellStyle name="Normal 18 10 6" xfId="3754" xr:uid="{00000000-0005-0000-0000-0000295C0000}"/>
    <cellStyle name="Normal 18 10 6 2" xfId="35495" xr:uid="{00000000-0005-0000-0000-00002A5C0000}"/>
    <cellStyle name="Normal 18 10 6 2 2" xfId="51595" xr:uid="{00000000-0005-0000-0000-00002B5C0000}"/>
    <cellStyle name="Normal 18 10 6 3" xfId="42028" xr:uid="{00000000-0005-0000-0000-00002C5C0000}"/>
    <cellStyle name="Normal 18 10 6 4" xfId="25928" xr:uid="{00000000-0005-0000-0000-00002D5C0000}"/>
    <cellStyle name="Normal 18 10 6 5" xfId="16359" xr:uid="{00000000-0005-0000-0000-00002E5C0000}"/>
    <cellStyle name="Normal 18 10 7" xfId="6790" xr:uid="{00000000-0005-0000-0000-00002F5C0000}"/>
    <cellStyle name="Normal 18 10 7 2" xfId="38531" xr:uid="{00000000-0005-0000-0000-0000305C0000}"/>
    <cellStyle name="Normal 18 10 7 2 2" xfId="54631" xr:uid="{00000000-0005-0000-0000-0000315C0000}"/>
    <cellStyle name="Normal 18 10 7 3" xfId="45064" xr:uid="{00000000-0005-0000-0000-0000325C0000}"/>
    <cellStyle name="Normal 18 10 7 4" xfId="28964" xr:uid="{00000000-0005-0000-0000-0000335C0000}"/>
    <cellStyle name="Normal 18 10 7 5" xfId="19395" xr:uid="{00000000-0005-0000-0000-0000345C0000}"/>
    <cellStyle name="Normal 18 10 8" xfId="9826" xr:uid="{00000000-0005-0000-0000-0000355C0000}"/>
    <cellStyle name="Normal 18 10 8 2" xfId="48100" xr:uid="{00000000-0005-0000-0000-0000365C0000}"/>
    <cellStyle name="Normal 18 10 8 3" xfId="32000" xr:uid="{00000000-0005-0000-0000-0000375C0000}"/>
    <cellStyle name="Normal 18 10 8 4" xfId="22431" xr:uid="{00000000-0005-0000-0000-0000385C0000}"/>
    <cellStyle name="Normal 18 10 9" xfId="3294" xr:uid="{00000000-0005-0000-0000-0000395C0000}"/>
    <cellStyle name="Normal 18 10 9 2" xfId="51136" xr:uid="{00000000-0005-0000-0000-00003A5C0000}"/>
    <cellStyle name="Normal 18 10 9 3" xfId="35036" xr:uid="{00000000-0005-0000-0000-00003B5C0000}"/>
    <cellStyle name="Normal 18 10 9 4" xfId="15900" xr:uid="{00000000-0005-0000-0000-00003C5C0000}"/>
    <cellStyle name="Normal 18 11" xfId="429" xr:uid="{00000000-0005-0000-0000-00003D5C0000}"/>
    <cellStyle name="Normal 18 11 10" xfId="41416" xr:uid="{00000000-0005-0000-0000-00003E5C0000}"/>
    <cellStyle name="Normal 18 11 11" xfId="25316" xr:uid="{00000000-0005-0000-0000-00003F5C0000}"/>
    <cellStyle name="Normal 18 11 12" xfId="12711" xr:uid="{00000000-0005-0000-0000-0000405C0000}"/>
    <cellStyle name="Normal 18 11 2" xfId="786" xr:uid="{00000000-0005-0000-0000-0000415C0000}"/>
    <cellStyle name="Normal 18 11 2 10" xfId="13394" xr:uid="{00000000-0005-0000-0000-0000425C0000}"/>
    <cellStyle name="Normal 18 11 2 2" xfId="2814" xr:uid="{00000000-0005-0000-0000-0000435C0000}"/>
    <cellStyle name="Normal 18 11 2 2 2" xfId="9346" xr:uid="{00000000-0005-0000-0000-0000445C0000}"/>
    <cellStyle name="Normal 18 11 2 2 2 2" xfId="41087" xr:uid="{00000000-0005-0000-0000-0000455C0000}"/>
    <cellStyle name="Normal 18 11 2 2 2 2 2" xfId="57187" xr:uid="{00000000-0005-0000-0000-0000465C0000}"/>
    <cellStyle name="Normal 18 11 2 2 2 3" xfId="47620" xr:uid="{00000000-0005-0000-0000-0000475C0000}"/>
    <cellStyle name="Normal 18 11 2 2 2 4" xfId="31520" xr:uid="{00000000-0005-0000-0000-0000485C0000}"/>
    <cellStyle name="Normal 18 11 2 2 2 5" xfId="21951" xr:uid="{00000000-0005-0000-0000-0000495C0000}"/>
    <cellStyle name="Normal 18 11 2 2 3" xfId="12382" xr:uid="{00000000-0005-0000-0000-00004A5C0000}"/>
    <cellStyle name="Normal 18 11 2 2 3 2" xfId="50656" xr:uid="{00000000-0005-0000-0000-00004B5C0000}"/>
    <cellStyle name="Normal 18 11 2 2 3 3" xfId="34556" xr:uid="{00000000-0005-0000-0000-00004C5C0000}"/>
    <cellStyle name="Normal 18 11 2 2 3 4" xfId="24987" xr:uid="{00000000-0005-0000-0000-00004D5C0000}"/>
    <cellStyle name="Normal 18 11 2 2 4" xfId="6310" xr:uid="{00000000-0005-0000-0000-00004E5C0000}"/>
    <cellStyle name="Normal 18 11 2 2 4 2" xfId="54151" xr:uid="{00000000-0005-0000-0000-00004F5C0000}"/>
    <cellStyle name="Normal 18 11 2 2 4 3" xfId="38051" xr:uid="{00000000-0005-0000-0000-0000505C0000}"/>
    <cellStyle name="Normal 18 11 2 2 4 4" xfId="18915" xr:uid="{00000000-0005-0000-0000-0000515C0000}"/>
    <cellStyle name="Normal 18 11 2 2 5" xfId="44584" xr:uid="{00000000-0005-0000-0000-0000525C0000}"/>
    <cellStyle name="Normal 18 11 2 2 6" xfId="28484" xr:uid="{00000000-0005-0000-0000-0000535C0000}"/>
    <cellStyle name="Normal 18 11 2 2 7" xfId="15420" xr:uid="{00000000-0005-0000-0000-0000545C0000}"/>
    <cellStyle name="Normal 18 11 2 3" xfId="1796" xr:uid="{00000000-0005-0000-0000-0000555C0000}"/>
    <cellStyle name="Normal 18 11 2 3 2" xfId="8330" xr:uid="{00000000-0005-0000-0000-0000565C0000}"/>
    <cellStyle name="Normal 18 11 2 3 2 2" xfId="40071" xr:uid="{00000000-0005-0000-0000-0000575C0000}"/>
    <cellStyle name="Normal 18 11 2 3 2 2 2" xfId="56171" xr:uid="{00000000-0005-0000-0000-0000585C0000}"/>
    <cellStyle name="Normal 18 11 2 3 2 3" xfId="46604" xr:uid="{00000000-0005-0000-0000-0000595C0000}"/>
    <cellStyle name="Normal 18 11 2 3 2 4" xfId="30504" xr:uid="{00000000-0005-0000-0000-00005A5C0000}"/>
    <cellStyle name="Normal 18 11 2 3 2 5" xfId="20935" xr:uid="{00000000-0005-0000-0000-00005B5C0000}"/>
    <cellStyle name="Normal 18 11 2 3 3" xfId="11366" xr:uid="{00000000-0005-0000-0000-00005C5C0000}"/>
    <cellStyle name="Normal 18 11 2 3 3 2" xfId="49640" xr:uid="{00000000-0005-0000-0000-00005D5C0000}"/>
    <cellStyle name="Normal 18 11 2 3 3 3" xfId="33540" xr:uid="{00000000-0005-0000-0000-00005E5C0000}"/>
    <cellStyle name="Normal 18 11 2 3 3 4" xfId="23971" xr:uid="{00000000-0005-0000-0000-00005F5C0000}"/>
    <cellStyle name="Normal 18 11 2 3 4" xfId="5294" xr:uid="{00000000-0005-0000-0000-0000605C0000}"/>
    <cellStyle name="Normal 18 11 2 3 4 2" xfId="53135" xr:uid="{00000000-0005-0000-0000-0000615C0000}"/>
    <cellStyle name="Normal 18 11 2 3 4 3" xfId="37035" xr:uid="{00000000-0005-0000-0000-0000625C0000}"/>
    <cellStyle name="Normal 18 11 2 3 4 4" xfId="17899" xr:uid="{00000000-0005-0000-0000-0000635C0000}"/>
    <cellStyle name="Normal 18 11 2 3 5" xfId="43568" xr:uid="{00000000-0005-0000-0000-0000645C0000}"/>
    <cellStyle name="Normal 18 11 2 3 6" xfId="27468" xr:uid="{00000000-0005-0000-0000-0000655C0000}"/>
    <cellStyle name="Normal 18 11 2 3 7" xfId="14404" xr:uid="{00000000-0005-0000-0000-0000665C0000}"/>
    <cellStyle name="Normal 18 11 2 4" xfId="4284" xr:uid="{00000000-0005-0000-0000-0000675C0000}"/>
    <cellStyle name="Normal 18 11 2 4 2" xfId="36025" xr:uid="{00000000-0005-0000-0000-0000685C0000}"/>
    <cellStyle name="Normal 18 11 2 4 2 2" xfId="52125" xr:uid="{00000000-0005-0000-0000-0000695C0000}"/>
    <cellStyle name="Normal 18 11 2 4 3" xfId="42558" xr:uid="{00000000-0005-0000-0000-00006A5C0000}"/>
    <cellStyle name="Normal 18 11 2 4 4" xfId="26458" xr:uid="{00000000-0005-0000-0000-00006B5C0000}"/>
    <cellStyle name="Normal 18 11 2 4 5" xfId="16889" xr:uid="{00000000-0005-0000-0000-00006C5C0000}"/>
    <cellStyle name="Normal 18 11 2 5" xfId="7320" xr:uid="{00000000-0005-0000-0000-00006D5C0000}"/>
    <cellStyle name="Normal 18 11 2 5 2" xfId="39061" xr:uid="{00000000-0005-0000-0000-00006E5C0000}"/>
    <cellStyle name="Normal 18 11 2 5 2 2" xfId="55161" xr:uid="{00000000-0005-0000-0000-00006F5C0000}"/>
    <cellStyle name="Normal 18 11 2 5 3" xfId="45594" xr:uid="{00000000-0005-0000-0000-0000705C0000}"/>
    <cellStyle name="Normal 18 11 2 5 4" xfId="29494" xr:uid="{00000000-0005-0000-0000-0000715C0000}"/>
    <cellStyle name="Normal 18 11 2 5 5" xfId="19925" xr:uid="{00000000-0005-0000-0000-0000725C0000}"/>
    <cellStyle name="Normal 18 11 2 6" xfId="10356" xr:uid="{00000000-0005-0000-0000-0000735C0000}"/>
    <cellStyle name="Normal 18 11 2 6 2" xfId="48630" xr:uid="{00000000-0005-0000-0000-0000745C0000}"/>
    <cellStyle name="Normal 18 11 2 6 3" xfId="32530" xr:uid="{00000000-0005-0000-0000-0000755C0000}"/>
    <cellStyle name="Normal 18 11 2 6 4" xfId="22961" xr:uid="{00000000-0005-0000-0000-0000765C0000}"/>
    <cellStyle name="Normal 18 11 2 7" xfId="3379" xr:uid="{00000000-0005-0000-0000-0000775C0000}"/>
    <cellStyle name="Normal 18 11 2 7 2" xfId="51220" xr:uid="{00000000-0005-0000-0000-0000785C0000}"/>
    <cellStyle name="Normal 18 11 2 7 3" xfId="35120" xr:uid="{00000000-0005-0000-0000-0000795C0000}"/>
    <cellStyle name="Normal 18 11 2 7 4" xfId="15984" xr:uid="{00000000-0005-0000-0000-00007A5C0000}"/>
    <cellStyle name="Normal 18 11 2 8" xfId="41653" xr:uid="{00000000-0005-0000-0000-00007B5C0000}"/>
    <cellStyle name="Normal 18 11 2 9" xfId="25553" xr:uid="{00000000-0005-0000-0000-00007C5C0000}"/>
    <cellStyle name="Normal 18 11 3" xfId="644" xr:uid="{00000000-0005-0000-0000-00007D5C0000}"/>
    <cellStyle name="Normal 18 11 3 2" xfId="2672" xr:uid="{00000000-0005-0000-0000-00007E5C0000}"/>
    <cellStyle name="Normal 18 11 3 2 2" xfId="9204" xr:uid="{00000000-0005-0000-0000-00007F5C0000}"/>
    <cellStyle name="Normal 18 11 3 2 2 2" xfId="40945" xr:uid="{00000000-0005-0000-0000-0000805C0000}"/>
    <cellStyle name="Normal 18 11 3 2 2 2 2" xfId="57045" xr:uid="{00000000-0005-0000-0000-0000815C0000}"/>
    <cellStyle name="Normal 18 11 3 2 2 3" xfId="47478" xr:uid="{00000000-0005-0000-0000-0000825C0000}"/>
    <cellStyle name="Normal 18 11 3 2 2 4" xfId="31378" xr:uid="{00000000-0005-0000-0000-0000835C0000}"/>
    <cellStyle name="Normal 18 11 3 2 2 5" xfId="21809" xr:uid="{00000000-0005-0000-0000-0000845C0000}"/>
    <cellStyle name="Normal 18 11 3 2 3" xfId="12240" xr:uid="{00000000-0005-0000-0000-0000855C0000}"/>
    <cellStyle name="Normal 18 11 3 2 3 2" xfId="50514" xr:uid="{00000000-0005-0000-0000-0000865C0000}"/>
    <cellStyle name="Normal 18 11 3 2 3 3" xfId="34414" xr:uid="{00000000-0005-0000-0000-0000875C0000}"/>
    <cellStyle name="Normal 18 11 3 2 3 4" xfId="24845" xr:uid="{00000000-0005-0000-0000-0000885C0000}"/>
    <cellStyle name="Normal 18 11 3 2 4" xfId="6168" xr:uid="{00000000-0005-0000-0000-0000895C0000}"/>
    <cellStyle name="Normal 18 11 3 2 4 2" xfId="54009" xr:uid="{00000000-0005-0000-0000-00008A5C0000}"/>
    <cellStyle name="Normal 18 11 3 2 4 3" xfId="37909" xr:uid="{00000000-0005-0000-0000-00008B5C0000}"/>
    <cellStyle name="Normal 18 11 3 2 4 4" xfId="18773" xr:uid="{00000000-0005-0000-0000-00008C5C0000}"/>
    <cellStyle name="Normal 18 11 3 2 5" xfId="44442" xr:uid="{00000000-0005-0000-0000-00008D5C0000}"/>
    <cellStyle name="Normal 18 11 3 2 6" xfId="28342" xr:uid="{00000000-0005-0000-0000-00008E5C0000}"/>
    <cellStyle name="Normal 18 11 3 2 7" xfId="15278" xr:uid="{00000000-0005-0000-0000-00008F5C0000}"/>
    <cellStyle name="Normal 18 11 3 3" xfId="1654" xr:uid="{00000000-0005-0000-0000-0000905C0000}"/>
    <cellStyle name="Normal 18 11 3 3 2" xfId="8188" xr:uid="{00000000-0005-0000-0000-0000915C0000}"/>
    <cellStyle name="Normal 18 11 3 3 2 2" xfId="39929" xr:uid="{00000000-0005-0000-0000-0000925C0000}"/>
    <cellStyle name="Normal 18 11 3 3 2 2 2" xfId="56029" xr:uid="{00000000-0005-0000-0000-0000935C0000}"/>
    <cellStyle name="Normal 18 11 3 3 2 3" xfId="46462" xr:uid="{00000000-0005-0000-0000-0000945C0000}"/>
    <cellStyle name="Normal 18 11 3 3 2 4" xfId="30362" xr:uid="{00000000-0005-0000-0000-0000955C0000}"/>
    <cellStyle name="Normal 18 11 3 3 2 5" xfId="20793" xr:uid="{00000000-0005-0000-0000-0000965C0000}"/>
    <cellStyle name="Normal 18 11 3 3 3" xfId="11224" xr:uid="{00000000-0005-0000-0000-0000975C0000}"/>
    <cellStyle name="Normal 18 11 3 3 3 2" xfId="49498" xr:uid="{00000000-0005-0000-0000-0000985C0000}"/>
    <cellStyle name="Normal 18 11 3 3 3 3" xfId="33398" xr:uid="{00000000-0005-0000-0000-0000995C0000}"/>
    <cellStyle name="Normal 18 11 3 3 3 4" xfId="23829" xr:uid="{00000000-0005-0000-0000-00009A5C0000}"/>
    <cellStyle name="Normal 18 11 3 3 4" xfId="5152" xr:uid="{00000000-0005-0000-0000-00009B5C0000}"/>
    <cellStyle name="Normal 18 11 3 3 4 2" xfId="52993" xr:uid="{00000000-0005-0000-0000-00009C5C0000}"/>
    <cellStyle name="Normal 18 11 3 3 4 3" xfId="36893" xr:uid="{00000000-0005-0000-0000-00009D5C0000}"/>
    <cellStyle name="Normal 18 11 3 3 4 4" xfId="17757" xr:uid="{00000000-0005-0000-0000-00009E5C0000}"/>
    <cellStyle name="Normal 18 11 3 3 5" xfId="43426" xr:uid="{00000000-0005-0000-0000-00009F5C0000}"/>
    <cellStyle name="Normal 18 11 3 3 6" xfId="27326" xr:uid="{00000000-0005-0000-0000-0000A05C0000}"/>
    <cellStyle name="Normal 18 11 3 3 7" xfId="14262" xr:uid="{00000000-0005-0000-0000-0000A15C0000}"/>
    <cellStyle name="Normal 18 11 3 4" xfId="7178" xr:uid="{00000000-0005-0000-0000-0000A25C0000}"/>
    <cellStyle name="Normal 18 11 3 4 2" xfId="38919" xr:uid="{00000000-0005-0000-0000-0000A35C0000}"/>
    <cellStyle name="Normal 18 11 3 4 2 2" xfId="55019" xr:uid="{00000000-0005-0000-0000-0000A45C0000}"/>
    <cellStyle name="Normal 18 11 3 4 3" xfId="45452" xr:uid="{00000000-0005-0000-0000-0000A55C0000}"/>
    <cellStyle name="Normal 18 11 3 4 4" xfId="29352" xr:uid="{00000000-0005-0000-0000-0000A65C0000}"/>
    <cellStyle name="Normal 18 11 3 4 5" xfId="19783" xr:uid="{00000000-0005-0000-0000-0000A75C0000}"/>
    <cellStyle name="Normal 18 11 3 5" xfId="10214" xr:uid="{00000000-0005-0000-0000-0000A85C0000}"/>
    <cellStyle name="Normal 18 11 3 5 2" xfId="48488" xr:uid="{00000000-0005-0000-0000-0000A95C0000}"/>
    <cellStyle name="Normal 18 11 3 5 3" xfId="32388" xr:uid="{00000000-0005-0000-0000-0000AA5C0000}"/>
    <cellStyle name="Normal 18 11 3 5 4" xfId="22819" xr:uid="{00000000-0005-0000-0000-0000AB5C0000}"/>
    <cellStyle name="Normal 18 11 3 6" xfId="4142" xr:uid="{00000000-0005-0000-0000-0000AC5C0000}"/>
    <cellStyle name="Normal 18 11 3 6 2" xfId="51983" xr:uid="{00000000-0005-0000-0000-0000AD5C0000}"/>
    <cellStyle name="Normal 18 11 3 6 3" xfId="35883" xr:uid="{00000000-0005-0000-0000-0000AE5C0000}"/>
    <cellStyle name="Normal 18 11 3 6 4" xfId="16747" xr:uid="{00000000-0005-0000-0000-0000AF5C0000}"/>
    <cellStyle name="Normal 18 11 3 7" xfId="42416" xr:uid="{00000000-0005-0000-0000-0000B05C0000}"/>
    <cellStyle name="Normal 18 11 3 8" xfId="26316" xr:uid="{00000000-0005-0000-0000-0000B15C0000}"/>
    <cellStyle name="Normal 18 11 3 9" xfId="13252" xr:uid="{00000000-0005-0000-0000-0000B25C0000}"/>
    <cellStyle name="Normal 18 11 4" xfId="2444" xr:uid="{00000000-0005-0000-0000-0000B35C0000}"/>
    <cellStyle name="Normal 18 11 4 2" xfId="8976" xr:uid="{00000000-0005-0000-0000-0000B45C0000}"/>
    <cellStyle name="Normal 18 11 4 2 2" xfId="40717" xr:uid="{00000000-0005-0000-0000-0000B55C0000}"/>
    <cellStyle name="Normal 18 11 4 2 2 2" xfId="56817" xr:uid="{00000000-0005-0000-0000-0000B65C0000}"/>
    <cellStyle name="Normal 18 11 4 2 3" xfId="47250" xr:uid="{00000000-0005-0000-0000-0000B75C0000}"/>
    <cellStyle name="Normal 18 11 4 2 4" xfId="31150" xr:uid="{00000000-0005-0000-0000-0000B85C0000}"/>
    <cellStyle name="Normal 18 11 4 2 5" xfId="21581" xr:uid="{00000000-0005-0000-0000-0000B95C0000}"/>
    <cellStyle name="Normal 18 11 4 3" xfId="12012" xr:uid="{00000000-0005-0000-0000-0000BA5C0000}"/>
    <cellStyle name="Normal 18 11 4 3 2" xfId="50286" xr:uid="{00000000-0005-0000-0000-0000BB5C0000}"/>
    <cellStyle name="Normal 18 11 4 3 3" xfId="34186" xr:uid="{00000000-0005-0000-0000-0000BC5C0000}"/>
    <cellStyle name="Normal 18 11 4 3 4" xfId="24617" xr:uid="{00000000-0005-0000-0000-0000BD5C0000}"/>
    <cellStyle name="Normal 18 11 4 4" xfId="5940" xr:uid="{00000000-0005-0000-0000-0000BE5C0000}"/>
    <cellStyle name="Normal 18 11 4 4 2" xfId="53781" xr:uid="{00000000-0005-0000-0000-0000BF5C0000}"/>
    <cellStyle name="Normal 18 11 4 4 3" xfId="37681" xr:uid="{00000000-0005-0000-0000-0000C05C0000}"/>
    <cellStyle name="Normal 18 11 4 4 4" xfId="18545" xr:uid="{00000000-0005-0000-0000-0000C15C0000}"/>
    <cellStyle name="Normal 18 11 4 5" xfId="44214" xr:uid="{00000000-0005-0000-0000-0000C25C0000}"/>
    <cellStyle name="Normal 18 11 4 6" xfId="28114" xr:uid="{00000000-0005-0000-0000-0000C35C0000}"/>
    <cellStyle name="Normal 18 11 4 7" xfId="15050" xr:uid="{00000000-0005-0000-0000-0000C45C0000}"/>
    <cellStyle name="Normal 18 11 5" xfId="1113" xr:uid="{00000000-0005-0000-0000-0000C55C0000}"/>
    <cellStyle name="Normal 18 11 5 2" xfId="7647" xr:uid="{00000000-0005-0000-0000-0000C65C0000}"/>
    <cellStyle name="Normal 18 11 5 2 2" xfId="39388" xr:uid="{00000000-0005-0000-0000-0000C75C0000}"/>
    <cellStyle name="Normal 18 11 5 2 2 2" xfId="55488" xr:uid="{00000000-0005-0000-0000-0000C85C0000}"/>
    <cellStyle name="Normal 18 11 5 2 3" xfId="45921" xr:uid="{00000000-0005-0000-0000-0000C95C0000}"/>
    <cellStyle name="Normal 18 11 5 2 4" xfId="29821" xr:uid="{00000000-0005-0000-0000-0000CA5C0000}"/>
    <cellStyle name="Normal 18 11 5 2 5" xfId="20252" xr:uid="{00000000-0005-0000-0000-0000CB5C0000}"/>
    <cellStyle name="Normal 18 11 5 3" xfId="10683" xr:uid="{00000000-0005-0000-0000-0000CC5C0000}"/>
    <cellStyle name="Normal 18 11 5 3 2" xfId="48957" xr:uid="{00000000-0005-0000-0000-0000CD5C0000}"/>
    <cellStyle name="Normal 18 11 5 3 3" xfId="32857" xr:uid="{00000000-0005-0000-0000-0000CE5C0000}"/>
    <cellStyle name="Normal 18 11 5 3 4" xfId="23288" xr:uid="{00000000-0005-0000-0000-0000CF5C0000}"/>
    <cellStyle name="Normal 18 11 5 4" xfId="4611" xr:uid="{00000000-0005-0000-0000-0000D05C0000}"/>
    <cellStyle name="Normal 18 11 5 4 2" xfId="52452" xr:uid="{00000000-0005-0000-0000-0000D15C0000}"/>
    <cellStyle name="Normal 18 11 5 4 3" xfId="36352" xr:uid="{00000000-0005-0000-0000-0000D25C0000}"/>
    <cellStyle name="Normal 18 11 5 4 4" xfId="17216" xr:uid="{00000000-0005-0000-0000-0000D35C0000}"/>
    <cellStyle name="Normal 18 11 5 5" xfId="42885" xr:uid="{00000000-0005-0000-0000-0000D45C0000}"/>
    <cellStyle name="Normal 18 11 5 6" xfId="26785" xr:uid="{00000000-0005-0000-0000-0000D55C0000}"/>
    <cellStyle name="Normal 18 11 5 7" xfId="13721" xr:uid="{00000000-0005-0000-0000-0000D65C0000}"/>
    <cellStyle name="Normal 18 11 6" xfId="3601" xr:uid="{00000000-0005-0000-0000-0000D75C0000}"/>
    <cellStyle name="Normal 18 11 6 2" xfId="35342" xr:uid="{00000000-0005-0000-0000-0000D85C0000}"/>
    <cellStyle name="Normal 18 11 6 2 2" xfId="51442" xr:uid="{00000000-0005-0000-0000-0000D95C0000}"/>
    <cellStyle name="Normal 18 11 6 3" xfId="41875" xr:uid="{00000000-0005-0000-0000-0000DA5C0000}"/>
    <cellStyle name="Normal 18 11 6 4" xfId="25775" xr:uid="{00000000-0005-0000-0000-0000DB5C0000}"/>
    <cellStyle name="Normal 18 11 6 5" xfId="16206" xr:uid="{00000000-0005-0000-0000-0000DC5C0000}"/>
    <cellStyle name="Normal 18 11 7" xfId="6637" xr:uid="{00000000-0005-0000-0000-0000DD5C0000}"/>
    <cellStyle name="Normal 18 11 7 2" xfId="38378" xr:uid="{00000000-0005-0000-0000-0000DE5C0000}"/>
    <cellStyle name="Normal 18 11 7 2 2" xfId="54478" xr:uid="{00000000-0005-0000-0000-0000DF5C0000}"/>
    <cellStyle name="Normal 18 11 7 3" xfId="44911" xr:uid="{00000000-0005-0000-0000-0000E05C0000}"/>
    <cellStyle name="Normal 18 11 7 4" xfId="28811" xr:uid="{00000000-0005-0000-0000-0000E15C0000}"/>
    <cellStyle name="Normal 18 11 7 5" xfId="19242" xr:uid="{00000000-0005-0000-0000-0000E25C0000}"/>
    <cellStyle name="Normal 18 11 8" xfId="9673" xr:uid="{00000000-0005-0000-0000-0000E35C0000}"/>
    <cellStyle name="Normal 18 11 8 2" xfId="47947" xr:uid="{00000000-0005-0000-0000-0000E45C0000}"/>
    <cellStyle name="Normal 18 11 8 3" xfId="31847" xr:uid="{00000000-0005-0000-0000-0000E55C0000}"/>
    <cellStyle name="Normal 18 11 8 4" xfId="22278" xr:uid="{00000000-0005-0000-0000-0000E65C0000}"/>
    <cellStyle name="Normal 18 11 9" xfId="3141" xr:uid="{00000000-0005-0000-0000-0000E75C0000}"/>
    <cellStyle name="Normal 18 11 9 2" xfId="50983" xr:uid="{00000000-0005-0000-0000-0000E85C0000}"/>
    <cellStyle name="Normal 18 11 9 3" xfId="34883" xr:uid="{00000000-0005-0000-0000-0000E95C0000}"/>
    <cellStyle name="Normal 18 11 9 4" xfId="15747" xr:uid="{00000000-0005-0000-0000-0000EA5C0000}"/>
    <cellStyle name="Normal 18 12" xfId="409" xr:uid="{00000000-0005-0000-0000-0000EB5C0000}"/>
    <cellStyle name="Normal 18 12 10" xfId="41399" xr:uid="{00000000-0005-0000-0000-0000EC5C0000}"/>
    <cellStyle name="Normal 18 12 11" xfId="25299" xr:uid="{00000000-0005-0000-0000-0000ED5C0000}"/>
    <cellStyle name="Normal 18 12 12" xfId="12694" xr:uid="{00000000-0005-0000-0000-0000EE5C0000}"/>
    <cellStyle name="Normal 18 12 2" xfId="769" xr:uid="{00000000-0005-0000-0000-0000EF5C0000}"/>
    <cellStyle name="Normal 18 12 2 10" xfId="13377" xr:uid="{00000000-0005-0000-0000-0000F05C0000}"/>
    <cellStyle name="Normal 18 12 2 2" xfId="2797" xr:uid="{00000000-0005-0000-0000-0000F15C0000}"/>
    <cellStyle name="Normal 18 12 2 2 2" xfId="9329" xr:uid="{00000000-0005-0000-0000-0000F25C0000}"/>
    <cellStyle name="Normal 18 12 2 2 2 2" xfId="41070" xr:uid="{00000000-0005-0000-0000-0000F35C0000}"/>
    <cellStyle name="Normal 18 12 2 2 2 2 2" xfId="57170" xr:uid="{00000000-0005-0000-0000-0000F45C0000}"/>
    <cellStyle name="Normal 18 12 2 2 2 3" xfId="47603" xr:uid="{00000000-0005-0000-0000-0000F55C0000}"/>
    <cellStyle name="Normal 18 12 2 2 2 4" xfId="31503" xr:uid="{00000000-0005-0000-0000-0000F65C0000}"/>
    <cellStyle name="Normal 18 12 2 2 2 5" xfId="21934" xr:uid="{00000000-0005-0000-0000-0000F75C0000}"/>
    <cellStyle name="Normal 18 12 2 2 3" xfId="12365" xr:uid="{00000000-0005-0000-0000-0000F85C0000}"/>
    <cellStyle name="Normal 18 12 2 2 3 2" xfId="50639" xr:uid="{00000000-0005-0000-0000-0000F95C0000}"/>
    <cellStyle name="Normal 18 12 2 2 3 3" xfId="34539" xr:uid="{00000000-0005-0000-0000-0000FA5C0000}"/>
    <cellStyle name="Normal 18 12 2 2 3 4" xfId="24970" xr:uid="{00000000-0005-0000-0000-0000FB5C0000}"/>
    <cellStyle name="Normal 18 12 2 2 4" xfId="6293" xr:uid="{00000000-0005-0000-0000-0000FC5C0000}"/>
    <cellStyle name="Normal 18 12 2 2 4 2" xfId="54134" xr:uid="{00000000-0005-0000-0000-0000FD5C0000}"/>
    <cellStyle name="Normal 18 12 2 2 4 3" xfId="38034" xr:uid="{00000000-0005-0000-0000-0000FE5C0000}"/>
    <cellStyle name="Normal 18 12 2 2 4 4" xfId="18898" xr:uid="{00000000-0005-0000-0000-0000FF5C0000}"/>
    <cellStyle name="Normal 18 12 2 2 5" xfId="44567" xr:uid="{00000000-0005-0000-0000-0000005D0000}"/>
    <cellStyle name="Normal 18 12 2 2 6" xfId="28467" xr:uid="{00000000-0005-0000-0000-0000015D0000}"/>
    <cellStyle name="Normal 18 12 2 2 7" xfId="15403" xr:uid="{00000000-0005-0000-0000-0000025D0000}"/>
    <cellStyle name="Normal 18 12 2 3" xfId="1779" xr:uid="{00000000-0005-0000-0000-0000035D0000}"/>
    <cellStyle name="Normal 18 12 2 3 2" xfId="8313" xr:uid="{00000000-0005-0000-0000-0000045D0000}"/>
    <cellStyle name="Normal 18 12 2 3 2 2" xfId="40054" xr:uid="{00000000-0005-0000-0000-0000055D0000}"/>
    <cellStyle name="Normal 18 12 2 3 2 2 2" xfId="56154" xr:uid="{00000000-0005-0000-0000-0000065D0000}"/>
    <cellStyle name="Normal 18 12 2 3 2 3" xfId="46587" xr:uid="{00000000-0005-0000-0000-0000075D0000}"/>
    <cellStyle name="Normal 18 12 2 3 2 4" xfId="30487" xr:uid="{00000000-0005-0000-0000-0000085D0000}"/>
    <cellStyle name="Normal 18 12 2 3 2 5" xfId="20918" xr:uid="{00000000-0005-0000-0000-0000095D0000}"/>
    <cellStyle name="Normal 18 12 2 3 3" xfId="11349" xr:uid="{00000000-0005-0000-0000-00000A5D0000}"/>
    <cellStyle name="Normal 18 12 2 3 3 2" xfId="49623" xr:uid="{00000000-0005-0000-0000-00000B5D0000}"/>
    <cellStyle name="Normal 18 12 2 3 3 3" xfId="33523" xr:uid="{00000000-0005-0000-0000-00000C5D0000}"/>
    <cellStyle name="Normal 18 12 2 3 3 4" xfId="23954" xr:uid="{00000000-0005-0000-0000-00000D5D0000}"/>
    <cellStyle name="Normal 18 12 2 3 4" xfId="5277" xr:uid="{00000000-0005-0000-0000-00000E5D0000}"/>
    <cellStyle name="Normal 18 12 2 3 4 2" xfId="53118" xr:uid="{00000000-0005-0000-0000-00000F5D0000}"/>
    <cellStyle name="Normal 18 12 2 3 4 3" xfId="37018" xr:uid="{00000000-0005-0000-0000-0000105D0000}"/>
    <cellStyle name="Normal 18 12 2 3 4 4" xfId="17882" xr:uid="{00000000-0005-0000-0000-0000115D0000}"/>
    <cellStyle name="Normal 18 12 2 3 5" xfId="43551" xr:uid="{00000000-0005-0000-0000-0000125D0000}"/>
    <cellStyle name="Normal 18 12 2 3 6" xfId="27451" xr:uid="{00000000-0005-0000-0000-0000135D0000}"/>
    <cellStyle name="Normal 18 12 2 3 7" xfId="14387" xr:uid="{00000000-0005-0000-0000-0000145D0000}"/>
    <cellStyle name="Normal 18 12 2 4" xfId="4267" xr:uid="{00000000-0005-0000-0000-0000155D0000}"/>
    <cellStyle name="Normal 18 12 2 4 2" xfId="36008" xr:uid="{00000000-0005-0000-0000-0000165D0000}"/>
    <cellStyle name="Normal 18 12 2 4 2 2" xfId="52108" xr:uid="{00000000-0005-0000-0000-0000175D0000}"/>
    <cellStyle name="Normal 18 12 2 4 3" xfId="42541" xr:uid="{00000000-0005-0000-0000-0000185D0000}"/>
    <cellStyle name="Normal 18 12 2 4 4" xfId="26441" xr:uid="{00000000-0005-0000-0000-0000195D0000}"/>
    <cellStyle name="Normal 18 12 2 4 5" xfId="16872" xr:uid="{00000000-0005-0000-0000-00001A5D0000}"/>
    <cellStyle name="Normal 18 12 2 5" xfId="7303" xr:uid="{00000000-0005-0000-0000-00001B5D0000}"/>
    <cellStyle name="Normal 18 12 2 5 2" xfId="39044" xr:uid="{00000000-0005-0000-0000-00001C5D0000}"/>
    <cellStyle name="Normal 18 12 2 5 2 2" xfId="55144" xr:uid="{00000000-0005-0000-0000-00001D5D0000}"/>
    <cellStyle name="Normal 18 12 2 5 3" xfId="45577" xr:uid="{00000000-0005-0000-0000-00001E5D0000}"/>
    <cellStyle name="Normal 18 12 2 5 4" xfId="29477" xr:uid="{00000000-0005-0000-0000-00001F5D0000}"/>
    <cellStyle name="Normal 18 12 2 5 5" xfId="19908" xr:uid="{00000000-0005-0000-0000-0000205D0000}"/>
    <cellStyle name="Normal 18 12 2 6" xfId="10339" xr:uid="{00000000-0005-0000-0000-0000215D0000}"/>
    <cellStyle name="Normal 18 12 2 6 2" xfId="48613" xr:uid="{00000000-0005-0000-0000-0000225D0000}"/>
    <cellStyle name="Normal 18 12 2 6 3" xfId="32513" xr:uid="{00000000-0005-0000-0000-0000235D0000}"/>
    <cellStyle name="Normal 18 12 2 6 4" xfId="22944" xr:uid="{00000000-0005-0000-0000-0000245D0000}"/>
    <cellStyle name="Normal 18 12 2 7" xfId="3362" xr:uid="{00000000-0005-0000-0000-0000255D0000}"/>
    <cellStyle name="Normal 18 12 2 7 2" xfId="51203" xr:uid="{00000000-0005-0000-0000-0000265D0000}"/>
    <cellStyle name="Normal 18 12 2 7 3" xfId="35103" xr:uid="{00000000-0005-0000-0000-0000275D0000}"/>
    <cellStyle name="Normal 18 12 2 7 4" xfId="15967" xr:uid="{00000000-0005-0000-0000-0000285D0000}"/>
    <cellStyle name="Normal 18 12 2 8" xfId="41636" xr:uid="{00000000-0005-0000-0000-0000295D0000}"/>
    <cellStyle name="Normal 18 12 2 9" xfId="25536" xr:uid="{00000000-0005-0000-0000-00002A5D0000}"/>
    <cellStyle name="Normal 18 12 3" xfId="627" xr:uid="{00000000-0005-0000-0000-00002B5D0000}"/>
    <cellStyle name="Normal 18 12 3 2" xfId="2655" xr:uid="{00000000-0005-0000-0000-00002C5D0000}"/>
    <cellStyle name="Normal 18 12 3 2 2" xfId="9187" xr:uid="{00000000-0005-0000-0000-00002D5D0000}"/>
    <cellStyle name="Normal 18 12 3 2 2 2" xfId="40928" xr:uid="{00000000-0005-0000-0000-00002E5D0000}"/>
    <cellStyle name="Normal 18 12 3 2 2 2 2" xfId="57028" xr:uid="{00000000-0005-0000-0000-00002F5D0000}"/>
    <cellStyle name="Normal 18 12 3 2 2 3" xfId="47461" xr:uid="{00000000-0005-0000-0000-0000305D0000}"/>
    <cellStyle name="Normal 18 12 3 2 2 4" xfId="31361" xr:uid="{00000000-0005-0000-0000-0000315D0000}"/>
    <cellStyle name="Normal 18 12 3 2 2 5" xfId="21792" xr:uid="{00000000-0005-0000-0000-0000325D0000}"/>
    <cellStyle name="Normal 18 12 3 2 3" xfId="12223" xr:uid="{00000000-0005-0000-0000-0000335D0000}"/>
    <cellStyle name="Normal 18 12 3 2 3 2" xfId="50497" xr:uid="{00000000-0005-0000-0000-0000345D0000}"/>
    <cellStyle name="Normal 18 12 3 2 3 3" xfId="34397" xr:uid="{00000000-0005-0000-0000-0000355D0000}"/>
    <cellStyle name="Normal 18 12 3 2 3 4" xfId="24828" xr:uid="{00000000-0005-0000-0000-0000365D0000}"/>
    <cellStyle name="Normal 18 12 3 2 4" xfId="6151" xr:uid="{00000000-0005-0000-0000-0000375D0000}"/>
    <cellStyle name="Normal 18 12 3 2 4 2" xfId="53992" xr:uid="{00000000-0005-0000-0000-0000385D0000}"/>
    <cellStyle name="Normal 18 12 3 2 4 3" xfId="37892" xr:uid="{00000000-0005-0000-0000-0000395D0000}"/>
    <cellStyle name="Normal 18 12 3 2 4 4" xfId="18756" xr:uid="{00000000-0005-0000-0000-00003A5D0000}"/>
    <cellStyle name="Normal 18 12 3 2 5" xfId="44425" xr:uid="{00000000-0005-0000-0000-00003B5D0000}"/>
    <cellStyle name="Normal 18 12 3 2 6" xfId="28325" xr:uid="{00000000-0005-0000-0000-00003C5D0000}"/>
    <cellStyle name="Normal 18 12 3 2 7" xfId="15261" xr:uid="{00000000-0005-0000-0000-00003D5D0000}"/>
    <cellStyle name="Normal 18 12 3 3" xfId="1637" xr:uid="{00000000-0005-0000-0000-00003E5D0000}"/>
    <cellStyle name="Normal 18 12 3 3 2" xfId="8171" xr:uid="{00000000-0005-0000-0000-00003F5D0000}"/>
    <cellStyle name="Normal 18 12 3 3 2 2" xfId="39912" xr:uid="{00000000-0005-0000-0000-0000405D0000}"/>
    <cellStyle name="Normal 18 12 3 3 2 2 2" xfId="56012" xr:uid="{00000000-0005-0000-0000-0000415D0000}"/>
    <cellStyle name="Normal 18 12 3 3 2 3" xfId="46445" xr:uid="{00000000-0005-0000-0000-0000425D0000}"/>
    <cellStyle name="Normal 18 12 3 3 2 4" xfId="30345" xr:uid="{00000000-0005-0000-0000-0000435D0000}"/>
    <cellStyle name="Normal 18 12 3 3 2 5" xfId="20776" xr:uid="{00000000-0005-0000-0000-0000445D0000}"/>
    <cellStyle name="Normal 18 12 3 3 3" xfId="11207" xr:uid="{00000000-0005-0000-0000-0000455D0000}"/>
    <cellStyle name="Normal 18 12 3 3 3 2" xfId="49481" xr:uid="{00000000-0005-0000-0000-0000465D0000}"/>
    <cellStyle name="Normal 18 12 3 3 3 3" xfId="33381" xr:uid="{00000000-0005-0000-0000-0000475D0000}"/>
    <cellStyle name="Normal 18 12 3 3 3 4" xfId="23812" xr:uid="{00000000-0005-0000-0000-0000485D0000}"/>
    <cellStyle name="Normal 18 12 3 3 4" xfId="5135" xr:uid="{00000000-0005-0000-0000-0000495D0000}"/>
    <cellStyle name="Normal 18 12 3 3 4 2" xfId="52976" xr:uid="{00000000-0005-0000-0000-00004A5D0000}"/>
    <cellStyle name="Normal 18 12 3 3 4 3" xfId="36876" xr:uid="{00000000-0005-0000-0000-00004B5D0000}"/>
    <cellStyle name="Normal 18 12 3 3 4 4" xfId="17740" xr:uid="{00000000-0005-0000-0000-00004C5D0000}"/>
    <cellStyle name="Normal 18 12 3 3 5" xfId="43409" xr:uid="{00000000-0005-0000-0000-00004D5D0000}"/>
    <cellStyle name="Normal 18 12 3 3 6" xfId="27309" xr:uid="{00000000-0005-0000-0000-00004E5D0000}"/>
    <cellStyle name="Normal 18 12 3 3 7" xfId="14245" xr:uid="{00000000-0005-0000-0000-00004F5D0000}"/>
    <cellStyle name="Normal 18 12 3 4" xfId="7161" xr:uid="{00000000-0005-0000-0000-0000505D0000}"/>
    <cellStyle name="Normal 18 12 3 4 2" xfId="38902" xr:uid="{00000000-0005-0000-0000-0000515D0000}"/>
    <cellStyle name="Normal 18 12 3 4 2 2" xfId="55002" xr:uid="{00000000-0005-0000-0000-0000525D0000}"/>
    <cellStyle name="Normal 18 12 3 4 3" xfId="45435" xr:uid="{00000000-0005-0000-0000-0000535D0000}"/>
    <cellStyle name="Normal 18 12 3 4 4" xfId="29335" xr:uid="{00000000-0005-0000-0000-0000545D0000}"/>
    <cellStyle name="Normal 18 12 3 4 5" xfId="19766" xr:uid="{00000000-0005-0000-0000-0000555D0000}"/>
    <cellStyle name="Normal 18 12 3 5" xfId="10197" xr:uid="{00000000-0005-0000-0000-0000565D0000}"/>
    <cellStyle name="Normal 18 12 3 5 2" xfId="48471" xr:uid="{00000000-0005-0000-0000-0000575D0000}"/>
    <cellStyle name="Normal 18 12 3 5 3" xfId="32371" xr:uid="{00000000-0005-0000-0000-0000585D0000}"/>
    <cellStyle name="Normal 18 12 3 5 4" xfId="22802" xr:uid="{00000000-0005-0000-0000-0000595D0000}"/>
    <cellStyle name="Normal 18 12 3 6" xfId="4125" xr:uid="{00000000-0005-0000-0000-00005A5D0000}"/>
    <cellStyle name="Normal 18 12 3 6 2" xfId="51966" xr:uid="{00000000-0005-0000-0000-00005B5D0000}"/>
    <cellStyle name="Normal 18 12 3 6 3" xfId="35866" xr:uid="{00000000-0005-0000-0000-00005C5D0000}"/>
    <cellStyle name="Normal 18 12 3 6 4" xfId="16730" xr:uid="{00000000-0005-0000-0000-00005D5D0000}"/>
    <cellStyle name="Normal 18 12 3 7" xfId="42399" xr:uid="{00000000-0005-0000-0000-00005E5D0000}"/>
    <cellStyle name="Normal 18 12 3 8" xfId="26299" xr:uid="{00000000-0005-0000-0000-00005F5D0000}"/>
    <cellStyle name="Normal 18 12 3 9" xfId="13235" xr:uid="{00000000-0005-0000-0000-0000605D0000}"/>
    <cellStyle name="Normal 18 12 4" xfId="2427" xr:uid="{00000000-0005-0000-0000-0000615D0000}"/>
    <cellStyle name="Normal 18 12 4 2" xfId="8959" xr:uid="{00000000-0005-0000-0000-0000625D0000}"/>
    <cellStyle name="Normal 18 12 4 2 2" xfId="40700" xr:uid="{00000000-0005-0000-0000-0000635D0000}"/>
    <cellStyle name="Normal 18 12 4 2 2 2" xfId="56800" xr:uid="{00000000-0005-0000-0000-0000645D0000}"/>
    <cellStyle name="Normal 18 12 4 2 3" xfId="47233" xr:uid="{00000000-0005-0000-0000-0000655D0000}"/>
    <cellStyle name="Normal 18 12 4 2 4" xfId="31133" xr:uid="{00000000-0005-0000-0000-0000665D0000}"/>
    <cellStyle name="Normal 18 12 4 2 5" xfId="21564" xr:uid="{00000000-0005-0000-0000-0000675D0000}"/>
    <cellStyle name="Normal 18 12 4 3" xfId="11995" xr:uid="{00000000-0005-0000-0000-0000685D0000}"/>
    <cellStyle name="Normal 18 12 4 3 2" xfId="50269" xr:uid="{00000000-0005-0000-0000-0000695D0000}"/>
    <cellStyle name="Normal 18 12 4 3 3" xfId="34169" xr:uid="{00000000-0005-0000-0000-00006A5D0000}"/>
    <cellStyle name="Normal 18 12 4 3 4" xfId="24600" xr:uid="{00000000-0005-0000-0000-00006B5D0000}"/>
    <cellStyle name="Normal 18 12 4 4" xfId="5923" xr:uid="{00000000-0005-0000-0000-00006C5D0000}"/>
    <cellStyle name="Normal 18 12 4 4 2" xfId="53764" xr:uid="{00000000-0005-0000-0000-00006D5D0000}"/>
    <cellStyle name="Normal 18 12 4 4 3" xfId="37664" xr:uid="{00000000-0005-0000-0000-00006E5D0000}"/>
    <cellStyle name="Normal 18 12 4 4 4" xfId="18528" xr:uid="{00000000-0005-0000-0000-00006F5D0000}"/>
    <cellStyle name="Normal 18 12 4 5" xfId="44197" xr:uid="{00000000-0005-0000-0000-0000705D0000}"/>
    <cellStyle name="Normal 18 12 4 6" xfId="28097" xr:uid="{00000000-0005-0000-0000-0000715D0000}"/>
    <cellStyle name="Normal 18 12 4 7" xfId="15033" xr:uid="{00000000-0005-0000-0000-0000725D0000}"/>
    <cellStyle name="Normal 18 12 5" xfId="1096" xr:uid="{00000000-0005-0000-0000-0000735D0000}"/>
    <cellStyle name="Normal 18 12 5 2" xfId="7630" xr:uid="{00000000-0005-0000-0000-0000745D0000}"/>
    <cellStyle name="Normal 18 12 5 2 2" xfId="39371" xr:uid="{00000000-0005-0000-0000-0000755D0000}"/>
    <cellStyle name="Normal 18 12 5 2 2 2" xfId="55471" xr:uid="{00000000-0005-0000-0000-0000765D0000}"/>
    <cellStyle name="Normal 18 12 5 2 3" xfId="45904" xr:uid="{00000000-0005-0000-0000-0000775D0000}"/>
    <cellStyle name="Normal 18 12 5 2 4" xfId="29804" xr:uid="{00000000-0005-0000-0000-0000785D0000}"/>
    <cellStyle name="Normal 18 12 5 2 5" xfId="20235" xr:uid="{00000000-0005-0000-0000-0000795D0000}"/>
    <cellStyle name="Normal 18 12 5 3" xfId="10666" xr:uid="{00000000-0005-0000-0000-00007A5D0000}"/>
    <cellStyle name="Normal 18 12 5 3 2" xfId="48940" xr:uid="{00000000-0005-0000-0000-00007B5D0000}"/>
    <cellStyle name="Normal 18 12 5 3 3" xfId="32840" xr:uid="{00000000-0005-0000-0000-00007C5D0000}"/>
    <cellStyle name="Normal 18 12 5 3 4" xfId="23271" xr:uid="{00000000-0005-0000-0000-00007D5D0000}"/>
    <cellStyle name="Normal 18 12 5 4" xfId="4594" xr:uid="{00000000-0005-0000-0000-00007E5D0000}"/>
    <cellStyle name="Normal 18 12 5 4 2" xfId="52435" xr:uid="{00000000-0005-0000-0000-00007F5D0000}"/>
    <cellStyle name="Normal 18 12 5 4 3" xfId="36335" xr:uid="{00000000-0005-0000-0000-0000805D0000}"/>
    <cellStyle name="Normal 18 12 5 4 4" xfId="17199" xr:uid="{00000000-0005-0000-0000-0000815D0000}"/>
    <cellStyle name="Normal 18 12 5 5" xfId="42868" xr:uid="{00000000-0005-0000-0000-0000825D0000}"/>
    <cellStyle name="Normal 18 12 5 6" xfId="26768" xr:uid="{00000000-0005-0000-0000-0000835D0000}"/>
    <cellStyle name="Normal 18 12 5 7" xfId="13704" xr:uid="{00000000-0005-0000-0000-0000845D0000}"/>
    <cellStyle name="Normal 18 12 6" xfId="3584" xr:uid="{00000000-0005-0000-0000-0000855D0000}"/>
    <cellStyle name="Normal 18 12 6 2" xfId="35325" xr:uid="{00000000-0005-0000-0000-0000865D0000}"/>
    <cellStyle name="Normal 18 12 6 2 2" xfId="51425" xr:uid="{00000000-0005-0000-0000-0000875D0000}"/>
    <cellStyle name="Normal 18 12 6 3" xfId="41858" xr:uid="{00000000-0005-0000-0000-0000885D0000}"/>
    <cellStyle name="Normal 18 12 6 4" xfId="25758" xr:uid="{00000000-0005-0000-0000-0000895D0000}"/>
    <cellStyle name="Normal 18 12 6 5" xfId="16189" xr:uid="{00000000-0005-0000-0000-00008A5D0000}"/>
    <cellStyle name="Normal 18 12 7" xfId="6620" xr:uid="{00000000-0005-0000-0000-00008B5D0000}"/>
    <cellStyle name="Normal 18 12 7 2" xfId="38361" xr:uid="{00000000-0005-0000-0000-00008C5D0000}"/>
    <cellStyle name="Normal 18 12 7 2 2" xfId="54461" xr:uid="{00000000-0005-0000-0000-00008D5D0000}"/>
    <cellStyle name="Normal 18 12 7 3" xfId="44894" xr:uid="{00000000-0005-0000-0000-00008E5D0000}"/>
    <cellStyle name="Normal 18 12 7 4" xfId="28794" xr:uid="{00000000-0005-0000-0000-00008F5D0000}"/>
    <cellStyle name="Normal 18 12 7 5" xfId="19225" xr:uid="{00000000-0005-0000-0000-0000905D0000}"/>
    <cellStyle name="Normal 18 12 8" xfId="9656" xr:uid="{00000000-0005-0000-0000-0000915D0000}"/>
    <cellStyle name="Normal 18 12 8 2" xfId="47930" xr:uid="{00000000-0005-0000-0000-0000925D0000}"/>
    <cellStyle name="Normal 18 12 8 3" xfId="31830" xr:uid="{00000000-0005-0000-0000-0000935D0000}"/>
    <cellStyle name="Normal 18 12 8 4" xfId="22261" xr:uid="{00000000-0005-0000-0000-0000945D0000}"/>
    <cellStyle name="Normal 18 12 9" xfId="3124" xr:uid="{00000000-0005-0000-0000-0000955D0000}"/>
    <cellStyle name="Normal 18 12 9 2" xfId="50966" xr:uid="{00000000-0005-0000-0000-0000965D0000}"/>
    <cellStyle name="Normal 18 12 9 3" xfId="34866" xr:uid="{00000000-0005-0000-0000-0000975D0000}"/>
    <cellStyle name="Normal 18 12 9 4" xfId="15730" xr:uid="{00000000-0005-0000-0000-0000985D0000}"/>
    <cellStyle name="Normal 18 13" xfId="509" xr:uid="{00000000-0005-0000-0000-0000995D0000}"/>
    <cellStyle name="Normal 18 13 10" xfId="25492" xr:uid="{00000000-0005-0000-0000-00009A5D0000}"/>
    <cellStyle name="Normal 18 13 11" xfId="12886" xr:uid="{00000000-0005-0000-0000-00009B5D0000}"/>
    <cellStyle name="Normal 18 13 2" xfId="961" xr:uid="{00000000-0005-0000-0000-00009C5D0000}"/>
    <cellStyle name="Normal 18 13 2 2" xfId="2989" xr:uid="{00000000-0005-0000-0000-00009D5D0000}"/>
    <cellStyle name="Normal 18 13 2 2 2" xfId="9521" xr:uid="{00000000-0005-0000-0000-00009E5D0000}"/>
    <cellStyle name="Normal 18 13 2 2 2 2" xfId="41262" xr:uid="{00000000-0005-0000-0000-00009F5D0000}"/>
    <cellStyle name="Normal 18 13 2 2 2 2 2" xfId="57362" xr:uid="{00000000-0005-0000-0000-0000A05D0000}"/>
    <cellStyle name="Normal 18 13 2 2 2 3" xfId="47795" xr:uid="{00000000-0005-0000-0000-0000A15D0000}"/>
    <cellStyle name="Normal 18 13 2 2 2 4" xfId="31695" xr:uid="{00000000-0005-0000-0000-0000A25D0000}"/>
    <cellStyle name="Normal 18 13 2 2 2 5" xfId="22126" xr:uid="{00000000-0005-0000-0000-0000A35D0000}"/>
    <cellStyle name="Normal 18 13 2 2 3" xfId="12557" xr:uid="{00000000-0005-0000-0000-0000A45D0000}"/>
    <cellStyle name="Normal 18 13 2 2 3 2" xfId="50831" xr:uid="{00000000-0005-0000-0000-0000A55D0000}"/>
    <cellStyle name="Normal 18 13 2 2 3 3" xfId="34731" xr:uid="{00000000-0005-0000-0000-0000A65D0000}"/>
    <cellStyle name="Normal 18 13 2 2 3 4" xfId="25162" xr:uid="{00000000-0005-0000-0000-0000A75D0000}"/>
    <cellStyle name="Normal 18 13 2 2 4" xfId="6485" xr:uid="{00000000-0005-0000-0000-0000A85D0000}"/>
    <cellStyle name="Normal 18 13 2 2 4 2" xfId="54326" xr:uid="{00000000-0005-0000-0000-0000A95D0000}"/>
    <cellStyle name="Normal 18 13 2 2 4 3" xfId="38226" xr:uid="{00000000-0005-0000-0000-0000AA5D0000}"/>
    <cellStyle name="Normal 18 13 2 2 4 4" xfId="19090" xr:uid="{00000000-0005-0000-0000-0000AB5D0000}"/>
    <cellStyle name="Normal 18 13 2 2 5" xfId="44759" xr:uid="{00000000-0005-0000-0000-0000AC5D0000}"/>
    <cellStyle name="Normal 18 13 2 2 6" xfId="28659" xr:uid="{00000000-0005-0000-0000-0000AD5D0000}"/>
    <cellStyle name="Normal 18 13 2 2 7" xfId="15595" xr:uid="{00000000-0005-0000-0000-0000AE5D0000}"/>
    <cellStyle name="Normal 18 13 2 3" xfId="1971" xr:uid="{00000000-0005-0000-0000-0000AF5D0000}"/>
    <cellStyle name="Normal 18 13 2 3 2" xfId="8505" xr:uid="{00000000-0005-0000-0000-0000B05D0000}"/>
    <cellStyle name="Normal 18 13 2 3 2 2" xfId="40246" xr:uid="{00000000-0005-0000-0000-0000B15D0000}"/>
    <cellStyle name="Normal 18 13 2 3 2 2 2" xfId="56346" xr:uid="{00000000-0005-0000-0000-0000B25D0000}"/>
    <cellStyle name="Normal 18 13 2 3 2 3" xfId="46779" xr:uid="{00000000-0005-0000-0000-0000B35D0000}"/>
    <cellStyle name="Normal 18 13 2 3 2 4" xfId="30679" xr:uid="{00000000-0005-0000-0000-0000B45D0000}"/>
    <cellStyle name="Normal 18 13 2 3 2 5" xfId="21110" xr:uid="{00000000-0005-0000-0000-0000B55D0000}"/>
    <cellStyle name="Normal 18 13 2 3 3" xfId="11541" xr:uid="{00000000-0005-0000-0000-0000B65D0000}"/>
    <cellStyle name="Normal 18 13 2 3 3 2" xfId="49815" xr:uid="{00000000-0005-0000-0000-0000B75D0000}"/>
    <cellStyle name="Normal 18 13 2 3 3 3" xfId="33715" xr:uid="{00000000-0005-0000-0000-0000B85D0000}"/>
    <cellStyle name="Normal 18 13 2 3 3 4" xfId="24146" xr:uid="{00000000-0005-0000-0000-0000B95D0000}"/>
    <cellStyle name="Normal 18 13 2 3 4" xfId="5469" xr:uid="{00000000-0005-0000-0000-0000BA5D0000}"/>
    <cellStyle name="Normal 18 13 2 3 4 2" xfId="53310" xr:uid="{00000000-0005-0000-0000-0000BB5D0000}"/>
    <cellStyle name="Normal 18 13 2 3 4 3" xfId="37210" xr:uid="{00000000-0005-0000-0000-0000BC5D0000}"/>
    <cellStyle name="Normal 18 13 2 3 4 4" xfId="18074" xr:uid="{00000000-0005-0000-0000-0000BD5D0000}"/>
    <cellStyle name="Normal 18 13 2 3 5" xfId="43743" xr:uid="{00000000-0005-0000-0000-0000BE5D0000}"/>
    <cellStyle name="Normal 18 13 2 3 6" xfId="27643" xr:uid="{00000000-0005-0000-0000-0000BF5D0000}"/>
    <cellStyle name="Normal 18 13 2 3 7" xfId="14579" xr:uid="{00000000-0005-0000-0000-0000C05D0000}"/>
    <cellStyle name="Normal 18 13 2 4" xfId="7495" xr:uid="{00000000-0005-0000-0000-0000C15D0000}"/>
    <cellStyle name="Normal 18 13 2 4 2" xfId="39236" xr:uid="{00000000-0005-0000-0000-0000C25D0000}"/>
    <cellStyle name="Normal 18 13 2 4 2 2" xfId="55336" xr:uid="{00000000-0005-0000-0000-0000C35D0000}"/>
    <cellStyle name="Normal 18 13 2 4 3" xfId="45769" xr:uid="{00000000-0005-0000-0000-0000C45D0000}"/>
    <cellStyle name="Normal 18 13 2 4 4" xfId="29669" xr:uid="{00000000-0005-0000-0000-0000C55D0000}"/>
    <cellStyle name="Normal 18 13 2 4 5" xfId="20100" xr:uid="{00000000-0005-0000-0000-0000C65D0000}"/>
    <cellStyle name="Normal 18 13 2 5" xfId="10531" xr:uid="{00000000-0005-0000-0000-0000C75D0000}"/>
    <cellStyle name="Normal 18 13 2 5 2" xfId="48805" xr:uid="{00000000-0005-0000-0000-0000C85D0000}"/>
    <cellStyle name="Normal 18 13 2 5 3" xfId="32705" xr:uid="{00000000-0005-0000-0000-0000C95D0000}"/>
    <cellStyle name="Normal 18 13 2 5 4" xfId="23136" xr:uid="{00000000-0005-0000-0000-0000CA5D0000}"/>
    <cellStyle name="Normal 18 13 2 6" xfId="4459" xr:uid="{00000000-0005-0000-0000-0000CB5D0000}"/>
    <cellStyle name="Normal 18 13 2 6 2" xfId="52300" xr:uid="{00000000-0005-0000-0000-0000CC5D0000}"/>
    <cellStyle name="Normal 18 13 2 6 3" xfId="36200" xr:uid="{00000000-0005-0000-0000-0000CD5D0000}"/>
    <cellStyle name="Normal 18 13 2 6 4" xfId="17064" xr:uid="{00000000-0005-0000-0000-0000CE5D0000}"/>
    <cellStyle name="Normal 18 13 2 7" xfId="42733" xr:uid="{00000000-0005-0000-0000-0000CF5D0000}"/>
    <cellStyle name="Normal 18 13 2 8" xfId="26633" xr:uid="{00000000-0005-0000-0000-0000D05D0000}"/>
    <cellStyle name="Normal 18 13 2 9" xfId="13569" xr:uid="{00000000-0005-0000-0000-0000D15D0000}"/>
    <cellStyle name="Normal 18 13 3" xfId="2539" xr:uid="{00000000-0005-0000-0000-0000D25D0000}"/>
    <cellStyle name="Normal 18 13 3 2" xfId="9071" xr:uid="{00000000-0005-0000-0000-0000D35D0000}"/>
    <cellStyle name="Normal 18 13 3 2 2" xfId="40812" xr:uid="{00000000-0005-0000-0000-0000D45D0000}"/>
    <cellStyle name="Normal 18 13 3 2 2 2" xfId="56912" xr:uid="{00000000-0005-0000-0000-0000D55D0000}"/>
    <cellStyle name="Normal 18 13 3 2 3" xfId="47345" xr:uid="{00000000-0005-0000-0000-0000D65D0000}"/>
    <cellStyle name="Normal 18 13 3 2 4" xfId="31245" xr:uid="{00000000-0005-0000-0000-0000D75D0000}"/>
    <cellStyle name="Normal 18 13 3 2 5" xfId="21676" xr:uid="{00000000-0005-0000-0000-0000D85D0000}"/>
    <cellStyle name="Normal 18 13 3 3" xfId="12107" xr:uid="{00000000-0005-0000-0000-0000D95D0000}"/>
    <cellStyle name="Normal 18 13 3 3 2" xfId="50381" xr:uid="{00000000-0005-0000-0000-0000DA5D0000}"/>
    <cellStyle name="Normal 18 13 3 3 3" xfId="34281" xr:uid="{00000000-0005-0000-0000-0000DB5D0000}"/>
    <cellStyle name="Normal 18 13 3 3 4" xfId="24712" xr:uid="{00000000-0005-0000-0000-0000DC5D0000}"/>
    <cellStyle name="Normal 18 13 3 4" xfId="6035" xr:uid="{00000000-0005-0000-0000-0000DD5D0000}"/>
    <cellStyle name="Normal 18 13 3 4 2" xfId="53876" xr:uid="{00000000-0005-0000-0000-0000DE5D0000}"/>
    <cellStyle name="Normal 18 13 3 4 3" xfId="37776" xr:uid="{00000000-0005-0000-0000-0000DF5D0000}"/>
    <cellStyle name="Normal 18 13 3 4 4" xfId="18640" xr:uid="{00000000-0005-0000-0000-0000E05D0000}"/>
    <cellStyle name="Normal 18 13 3 5" xfId="44309" xr:uid="{00000000-0005-0000-0000-0000E15D0000}"/>
    <cellStyle name="Normal 18 13 3 6" xfId="28209" xr:uid="{00000000-0005-0000-0000-0000E25D0000}"/>
    <cellStyle name="Normal 18 13 3 7" xfId="15145" xr:uid="{00000000-0005-0000-0000-0000E35D0000}"/>
    <cellStyle name="Normal 18 13 4" xfId="1288" xr:uid="{00000000-0005-0000-0000-0000E45D0000}"/>
    <cellStyle name="Normal 18 13 4 2" xfId="7822" xr:uid="{00000000-0005-0000-0000-0000E55D0000}"/>
    <cellStyle name="Normal 18 13 4 2 2" xfId="39563" xr:uid="{00000000-0005-0000-0000-0000E65D0000}"/>
    <cellStyle name="Normal 18 13 4 2 2 2" xfId="55663" xr:uid="{00000000-0005-0000-0000-0000E75D0000}"/>
    <cellStyle name="Normal 18 13 4 2 3" xfId="46096" xr:uid="{00000000-0005-0000-0000-0000E85D0000}"/>
    <cellStyle name="Normal 18 13 4 2 4" xfId="29996" xr:uid="{00000000-0005-0000-0000-0000E95D0000}"/>
    <cellStyle name="Normal 18 13 4 2 5" xfId="20427" xr:uid="{00000000-0005-0000-0000-0000EA5D0000}"/>
    <cellStyle name="Normal 18 13 4 3" xfId="10858" xr:uid="{00000000-0005-0000-0000-0000EB5D0000}"/>
    <cellStyle name="Normal 18 13 4 3 2" xfId="49132" xr:uid="{00000000-0005-0000-0000-0000EC5D0000}"/>
    <cellStyle name="Normal 18 13 4 3 3" xfId="33032" xr:uid="{00000000-0005-0000-0000-0000ED5D0000}"/>
    <cellStyle name="Normal 18 13 4 3 4" xfId="23463" xr:uid="{00000000-0005-0000-0000-0000EE5D0000}"/>
    <cellStyle name="Normal 18 13 4 4" xfId="4786" xr:uid="{00000000-0005-0000-0000-0000EF5D0000}"/>
    <cellStyle name="Normal 18 13 4 4 2" xfId="52627" xr:uid="{00000000-0005-0000-0000-0000F05D0000}"/>
    <cellStyle name="Normal 18 13 4 4 3" xfId="36527" xr:uid="{00000000-0005-0000-0000-0000F15D0000}"/>
    <cellStyle name="Normal 18 13 4 4 4" xfId="17391" xr:uid="{00000000-0005-0000-0000-0000F25D0000}"/>
    <cellStyle name="Normal 18 13 4 5" xfId="43060" xr:uid="{00000000-0005-0000-0000-0000F35D0000}"/>
    <cellStyle name="Normal 18 13 4 6" xfId="26960" xr:uid="{00000000-0005-0000-0000-0000F45D0000}"/>
    <cellStyle name="Normal 18 13 4 7" xfId="13896" xr:uid="{00000000-0005-0000-0000-0000F55D0000}"/>
    <cellStyle name="Normal 18 13 5" xfId="3776" xr:uid="{00000000-0005-0000-0000-0000F65D0000}"/>
    <cellStyle name="Normal 18 13 5 2" xfId="35517" xr:uid="{00000000-0005-0000-0000-0000F75D0000}"/>
    <cellStyle name="Normal 18 13 5 2 2" xfId="51617" xr:uid="{00000000-0005-0000-0000-0000F85D0000}"/>
    <cellStyle name="Normal 18 13 5 3" xfId="42050" xr:uid="{00000000-0005-0000-0000-0000F95D0000}"/>
    <cellStyle name="Normal 18 13 5 4" xfId="25950" xr:uid="{00000000-0005-0000-0000-0000FA5D0000}"/>
    <cellStyle name="Normal 18 13 5 5" xfId="16381" xr:uid="{00000000-0005-0000-0000-0000FB5D0000}"/>
    <cellStyle name="Normal 18 13 6" xfId="6812" xr:uid="{00000000-0005-0000-0000-0000FC5D0000}"/>
    <cellStyle name="Normal 18 13 6 2" xfId="38553" xr:uid="{00000000-0005-0000-0000-0000FD5D0000}"/>
    <cellStyle name="Normal 18 13 6 2 2" xfId="54653" xr:uid="{00000000-0005-0000-0000-0000FE5D0000}"/>
    <cellStyle name="Normal 18 13 6 3" xfId="45086" xr:uid="{00000000-0005-0000-0000-0000FF5D0000}"/>
    <cellStyle name="Normal 18 13 6 4" xfId="28986" xr:uid="{00000000-0005-0000-0000-0000005E0000}"/>
    <cellStyle name="Normal 18 13 6 5" xfId="19417" xr:uid="{00000000-0005-0000-0000-0000015E0000}"/>
    <cellStyle name="Normal 18 13 7" xfId="9848" xr:uid="{00000000-0005-0000-0000-0000025E0000}"/>
    <cellStyle name="Normal 18 13 7 2" xfId="48122" xr:uid="{00000000-0005-0000-0000-0000035E0000}"/>
    <cellStyle name="Normal 18 13 7 3" xfId="32022" xr:uid="{00000000-0005-0000-0000-0000045E0000}"/>
    <cellStyle name="Normal 18 13 7 4" xfId="22453" xr:uid="{00000000-0005-0000-0000-0000055E0000}"/>
    <cellStyle name="Normal 18 13 8" xfId="3318" xr:uid="{00000000-0005-0000-0000-0000065E0000}"/>
    <cellStyle name="Normal 18 13 8 2" xfId="51159" xr:uid="{00000000-0005-0000-0000-0000075E0000}"/>
    <cellStyle name="Normal 18 13 8 3" xfId="35059" xr:uid="{00000000-0005-0000-0000-0000085E0000}"/>
    <cellStyle name="Normal 18 13 8 4" xfId="15923" xr:uid="{00000000-0005-0000-0000-0000095E0000}"/>
    <cellStyle name="Normal 18 13 9" xfId="41592" xr:uid="{00000000-0005-0000-0000-00000A5E0000}"/>
    <cellStyle name="Normal 18 14" xfId="739" xr:uid="{00000000-0005-0000-0000-00000B5E0000}"/>
    <cellStyle name="Normal 18 14 10" xfId="13347" xr:uid="{00000000-0005-0000-0000-00000C5E0000}"/>
    <cellStyle name="Normal 18 14 2" xfId="2767" xr:uid="{00000000-0005-0000-0000-00000D5E0000}"/>
    <cellStyle name="Normal 18 14 2 2" xfId="9299" xr:uid="{00000000-0005-0000-0000-00000E5E0000}"/>
    <cellStyle name="Normal 18 14 2 2 2" xfId="41040" xr:uid="{00000000-0005-0000-0000-00000F5E0000}"/>
    <cellStyle name="Normal 18 14 2 2 2 2" xfId="57140" xr:uid="{00000000-0005-0000-0000-0000105E0000}"/>
    <cellStyle name="Normal 18 14 2 2 3" xfId="47573" xr:uid="{00000000-0005-0000-0000-0000115E0000}"/>
    <cellStyle name="Normal 18 14 2 2 4" xfId="31473" xr:uid="{00000000-0005-0000-0000-0000125E0000}"/>
    <cellStyle name="Normal 18 14 2 2 5" xfId="21904" xr:uid="{00000000-0005-0000-0000-0000135E0000}"/>
    <cellStyle name="Normal 18 14 2 3" xfId="12335" xr:uid="{00000000-0005-0000-0000-0000145E0000}"/>
    <cellStyle name="Normal 18 14 2 3 2" xfId="50609" xr:uid="{00000000-0005-0000-0000-0000155E0000}"/>
    <cellStyle name="Normal 18 14 2 3 3" xfId="34509" xr:uid="{00000000-0005-0000-0000-0000165E0000}"/>
    <cellStyle name="Normal 18 14 2 3 4" xfId="24940" xr:uid="{00000000-0005-0000-0000-0000175E0000}"/>
    <cellStyle name="Normal 18 14 2 4" xfId="6263" xr:uid="{00000000-0005-0000-0000-0000185E0000}"/>
    <cellStyle name="Normal 18 14 2 4 2" xfId="54104" xr:uid="{00000000-0005-0000-0000-0000195E0000}"/>
    <cellStyle name="Normal 18 14 2 4 3" xfId="38004" xr:uid="{00000000-0005-0000-0000-00001A5E0000}"/>
    <cellStyle name="Normal 18 14 2 4 4" xfId="18868" xr:uid="{00000000-0005-0000-0000-00001B5E0000}"/>
    <cellStyle name="Normal 18 14 2 5" xfId="44537" xr:uid="{00000000-0005-0000-0000-00001C5E0000}"/>
    <cellStyle name="Normal 18 14 2 6" xfId="28437" xr:uid="{00000000-0005-0000-0000-00001D5E0000}"/>
    <cellStyle name="Normal 18 14 2 7" xfId="15373" xr:uid="{00000000-0005-0000-0000-00001E5E0000}"/>
    <cellStyle name="Normal 18 14 3" xfId="1749" xr:uid="{00000000-0005-0000-0000-00001F5E0000}"/>
    <cellStyle name="Normal 18 14 3 2" xfId="8283" xr:uid="{00000000-0005-0000-0000-0000205E0000}"/>
    <cellStyle name="Normal 18 14 3 2 2" xfId="40024" xr:uid="{00000000-0005-0000-0000-0000215E0000}"/>
    <cellStyle name="Normal 18 14 3 2 2 2" xfId="56124" xr:uid="{00000000-0005-0000-0000-0000225E0000}"/>
    <cellStyle name="Normal 18 14 3 2 3" xfId="46557" xr:uid="{00000000-0005-0000-0000-0000235E0000}"/>
    <cellStyle name="Normal 18 14 3 2 4" xfId="30457" xr:uid="{00000000-0005-0000-0000-0000245E0000}"/>
    <cellStyle name="Normal 18 14 3 2 5" xfId="20888" xr:uid="{00000000-0005-0000-0000-0000255E0000}"/>
    <cellStyle name="Normal 18 14 3 3" xfId="11319" xr:uid="{00000000-0005-0000-0000-0000265E0000}"/>
    <cellStyle name="Normal 18 14 3 3 2" xfId="49593" xr:uid="{00000000-0005-0000-0000-0000275E0000}"/>
    <cellStyle name="Normal 18 14 3 3 3" xfId="33493" xr:uid="{00000000-0005-0000-0000-0000285E0000}"/>
    <cellStyle name="Normal 18 14 3 3 4" xfId="23924" xr:uid="{00000000-0005-0000-0000-0000295E0000}"/>
    <cellStyle name="Normal 18 14 3 4" xfId="5247" xr:uid="{00000000-0005-0000-0000-00002A5E0000}"/>
    <cellStyle name="Normal 18 14 3 4 2" xfId="53088" xr:uid="{00000000-0005-0000-0000-00002B5E0000}"/>
    <cellStyle name="Normal 18 14 3 4 3" xfId="36988" xr:uid="{00000000-0005-0000-0000-00002C5E0000}"/>
    <cellStyle name="Normal 18 14 3 4 4" xfId="17852" xr:uid="{00000000-0005-0000-0000-00002D5E0000}"/>
    <cellStyle name="Normal 18 14 3 5" xfId="43521" xr:uid="{00000000-0005-0000-0000-00002E5E0000}"/>
    <cellStyle name="Normal 18 14 3 6" xfId="27421" xr:uid="{00000000-0005-0000-0000-00002F5E0000}"/>
    <cellStyle name="Normal 18 14 3 7" xfId="14357" xr:uid="{00000000-0005-0000-0000-0000305E0000}"/>
    <cellStyle name="Normal 18 14 4" xfId="4237" xr:uid="{00000000-0005-0000-0000-0000315E0000}"/>
    <cellStyle name="Normal 18 14 4 2" xfId="35978" xr:uid="{00000000-0005-0000-0000-0000325E0000}"/>
    <cellStyle name="Normal 18 14 4 2 2" xfId="52078" xr:uid="{00000000-0005-0000-0000-0000335E0000}"/>
    <cellStyle name="Normal 18 14 4 3" xfId="42511" xr:uid="{00000000-0005-0000-0000-0000345E0000}"/>
    <cellStyle name="Normal 18 14 4 4" xfId="26411" xr:uid="{00000000-0005-0000-0000-0000355E0000}"/>
    <cellStyle name="Normal 18 14 4 5" xfId="16842" xr:uid="{00000000-0005-0000-0000-0000365E0000}"/>
    <cellStyle name="Normal 18 14 5" xfId="7273" xr:uid="{00000000-0005-0000-0000-0000375E0000}"/>
    <cellStyle name="Normal 18 14 5 2" xfId="39014" xr:uid="{00000000-0005-0000-0000-0000385E0000}"/>
    <cellStyle name="Normal 18 14 5 2 2" xfId="55114" xr:uid="{00000000-0005-0000-0000-0000395E0000}"/>
    <cellStyle name="Normal 18 14 5 3" xfId="45547" xr:uid="{00000000-0005-0000-0000-00003A5E0000}"/>
    <cellStyle name="Normal 18 14 5 4" xfId="29447" xr:uid="{00000000-0005-0000-0000-00003B5E0000}"/>
    <cellStyle name="Normal 18 14 5 5" xfId="19878" xr:uid="{00000000-0005-0000-0000-00003C5E0000}"/>
    <cellStyle name="Normal 18 14 6" xfId="10309" xr:uid="{00000000-0005-0000-0000-00003D5E0000}"/>
    <cellStyle name="Normal 18 14 6 2" xfId="48583" xr:uid="{00000000-0005-0000-0000-00003E5E0000}"/>
    <cellStyle name="Normal 18 14 6 3" xfId="32483" xr:uid="{00000000-0005-0000-0000-00003F5E0000}"/>
    <cellStyle name="Normal 18 14 6 4" xfId="22914" xr:uid="{00000000-0005-0000-0000-0000405E0000}"/>
    <cellStyle name="Normal 18 14 7" xfId="3332" xr:uid="{00000000-0005-0000-0000-0000415E0000}"/>
    <cellStyle name="Normal 18 14 7 2" xfId="51173" xr:uid="{00000000-0005-0000-0000-0000425E0000}"/>
    <cellStyle name="Normal 18 14 7 3" xfId="35073" xr:uid="{00000000-0005-0000-0000-0000435E0000}"/>
    <cellStyle name="Normal 18 14 7 4" xfId="15937" xr:uid="{00000000-0005-0000-0000-0000445E0000}"/>
    <cellStyle name="Normal 18 14 8" xfId="41606" xr:uid="{00000000-0005-0000-0000-0000455E0000}"/>
    <cellStyle name="Normal 18 14 9" xfId="25506" xr:uid="{00000000-0005-0000-0000-0000465E0000}"/>
    <cellStyle name="Normal 18 15" xfId="2076" xr:uid="{00000000-0005-0000-0000-0000475E0000}"/>
    <cellStyle name="Normal 18 15 2" xfId="8610" xr:uid="{00000000-0005-0000-0000-0000485E0000}"/>
    <cellStyle name="Normal 18 15 2 2" xfId="40351" xr:uid="{00000000-0005-0000-0000-0000495E0000}"/>
    <cellStyle name="Normal 18 15 2 2 2" xfId="56451" xr:uid="{00000000-0005-0000-0000-00004A5E0000}"/>
    <cellStyle name="Normal 18 15 2 3" xfId="46884" xr:uid="{00000000-0005-0000-0000-00004B5E0000}"/>
    <cellStyle name="Normal 18 15 2 4" xfId="30784" xr:uid="{00000000-0005-0000-0000-00004C5E0000}"/>
    <cellStyle name="Normal 18 15 2 5" xfId="21215" xr:uid="{00000000-0005-0000-0000-00004D5E0000}"/>
    <cellStyle name="Normal 18 15 3" xfId="11646" xr:uid="{00000000-0005-0000-0000-00004E5E0000}"/>
    <cellStyle name="Normal 18 15 3 2" xfId="49920" xr:uid="{00000000-0005-0000-0000-00004F5E0000}"/>
    <cellStyle name="Normal 18 15 3 3" xfId="33820" xr:uid="{00000000-0005-0000-0000-0000505E0000}"/>
    <cellStyle name="Normal 18 15 3 4" xfId="24251" xr:uid="{00000000-0005-0000-0000-0000515E0000}"/>
    <cellStyle name="Normal 18 15 4" xfId="5574" xr:uid="{00000000-0005-0000-0000-0000525E0000}"/>
    <cellStyle name="Normal 18 15 4 2" xfId="53415" xr:uid="{00000000-0005-0000-0000-0000535E0000}"/>
    <cellStyle name="Normal 18 15 4 3" xfId="37315" xr:uid="{00000000-0005-0000-0000-0000545E0000}"/>
    <cellStyle name="Normal 18 15 4 4" xfId="18179" xr:uid="{00000000-0005-0000-0000-0000555E0000}"/>
    <cellStyle name="Normal 18 15 5" xfId="43848" xr:uid="{00000000-0005-0000-0000-0000565E0000}"/>
    <cellStyle name="Normal 18 15 6" xfId="27748" xr:uid="{00000000-0005-0000-0000-0000575E0000}"/>
    <cellStyle name="Normal 18 15 7" xfId="14684" xr:uid="{00000000-0005-0000-0000-0000585E0000}"/>
    <cellStyle name="Normal 18 16" xfId="1066" xr:uid="{00000000-0005-0000-0000-0000595E0000}"/>
    <cellStyle name="Normal 18 16 2" xfId="7600" xr:uid="{00000000-0005-0000-0000-00005A5E0000}"/>
    <cellStyle name="Normal 18 16 2 2" xfId="39341" xr:uid="{00000000-0005-0000-0000-00005B5E0000}"/>
    <cellStyle name="Normal 18 16 2 2 2" xfId="55441" xr:uid="{00000000-0005-0000-0000-00005C5E0000}"/>
    <cellStyle name="Normal 18 16 2 3" xfId="45874" xr:uid="{00000000-0005-0000-0000-00005D5E0000}"/>
    <cellStyle name="Normal 18 16 2 4" xfId="29774" xr:uid="{00000000-0005-0000-0000-00005E5E0000}"/>
    <cellStyle name="Normal 18 16 2 5" xfId="20205" xr:uid="{00000000-0005-0000-0000-00005F5E0000}"/>
    <cellStyle name="Normal 18 16 3" xfId="10636" xr:uid="{00000000-0005-0000-0000-0000605E0000}"/>
    <cellStyle name="Normal 18 16 3 2" xfId="48910" xr:uid="{00000000-0005-0000-0000-0000615E0000}"/>
    <cellStyle name="Normal 18 16 3 3" xfId="32810" xr:uid="{00000000-0005-0000-0000-0000625E0000}"/>
    <cellStyle name="Normal 18 16 3 4" xfId="23241" xr:uid="{00000000-0005-0000-0000-0000635E0000}"/>
    <cellStyle name="Normal 18 16 4" xfId="4564" xr:uid="{00000000-0005-0000-0000-0000645E0000}"/>
    <cellStyle name="Normal 18 16 4 2" xfId="52405" xr:uid="{00000000-0005-0000-0000-0000655E0000}"/>
    <cellStyle name="Normal 18 16 4 3" xfId="36305" xr:uid="{00000000-0005-0000-0000-0000665E0000}"/>
    <cellStyle name="Normal 18 16 4 4" xfId="17169" xr:uid="{00000000-0005-0000-0000-0000675E0000}"/>
    <cellStyle name="Normal 18 16 5" xfId="42838" xr:uid="{00000000-0005-0000-0000-0000685E0000}"/>
    <cellStyle name="Normal 18 16 6" xfId="26738" xr:uid="{00000000-0005-0000-0000-0000695E0000}"/>
    <cellStyle name="Normal 18 16 7" xfId="13674" xr:uid="{00000000-0005-0000-0000-00006A5E0000}"/>
    <cellStyle name="Normal 18 17" xfId="3554" xr:uid="{00000000-0005-0000-0000-00006B5E0000}"/>
    <cellStyle name="Normal 18 17 2" xfId="35295" xr:uid="{00000000-0005-0000-0000-00006C5E0000}"/>
    <cellStyle name="Normal 18 17 2 2" xfId="51395" xr:uid="{00000000-0005-0000-0000-00006D5E0000}"/>
    <cellStyle name="Normal 18 17 3" xfId="41828" xr:uid="{00000000-0005-0000-0000-00006E5E0000}"/>
    <cellStyle name="Normal 18 17 4" xfId="25728" xr:uid="{00000000-0005-0000-0000-00006F5E0000}"/>
    <cellStyle name="Normal 18 17 5" xfId="16159" xr:uid="{00000000-0005-0000-0000-0000705E0000}"/>
    <cellStyle name="Normal 18 18" xfId="6590" xr:uid="{00000000-0005-0000-0000-0000715E0000}"/>
    <cellStyle name="Normal 18 18 2" xfId="38331" xr:uid="{00000000-0005-0000-0000-0000725E0000}"/>
    <cellStyle name="Normal 18 18 2 2" xfId="54431" xr:uid="{00000000-0005-0000-0000-0000735E0000}"/>
    <cellStyle name="Normal 18 18 3" xfId="44864" xr:uid="{00000000-0005-0000-0000-0000745E0000}"/>
    <cellStyle name="Normal 18 18 4" xfId="28764" xr:uid="{00000000-0005-0000-0000-0000755E0000}"/>
    <cellStyle name="Normal 18 18 5" xfId="19195" xr:uid="{00000000-0005-0000-0000-0000765E0000}"/>
    <cellStyle name="Normal 18 19" xfId="9626" xr:uid="{00000000-0005-0000-0000-0000775E0000}"/>
    <cellStyle name="Normal 18 19 2" xfId="47900" xr:uid="{00000000-0005-0000-0000-0000785E0000}"/>
    <cellStyle name="Normal 18 19 3" xfId="31800" xr:uid="{00000000-0005-0000-0000-0000795E0000}"/>
    <cellStyle name="Normal 18 19 4" xfId="22231" xr:uid="{00000000-0005-0000-0000-00007A5E0000}"/>
    <cellStyle name="Normal 18 2" xfId="71" xr:uid="{00000000-0005-0000-0000-00007B5E0000}"/>
    <cellStyle name="Normal 18 2 10" xfId="3572" xr:uid="{00000000-0005-0000-0000-00007C5E0000}"/>
    <cellStyle name="Normal 18 2 10 2" xfId="35313" xr:uid="{00000000-0005-0000-0000-00007D5E0000}"/>
    <cellStyle name="Normal 18 2 10 2 2" xfId="51413" xr:uid="{00000000-0005-0000-0000-00007E5E0000}"/>
    <cellStyle name="Normal 18 2 10 3" xfId="41846" xr:uid="{00000000-0005-0000-0000-00007F5E0000}"/>
    <cellStyle name="Normal 18 2 10 4" xfId="25746" xr:uid="{00000000-0005-0000-0000-0000805E0000}"/>
    <cellStyle name="Normal 18 2 10 5" xfId="16177" xr:uid="{00000000-0005-0000-0000-0000815E0000}"/>
    <cellStyle name="Normal 18 2 11" xfId="6608" xr:uid="{00000000-0005-0000-0000-0000825E0000}"/>
    <cellStyle name="Normal 18 2 11 2" xfId="38349" xr:uid="{00000000-0005-0000-0000-0000835E0000}"/>
    <cellStyle name="Normal 18 2 11 2 2" xfId="54449" xr:uid="{00000000-0005-0000-0000-0000845E0000}"/>
    <cellStyle name="Normal 18 2 11 3" xfId="44882" xr:uid="{00000000-0005-0000-0000-0000855E0000}"/>
    <cellStyle name="Normal 18 2 11 4" xfId="28782" xr:uid="{00000000-0005-0000-0000-0000865E0000}"/>
    <cellStyle name="Normal 18 2 11 5" xfId="19213" xr:uid="{00000000-0005-0000-0000-0000875E0000}"/>
    <cellStyle name="Normal 18 2 12" xfId="9644" xr:uid="{00000000-0005-0000-0000-0000885E0000}"/>
    <cellStyle name="Normal 18 2 12 2" xfId="47918" xr:uid="{00000000-0005-0000-0000-0000895E0000}"/>
    <cellStyle name="Normal 18 2 12 3" xfId="31818" xr:uid="{00000000-0005-0000-0000-00008A5E0000}"/>
    <cellStyle name="Normal 18 2 12 4" xfId="22249" xr:uid="{00000000-0005-0000-0000-00008B5E0000}"/>
    <cellStyle name="Normal 18 2 13" xfId="3112" xr:uid="{00000000-0005-0000-0000-00008C5E0000}"/>
    <cellStyle name="Normal 18 2 13 2" xfId="50954" xr:uid="{00000000-0005-0000-0000-00008D5E0000}"/>
    <cellStyle name="Normal 18 2 13 3" xfId="34854" xr:uid="{00000000-0005-0000-0000-00008E5E0000}"/>
    <cellStyle name="Normal 18 2 13 4" xfId="15718" xr:uid="{00000000-0005-0000-0000-00008F5E0000}"/>
    <cellStyle name="Normal 18 2 14" xfId="41387" xr:uid="{00000000-0005-0000-0000-0000905E0000}"/>
    <cellStyle name="Normal 18 2 15" xfId="25287" xr:uid="{00000000-0005-0000-0000-0000915E0000}"/>
    <cellStyle name="Normal 18 2 16" xfId="12682" xr:uid="{00000000-0005-0000-0000-0000925E0000}"/>
    <cellStyle name="Normal 18 2 2" xfId="142" xr:uid="{00000000-0005-0000-0000-0000935E0000}"/>
    <cellStyle name="Normal 18 2 2 10" xfId="9690" xr:uid="{00000000-0005-0000-0000-0000945E0000}"/>
    <cellStyle name="Normal 18 2 2 10 2" xfId="47964" xr:uid="{00000000-0005-0000-0000-0000955E0000}"/>
    <cellStyle name="Normal 18 2 2 10 3" xfId="31864" xr:uid="{00000000-0005-0000-0000-0000965E0000}"/>
    <cellStyle name="Normal 18 2 2 10 4" xfId="22295" xr:uid="{00000000-0005-0000-0000-0000975E0000}"/>
    <cellStyle name="Normal 18 2 2 11" xfId="3158" xr:uid="{00000000-0005-0000-0000-0000985E0000}"/>
    <cellStyle name="Normal 18 2 2 11 2" xfId="51000" xr:uid="{00000000-0005-0000-0000-0000995E0000}"/>
    <cellStyle name="Normal 18 2 2 11 3" xfId="34900" xr:uid="{00000000-0005-0000-0000-00009A5E0000}"/>
    <cellStyle name="Normal 18 2 2 11 4" xfId="15764" xr:uid="{00000000-0005-0000-0000-00009B5E0000}"/>
    <cellStyle name="Normal 18 2 2 12" xfId="41433" xr:uid="{00000000-0005-0000-0000-00009C5E0000}"/>
    <cellStyle name="Normal 18 2 2 13" xfId="25333" xr:uid="{00000000-0005-0000-0000-00009D5E0000}"/>
    <cellStyle name="Normal 18 2 2 14" xfId="12728" xr:uid="{00000000-0005-0000-0000-00009E5E0000}"/>
    <cellStyle name="Normal 18 2 2 2" xfId="217" xr:uid="{00000000-0005-0000-0000-00009F5E0000}"/>
    <cellStyle name="Normal 18 2 2 2 10" xfId="41670" xr:uid="{00000000-0005-0000-0000-0000A05E0000}"/>
    <cellStyle name="Normal 18 2 2 2 11" xfId="25570" xr:uid="{00000000-0005-0000-0000-0000A15E0000}"/>
    <cellStyle name="Normal 18 2 2 2 12" xfId="13046" xr:uid="{00000000-0005-0000-0000-0000A25E0000}"/>
    <cellStyle name="Normal 18 2 2 2 2" xfId="394" xr:uid="{00000000-0005-0000-0000-0000A35E0000}"/>
    <cellStyle name="Normal 18 2 2 2 2 2" xfId="2413" xr:uid="{00000000-0005-0000-0000-0000A45E0000}"/>
    <cellStyle name="Normal 18 2 2 2 2 2 2" xfId="8947" xr:uid="{00000000-0005-0000-0000-0000A55E0000}"/>
    <cellStyle name="Normal 18 2 2 2 2 2 2 2" xfId="40688" xr:uid="{00000000-0005-0000-0000-0000A65E0000}"/>
    <cellStyle name="Normal 18 2 2 2 2 2 2 2 2" xfId="56788" xr:uid="{00000000-0005-0000-0000-0000A75E0000}"/>
    <cellStyle name="Normal 18 2 2 2 2 2 2 3" xfId="47221" xr:uid="{00000000-0005-0000-0000-0000A85E0000}"/>
    <cellStyle name="Normal 18 2 2 2 2 2 2 4" xfId="31121" xr:uid="{00000000-0005-0000-0000-0000A95E0000}"/>
    <cellStyle name="Normal 18 2 2 2 2 2 2 5" xfId="21552" xr:uid="{00000000-0005-0000-0000-0000AA5E0000}"/>
    <cellStyle name="Normal 18 2 2 2 2 2 3" xfId="11983" xr:uid="{00000000-0005-0000-0000-0000AB5E0000}"/>
    <cellStyle name="Normal 18 2 2 2 2 2 3 2" xfId="50257" xr:uid="{00000000-0005-0000-0000-0000AC5E0000}"/>
    <cellStyle name="Normal 18 2 2 2 2 2 3 3" xfId="34157" xr:uid="{00000000-0005-0000-0000-0000AD5E0000}"/>
    <cellStyle name="Normal 18 2 2 2 2 2 3 4" xfId="24588" xr:uid="{00000000-0005-0000-0000-0000AE5E0000}"/>
    <cellStyle name="Normal 18 2 2 2 2 2 4" xfId="5911" xr:uid="{00000000-0005-0000-0000-0000AF5E0000}"/>
    <cellStyle name="Normal 18 2 2 2 2 2 4 2" xfId="53752" xr:uid="{00000000-0005-0000-0000-0000B05E0000}"/>
    <cellStyle name="Normal 18 2 2 2 2 2 4 3" xfId="37652" xr:uid="{00000000-0005-0000-0000-0000B15E0000}"/>
    <cellStyle name="Normal 18 2 2 2 2 2 4 4" xfId="18516" xr:uid="{00000000-0005-0000-0000-0000B25E0000}"/>
    <cellStyle name="Normal 18 2 2 2 2 2 5" xfId="44185" xr:uid="{00000000-0005-0000-0000-0000B35E0000}"/>
    <cellStyle name="Normal 18 2 2 2 2 2 6" xfId="28085" xr:uid="{00000000-0005-0000-0000-0000B45E0000}"/>
    <cellStyle name="Normal 18 2 2 2 2 2 7" xfId="15021" xr:uid="{00000000-0005-0000-0000-0000B55E0000}"/>
    <cellStyle name="Normal 18 2 2 2 2 3" xfId="1625" xr:uid="{00000000-0005-0000-0000-0000B65E0000}"/>
    <cellStyle name="Normal 18 2 2 2 2 3 2" xfId="8159" xr:uid="{00000000-0005-0000-0000-0000B75E0000}"/>
    <cellStyle name="Normal 18 2 2 2 2 3 2 2" xfId="39900" xr:uid="{00000000-0005-0000-0000-0000B85E0000}"/>
    <cellStyle name="Normal 18 2 2 2 2 3 2 2 2" xfId="56000" xr:uid="{00000000-0005-0000-0000-0000B95E0000}"/>
    <cellStyle name="Normal 18 2 2 2 2 3 2 3" xfId="46433" xr:uid="{00000000-0005-0000-0000-0000BA5E0000}"/>
    <cellStyle name="Normal 18 2 2 2 2 3 2 4" xfId="30333" xr:uid="{00000000-0005-0000-0000-0000BB5E0000}"/>
    <cellStyle name="Normal 18 2 2 2 2 3 2 5" xfId="20764" xr:uid="{00000000-0005-0000-0000-0000BC5E0000}"/>
    <cellStyle name="Normal 18 2 2 2 2 3 3" xfId="11195" xr:uid="{00000000-0005-0000-0000-0000BD5E0000}"/>
    <cellStyle name="Normal 18 2 2 2 2 3 3 2" xfId="49469" xr:uid="{00000000-0005-0000-0000-0000BE5E0000}"/>
    <cellStyle name="Normal 18 2 2 2 2 3 3 3" xfId="33369" xr:uid="{00000000-0005-0000-0000-0000BF5E0000}"/>
    <cellStyle name="Normal 18 2 2 2 2 3 3 4" xfId="23800" xr:uid="{00000000-0005-0000-0000-0000C05E0000}"/>
    <cellStyle name="Normal 18 2 2 2 2 3 4" xfId="5123" xr:uid="{00000000-0005-0000-0000-0000C15E0000}"/>
    <cellStyle name="Normal 18 2 2 2 2 3 4 2" xfId="52964" xr:uid="{00000000-0005-0000-0000-0000C25E0000}"/>
    <cellStyle name="Normal 18 2 2 2 2 3 4 3" xfId="36864" xr:uid="{00000000-0005-0000-0000-0000C35E0000}"/>
    <cellStyle name="Normal 18 2 2 2 2 3 4 4" xfId="17728" xr:uid="{00000000-0005-0000-0000-0000C45E0000}"/>
    <cellStyle name="Normal 18 2 2 2 2 3 5" xfId="43397" xr:uid="{00000000-0005-0000-0000-0000C55E0000}"/>
    <cellStyle name="Normal 18 2 2 2 2 3 6" xfId="27297" xr:uid="{00000000-0005-0000-0000-0000C65E0000}"/>
    <cellStyle name="Normal 18 2 2 2 2 3 7" xfId="14233" xr:uid="{00000000-0005-0000-0000-0000C75E0000}"/>
    <cellStyle name="Normal 18 2 2 2 2 4" xfId="7149" xr:uid="{00000000-0005-0000-0000-0000C85E0000}"/>
    <cellStyle name="Normal 18 2 2 2 2 4 2" xfId="38890" xr:uid="{00000000-0005-0000-0000-0000C95E0000}"/>
    <cellStyle name="Normal 18 2 2 2 2 4 2 2" xfId="54990" xr:uid="{00000000-0005-0000-0000-0000CA5E0000}"/>
    <cellStyle name="Normal 18 2 2 2 2 4 3" xfId="45423" xr:uid="{00000000-0005-0000-0000-0000CB5E0000}"/>
    <cellStyle name="Normal 18 2 2 2 2 4 4" xfId="29323" xr:uid="{00000000-0005-0000-0000-0000CC5E0000}"/>
    <cellStyle name="Normal 18 2 2 2 2 4 5" xfId="19754" xr:uid="{00000000-0005-0000-0000-0000CD5E0000}"/>
    <cellStyle name="Normal 18 2 2 2 2 5" xfId="10185" xr:uid="{00000000-0005-0000-0000-0000CE5E0000}"/>
    <cellStyle name="Normal 18 2 2 2 2 5 2" xfId="48459" xr:uid="{00000000-0005-0000-0000-0000CF5E0000}"/>
    <cellStyle name="Normal 18 2 2 2 2 5 3" xfId="32359" xr:uid="{00000000-0005-0000-0000-0000D05E0000}"/>
    <cellStyle name="Normal 18 2 2 2 2 5 4" xfId="22790" xr:uid="{00000000-0005-0000-0000-0000D15E0000}"/>
    <cellStyle name="Normal 18 2 2 2 2 6" xfId="4113" xr:uid="{00000000-0005-0000-0000-0000D25E0000}"/>
    <cellStyle name="Normal 18 2 2 2 2 6 2" xfId="51954" xr:uid="{00000000-0005-0000-0000-0000D35E0000}"/>
    <cellStyle name="Normal 18 2 2 2 2 6 3" xfId="35854" xr:uid="{00000000-0005-0000-0000-0000D45E0000}"/>
    <cellStyle name="Normal 18 2 2 2 2 6 4" xfId="16718" xr:uid="{00000000-0005-0000-0000-0000D55E0000}"/>
    <cellStyle name="Normal 18 2 2 2 2 7" xfId="42387" xr:uid="{00000000-0005-0000-0000-0000D65E0000}"/>
    <cellStyle name="Normal 18 2 2 2 2 8" xfId="26287" xr:uid="{00000000-0005-0000-0000-0000D75E0000}"/>
    <cellStyle name="Normal 18 2 2 2 2 9" xfId="13223" xr:uid="{00000000-0005-0000-0000-0000D85E0000}"/>
    <cellStyle name="Normal 18 2 2 2 3" xfId="1032" xr:uid="{00000000-0005-0000-0000-0000D95E0000}"/>
    <cellStyle name="Normal 18 2 2 2 3 2" xfId="3060" xr:uid="{00000000-0005-0000-0000-0000DA5E0000}"/>
    <cellStyle name="Normal 18 2 2 2 3 2 2" xfId="9592" xr:uid="{00000000-0005-0000-0000-0000DB5E0000}"/>
    <cellStyle name="Normal 18 2 2 2 3 2 2 2" xfId="41333" xr:uid="{00000000-0005-0000-0000-0000DC5E0000}"/>
    <cellStyle name="Normal 18 2 2 2 3 2 2 2 2" xfId="57433" xr:uid="{00000000-0005-0000-0000-0000DD5E0000}"/>
    <cellStyle name="Normal 18 2 2 2 3 2 2 3" xfId="47866" xr:uid="{00000000-0005-0000-0000-0000DE5E0000}"/>
    <cellStyle name="Normal 18 2 2 2 3 2 2 4" xfId="31766" xr:uid="{00000000-0005-0000-0000-0000DF5E0000}"/>
    <cellStyle name="Normal 18 2 2 2 3 2 2 5" xfId="22197" xr:uid="{00000000-0005-0000-0000-0000E05E0000}"/>
    <cellStyle name="Normal 18 2 2 2 3 2 3" xfId="12628" xr:uid="{00000000-0005-0000-0000-0000E15E0000}"/>
    <cellStyle name="Normal 18 2 2 2 3 2 3 2" xfId="50902" xr:uid="{00000000-0005-0000-0000-0000E25E0000}"/>
    <cellStyle name="Normal 18 2 2 2 3 2 3 3" xfId="34802" xr:uid="{00000000-0005-0000-0000-0000E35E0000}"/>
    <cellStyle name="Normal 18 2 2 2 3 2 3 4" xfId="25233" xr:uid="{00000000-0005-0000-0000-0000E45E0000}"/>
    <cellStyle name="Normal 18 2 2 2 3 2 4" xfId="6556" xr:uid="{00000000-0005-0000-0000-0000E55E0000}"/>
    <cellStyle name="Normal 18 2 2 2 3 2 4 2" xfId="54397" xr:uid="{00000000-0005-0000-0000-0000E65E0000}"/>
    <cellStyle name="Normal 18 2 2 2 3 2 4 3" xfId="38297" xr:uid="{00000000-0005-0000-0000-0000E75E0000}"/>
    <cellStyle name="Normal 18 2 2 2 3 2 4 4" xfId="19161" xr:uid="{00000000-0005-0000-0000-0000E85E0000}"/>
    <cellStyle name="Normal 18 2 2 2 3 2 5" xfId="44830" xr:uid="{00000000-0005-0000-0000-0000E95E0000}"/>
    <cellStyle name="Normal 18 2 2 2 3 2 6" xfId="28730" xr:uid="{00000000-0005-0000-0000-0000EA5E0000}"/>
    <cellStyle name="Normal 18 2 2 2 3 2 7" xfId="15666" xr:uid="{00000000-0005-0000-0000-0000EB5E0000}"/>
    <cellStyle name="Normal 18 2 2 2 3 3" xfId="2042" xr:uid="{00000000-0005-0000-0000-0000EC5E0000}"/>
    <cellStyle name="Normal 18 2 2 2 3 3 2" xfId="8576" xr:uid="{00000000-0005-0000-0000-0000ED5E0000}"/>
    <cellStyle name="Normal 18 2 2 2 3 3 2 2" xfId="40317" xr:uid="{00000000-0005-0000-0000-0000EE5E0000}"/>
    <cellStyle name="Normal 18 2 2 2 3 3 2 2 2" xfId="56417" xr:uid="{00000000-0005-0000-0000-0000EF5E0000}"/>
    <cellStyle name="Normal 18 2 2 2 3 3 2 3" xfId="46850" xr:uid="{00000000-0005-0000-0000-0000F05E0000}"/>
    <cellStyle name="Normal 18 2 2 2 3 3 2 4" xfId="30750" xr:uid="{00000000-0005-0000-0000-0000F15E0000}"/>
    <cellStyle name="Normal 18 2 2 2 3 3 2 5" xfId="21181" xr:uid="{00000000-0005-0000-0000-0000F25E0000}"/>
    <cellStyle name="Normal 18 2 2 2 3 3 3" xfId="11612" xr:uid="{00000000-0005-0000-0000-0000F35E0000}"/>
    <cellStyle name="Normal 18 2 2 2 3 3 3 2" xfId="49886" xr:uid="{00000000-0005-0000-0000-0000F45E0000}"/>
    <cellStyle name="Normal 18 2 2 2 3 3 3 3" xfId="33786" xr:uid="{00000000-0005-0000-0000-0000F55E0000}"/>
    <cellStyle name="Normal 18 2 2 2 3 3 3 4" xfId="24217" xr:uid="{00000000-0005-0000-0000-0000F65E0000}"/>
    <cellStyle name="Normal 18 2 2 2 3 3 4" xfId="5540" xr:uid="{00000000-0005-0000-0000-0000F75E0000}"/>
    <cellStyle name="Normal 18 2 2 2 3 3 4 2" xfId="53381" xr:uid="{00000000-0005-0000-0000-0000F85E0000}"/>
    <cellStyle name="Normal 18 2 2 2 3 3 4 3" xfId="37281" xr:uid="{00000000-0005-0000-0000-0000F95E0000}"/>
    <cellStyle name="Normal 18 2 2 2 3 3 4 4" xfId="18145" xr:uid="{00000000-0005-0000-0000-0000FA5E0000}"/>
    <cellStyle name="Normal 18 2 2 2 3 3 5" xfId="43814" xr:uid="{00000000-0005-0000-0000-0000FB5E0000}"/>
    <cellStyle name="Normal 18 2 2 2 3 3 6" xfId="27714" xr:uid="{00000000-0005-0000-0000-0000FC5E0000}"/>
    <cellStyle name="Normal 18 2 2 2 3 3 7" xfId="14650" xr:uid="{00000000-0005-0000-0000-0000FD5E0000}"/>
    <cellStyle name="Normal 18 2 2 2 3 4" xfId="7566" xr:uid="{00000000-0005-0000-0000-0000FE5E0000}"/>
    <cellStyle name="Normal 18 2 2 2 3 4 2" xfId="39307" xr:uid="{00000000-0005-0000-0000-0000FF5E0000}"/>
    <cellStyle name="Normal 18 2 2 2 3 4 2 2" xfId="55407" xr:uid="{00000000-0005-0000-0000-0000005F0000}"/>
    <cellStyle name="Normal 18 2 2 2 3 4 3" xfId="45840" xr:uid="{00000000-0005-0000-0000-0000015F0000}"/>
    <cellStyle name="Normal 18 2 2 2 3 4 4" xfId="29740" xr:uid="{00000000-0005-0000-0000-0000025F0000}"/>
    <cellStyle name="Normal 18 2 2 2 3 4 5" xfId="20171" xr:uid="{00000000-0005-0000-0000-0000035F0000}"/>
    <cellStyle name="Normal 18 2 2 2 3 5" xfId="10602" xr:uid="{00000000-0005-0000-0000-0000045F0000}"/>
    <cellStyle name="Normal 18 2 2 2 3 5 2" xfId="48876" xr:uid="{00000000-0005-0000-0000-0000055F0000}"/>
    <cellStyle name="Normal 18 2 2 2 3 5 3" xfId="32776" xr:uid="{00000000-0005-0000-0000-0000065F0000}"/>
    <cellStyle name="Normal 18 2 2 2 3 5 4" xfId="23207" xr:uid="{00000000-0005-0000-0000-0000075F0000}"/>
    <cellStyle name="Normal 18 2 2 2 3 6" xfId="4530" xr:uid="{00000000-0005-0000-0000-0000085F0000}"/>
    <cellStyle name="Normal 18 2 2 2 3 6 2" xfId="52371" xr:uid="{00000000-0005-0000-0000-0000095F0000}"/>
    <cellStyle name="Normal 18 2 2 2 3 6 3" xfId="36271" xr:uid="{00000000-0005-0000-0000-00000A5F0000}"/>
    <cellStyle name="Normal 18 2 2 2 3 6 4" xfId="17135" xr:uid="{00000000-0005-0000-0000-00000B5F0000}"/>
    <cellStyle name="Normal 18 2 2 2 3 7" xfId="42804" xr:uid="{00000000-0005-0000-0000-00000C5F0000}"/>
    <cellStyle name="Normal 18 2 2 2 3 8" xfId="26704" xr:uid="{00000000-0005-0000-0000-00000D5F0000}"/>
    <cellStyle name="Normal 18 2 2 2 3 9" xfId="13640" xr:uid="{00000000-0005-0000-0000-00000E5F0000}"/>
    <cellStyle name="Normal 18 2 2 2 4" xfId="2236" xr:uid="{00000000-0005-0000-0000-00000F5F0000}"/>
    <cellStyle name="Normal 18 2 2 2 4 2" xfId="8770" xr:uid="{00000000-0005-0000-0000-0000105F0000}"/>
    <cellStyle name="Normal 18 2 2 2 4 2 2" xfId="40511" xr:uid="{00000000-0005-0000-0000-0000115F0000}"/>
    <cellStyle name="Normal 18 2 2 2 4 2 2 2" xfId="56611" xr:uid="{00000000-0005-0000-0000-0000125F0000}"/>
    <cellStyle name="Normal 18 2 2 2 4 2 3" xfId="47044" xr:uid="{00000000-0005-0000-0000-0000135F0000}"/>
    <cellStyle name="Normal 18 2 2 2 4 2 4" xfId="30944" xr:uid="{00000000-0005-0000-0000-0000145F0000}"/>
    <cellStyle name="Normal 18 2 2 2 4 2 5" xfId="21375" xr:uid="{00000000-0005-0000-0000-0000155F0000}"/>
    <cellStyle name="Normal 18 2 2 2 4 3" xfId="11806" xr:uid="{00000000-0005-0000-0000-0000165F0000}"/>
    <cellStyle name="Normal 18 2 2 2 4 3 2" xfId="50080" xr:uid="{00000000-0005-0000-0000-0000175F0000}"/>
    <cellStyle name="Normal 18 2 2 2 4 3 3" xfId="33980" xr:uid="{00000000-0005-0000-0000-0000185F0000}"/>
    <cellStyle name="Normal 18 2 2 2 4 3 4" xfId="24411" xr:uid="{00000000-0005-0000-0000-0000195F0000}"/>
    <cellStyle name="Normal 18 2 2 2 4 4" xfId="5734" xr:uid="{00000000-0005-0000-0000-00001A5F0000}"/>
    <cellStyle name="Normal 18 2 2 2 4 4 2" xfId="53575" xr:uid="{00000000-0005-0000-0000-00001B5F0000}"/>
    <cellStyle name="Normal 18 2 2 2 4 4 3" xfId="37475" xr:uid="{00000000-0005-0000-0000-00001C5F0000}"/>
    <cellStyle name="Normal 18 2 2 2 4 4 4" xfId="18339" xr:uid="{00000000-0005-0000-0000-00001D5F0000}"/>
    <cellStyle name="Normal 18 2 2 2 4 5" xfId="44008" xr:uid="{00000000-0005-0000-0000-00001E5F0000}"/>
    <cellStyle name="Normal 18 2 2 2 4 6" xfId="27908" xr:uid="{00000000-0005-0000-0000-00001F5F0000}"/>
    <cellStyle name="Normal 18 2 2 2 4 7" xfId="14844" xr:uid="{00000000-0005-0000-0000-0000205F0000}"/>
    <cellStyle name="Normal 18 2 2 2 5" xfId="1448" xr:uid="{00000000-0005-0000-0000-0000215F0000}"/>
    <cellStyle name="Normal 18 2 2 2 5 2" xfId="7982" xr:uid="{00000000-0005-0000-0000-0000225F0000}"/>
    <cellStyle name="Normal 18 2 2 2 5 2 2" xfId="39723" xr:uid="{00000000-0005-0000-0000-0000235F0000}"/>
    <cellStyle name="Normal 18 2 2 2 5 2 2 2" xfId="55823" xr:uid="{00000000-0005-0000-0000-0000245F0000}"/>
    <cellStyle name="Normal 18 2 2 2 5 2 3" xfId="46256" xr:uid="{00000000-0005-0000-0000-0000255F0000}"/>
    <cellStyle name="Normal 18 2 2 2 5 2 4" xfId="30156" xr:uid="{00000000-0005-0000-0000-0000265F0000}"/>
    <cellStyle name="Normal 18 2 2 2 5 2 5" xfId="20587" xr:uid="{00000000-0005-0000-0000-0000275F0000}"/>
    <cellStyle name="Normal 18 2 2 2 5 3" xfId="11018" xr:uid="{00000000-0005-0000-0000-0000285F0000}"/>
    <cellStyle name="Normal 18 2 2 2 5 3 2" xfId="49292" xr:uid="{00000000-0005-0000-0000-0000295F0000}"/>
    <cellStyle name="Normal 18 2 2 2 5 3 3" xfId="33192" xr:uid="{00000000-0005-0000-0000-00002A5F0000}"/>
    <cellStyle name="Normal 18 2 2 2 5 3 4" xfId="23623" xr:uid="{00000000-0005-0000-0000-00002B5F0000}"/>
    <cellStyle name="Normal 18 2 2 2 5 4" xfId="4946" xr:uid="{00000000-0005-0000-0000-00002C5F0000}"/>
    <cellStyle name="Normal 18 2 2 2 5 4 2" xfId="52787" xr:uid="{00000000-0005-0000-0000-00002D5F0000}"/>
    <cellStyle name="Normal 18 2 2 2 5 4 3" xfId="36687" xr:uid="{00000000-0005-0000-0000-00002E5F0000}"/>
    <cellStyle name="Normal 18 2 2 2 5 4 4" xfId="17551" xr:uid="{00000000-0005-0000-0000-00002F5F0000}"/>
    <cellStyle name="Normal 18 2 2 2 5 5" xfId="43220" xr:uid="{00000000-0005-0000-0000-0000305F0000}"/>
    <cellStyle name="Normal 18 2 2 2 5 6" xfId="27120" xr:uid="{00000000-0005-0000-0000-0000315F0000}"/>
    <cellStyle name="Normal 18 2 2 2 5 7" xfId="14056" xr:uid="{00000000-0005-0000-0000-0000325F0000}"/>
    <cellStyle name="Normal 18 2 2 2 6" xfId="3936" xr:uid="{00000000-0005-0000-0000-0000335F0000}"/>
    <cellStyle name="Normal 18 2 2 2 6 2" xfId="35677" xr:uid="{00000000-0005-0000-0000-0000345F0000}"/>
    <cellStyle name="Normal 18 2 2 2 6 2 2" xfId="51777" xr:uid="{00000000-0005-0000-0000-0000355F0000}"/>
    <cellStyle name="Normal 18 2 2 2 6 3" xfId="42210" xr:uid="{00000000-0005-0000-0000-0000365F0000}"/>
    <cellStyle name="Normal 18 2 2 2 6 4" xfId="26110" xr:uid="{00000000-0005-0000-0000-0000375F0000}"/>
    <cellStyle name="Normal 18 2 2 2 6 5" xfId="16541" xr:uid="{00000000-0005-0000-0000-0000385F0000}"/>
    <cellStyle name="Normal 18 2 2 2 7" xfId="6972" xr:uid="{00000000-0005-0000-0000-0000395F0000}"/>
    <cellStyle name="Normal 18 2 2 2 7 2" xfId="38713" xr:uid="{00000000-0005-0000-0000-00003A5F0000}"/>
    <cellStyle name="Normal 18 2 2 2 7 2 2" xfId="54813" xr:uid="{00000000-0005-0000-0000-00003B5F0000}"/>
    <cellStyle name="Normal 18 2 2 2 7 3" xfId="45246" xr:uid="{00000000-0005-0000-0000-00003C5F0000}"/>
    <cellStyle name="Normal 18 2 2 2 7 4" xfId="29146" xr:uid="{00000000-0005-0000-0000-00003D5F0000}"/>
    <cellStyle name="Normal 18 2 2 2 7 5" xfId="19577" xr:uid="{00000000-0005-0000-0000-00003E5F0000}"/>
    <cellStyle name="Normal 18 2 2 2 8" xfId="10008" xr:uid="{00000000-0005-0000-0000-00003F5F0000}"/>
    <cellStyle name="Normal 18 2 2 2 8 2" xfId="48282" xr:uid="{00000000-0005-0000-0000-0000405F0000}"/>
    <cellStyle name="Normal 18 2 2 2 8 3" xfId="32182" xr:uid="{00000000-0005-0000-0000-0000415F0000}"/>
    <cellStyle name="Normal 18 2 2 2 8 4" xfId="22613" xr:uid="{00000000-0005-0000-0000-0000425F0000}"/>
    <cellStyle name="Normal 18 2 2 2 9" xfId="3396" xr:uid="{00000000-0005-0000-0000-0000435F0000}"/>
    <cellStyle name="Normal 18 2 2 2 9 2" xfId="51237" xr:uid="{00000000-0005-0000-0000-0000445F0000}"/>
    <cellStyle name="Normal 18 2 2 2 9 3" xfId="35137" xr:uid="{00000000-0005-0000-0000-0000455F0000}"/>
    <cellStyle name="Normal 18 2 2 2 9 4" xfId="16001" xr:uid="{00000000-0005-0000-0000-0000465F0000}"/>
    <cellStyle name="Normal 18 2 2 3" xfId="323" xr:uid="{00000000-0005-0000-0000-0000475F0000}"/>
    <cellStyle name="Normal 18 2 2 3 2" xfId="2342" xr:uid="{00000000-0005-0000-0000-0000485F0000}"/>
    <cellStyle name="Normal 18 2 2 3 2 2" xfId="8876" xr:uid="{00000000-0005-0000-0000-0000495F0000}"/>
    <cellStyle name="Normal 18 2 2 3 2 2 2" xfId="40617" xr:uid="{00000000-0005-0000-0000-00004A5F0000}"/>
    <cellStyle name="Normal 18 2 2 3 2 2 2 2" xfId="56717" xr:uid="{00000000-0005-0000-0000-00004B5F0000}"/>
    <cellStyle name="Normal 18 2 2 3 2 2 3" xfId="47150" xr:uid="{00000000-0005-0000-0000-00004C5F0000}"/>
    <cellStyle name="Normal 18 2 2 3 2 2 4" xfId="31050" xr:uid="{00000000-0005-0000-0000-00004D5F0000}"/>
    <cellStyle name="Normal 18 2 2 3 2 2 5" xfId="21481" xr:uid="{00000000-0005-0000-0000-00004E5F0000}"/>
    <cellStyle name="Normal 18 2 2 3 2 3" xfId="11912" xr:uid="{00000000-0005-0000-0000-00004F5F0000}"/>
    <cellStyle name="Normal 18 2 2 3 2 3 2" xfId="50186" xr:uid="{00000000-0005-0000-0000-0000505F0000}"/>
    <cellStyle name="Normal 18 2 2 3 2 3 3" xfId="34086" xr:uid="{00000000-0005-0000-0000-0000515F0000}"/>
    <cellStyle name="Normal 18 2 2 3 2 3 4" xfId="24517" xr:uid="{00000000-0005-0000-0000-0000525F0000}"/>
    <cellStyle name="Normal 18 2 2 3 2 4" xfId="5840" xr:uid="{00000000-0005-0000-0000-0000535F0000}"/>
    <cellStyle name="Normal 18 2 2 3 2 4 2" xfId="53681" xr:uid="{00000000-0005-0000-0000-0000545F0000}"/>
    <cellStyle name="Normal 18 2 2 3 2 4 3" xfId="37581" xr:uid="{00000000-0005-0000-0000-0000555F0000}"/>
    <cellStyle name="Normal 18 2 2 3 2 4 4" xfId="18445" xr:uid="{00000000-0005-0000-0000-0000565F0000}"/>
    <cellStyle name="Normal 18 2 2 3 2 5" xfId="44114" xr:uid="{00000000-0005-0000-0000-0000575F0000}"/>
    <cellStyle name="Normal 18 2 2 3 2 6" xfId="28014" xr:uid="{00000000-0005-0000-0000-0000585F0000}"/>
    <cellStyle name="Normal 18 2 2 3 2 7" xfId="14950" xr:uid="{00000000-0005-0000-0000-0000595F0000}"/>
    <cellStyle name="Normal 18 2 2 3 3" xfId="1554" xr:uid="{00000000-0005-0000-0000-00005A5F0000}"/>
    <cellStyle name="Normal 18 2 2 3 3 2" xfId="8088" xr:uid="{00000000-0005-0000-0000-00005B5F0000}"/>
    <cellStyle name="Normal 18 2 2 3 3 2 2" xfId="39829" xr:uid="{00000000-0005-0000-0000-00005C5F0000}"/>
    <cellStyle name="Normal 18 2 2 3 3 2 2 2" xfId="55929" xr:uid="{00000000-0005-0000-0000-00005D5F0000}"/>
    <cellStyle name="Normal 18 2 2 3 3 2 3" xfId="46362" xr:uid="{00000000-0005-0000-0000-00005E5F0000}"/>
    <cellStyle name="Normal 18 2 2 3 3 2 4" xfId="30262" xr:uid="{00000000-0005-0000-0000-00005F5F0000}"/>
    <cellStyle name="Normal 18 2 2 3 3 2 5" xfId="20693" xr:uid="{00000000-0005-0000-0000-0000605F0000}"/>
    <cellStyle name="Normal 18 2 2 3 3 3" xfId="11124" xr:uid="{00000000-0005-0000-0000-0000615F0000}"/>
    <cellStyle name="Normal 18 2 2 3 3 3 2" xfId="49398" xr:uid="{00000000-0005-0000-0000-0000625F0000}"/>
    <cellStyle name="Normal 18 2 2 3 3 3 3" xfId="33298" xr:uid="{00000000-0005-0000-0000-0000635F0000}"/>
    <cellStyle name="Normal 18 2 2 3 3 3 4" xfId="23729" xr:uid="{00000000-0005-0000-0000-0000645F0000}"/>
    <cellStyle name="Normal 18 2 2 3 3 4" xfId="5052" xr:uid="{00000000-0005-0000-0000-0000655F0000}"/>
    <cellStyle name="Normal 18 2 2 3 3 4 2" xfId="52893" xr:uid="{00000000-0005-0000-0000-0000665F0000}"/>
    <cellStyle name="Normal 18 2 2 3 3 4 3" xfId="36793" xr:uid="{00000000-0005-0000-0000-0000675F0000}"/>
    <cellStyle name="Normal 18 2 2 3 3 4 4" xfId="17657" xr:uid="{00000000-0005-0000-0000-0000685F0000}"/>
    <cellStyle name="Normal 18 2 2 3 3 5" xfId="43326" xr:uid="{00000000-0005-0000-0000-0000695F0000}"/>
    <cellStyle name="Normal 18 2 2 3 3 6" xfId="27226" xr:uid="{00000000-0005-0000-0000-00006A5F0000}"/>
    <cellStyle name="Normal 18 2 2 3 3 7" xfId="14162" xr:uid="{00000000-0005-0000-0000-00006B5F0000}"/>
    <cellStyle name="Normal 18 2 2 3 4" xfId="7078" xr:uid="{00000000-0005-0000-0000-00006C5F0000}"/>
    <cellStyle name="Normal 18 2 2 3 4 2" xfId="38819" xr:uid="{00000000-0005-0000-0000-00006D5F0000}"/>
    <cellStyle name="Normal 18 2 2 3 4 2 2" xfId="54919" xr:uid="{00000000-0005-0000-0000-00006E5F0000}"/>
    <cellStyle name="Normal 18 2 2 3 4 3" xfId="45352" xr:uid="{00000000-0005-0000-0000-00006F5F0000}"/>
    <cellStyle name="Normal 18 2 2 3 4 4" xfId="29252" xr:uid="{00000000-0005-0000-0000-0000705F0000}"/>
    <cellStyle name="Normal 18 2 2 3 4 5" xfId="19683" xr:uid="{00000000-0005-0000-0000-0000715F0000}"/>
    <cellStyle name="Normal 18 2 2 3 5" xfId="10114" xr:uid="{00000000-0005-0000-0000-0000725F0000}"/>
    <cellStyle name="Normal 18 2 2 3 5 2" xfId="48388" xr:uid="{00000000-0005-0000-0000-0000735F0000}"/>
    <cellStyle name="Normal 18 2 2 3 5 3" xfId="32288" xr:uid="{00000000-0005-0000-0000-0000745F0000}"/>
    <cellStyle name="Normal 18 2 2 3 5 4" xfId="22719" xr:uid="{00000000-0005-0000-0000-0000755F0000}"/>
    <cellStyle name="Normal 18 2 2 3 6" xfId="4042" xr:uid="{00000000-0005-0000-0000-0000765F0000}"/>
    <cellStyle name="Normal 18 2 2 3 6 2" xfId="51883" xr:uid="{00000000-0005-0000-0000-0000775F0000}"/>
    <cellStyle name="Normal 18 2 2 3 6 3" xfId="35783" xr:uid="{00000000-0005-0000-0000-0000785F0000}"/>
    <cellStyle name="Normal 18 2 2 3 6 4" xfId="16647" xr:uid="{00000000-0005-0000-0000-0000795F0000}"/>
    <cellStyle name="Normal 18 2 2 3 7" xfId="42316" xr:uid="{00000000-0005-0000-0000-00007A5F0000}"/>
    <cellStyle name="Normal 18 2 2 3 8" xfId="26216" xr:uid="{00000000-0005-0000-0000-00007B5F0000}"/>
    <cellStyle name="Normal 18 2 2 3 9" xfId="13152" xr:uid="{00000000-0005-0000-0000-00007C5F0000}"/>
    <cellStyle name="Normal 18 2 2 4" xfId="580" xr:uid="{00000000-0005-0000-0000-00007D5F0000}"/>
    <cellStyle name="Normal 18 2 2 4 2" xfId="2609" xr:uid="{00000000-0005-0000-0000-00007E5F0000}"/>
    <cellStyle name="Normal 18 2 2 4 2 2" xfId="9141" xr:uid="{00000000-0005-0000-0000-00007F5F0000}"/>
    <cellStyle name="Normal 18 2 2 4 2 2 2" xfId="40882" xr:uid="{00000000-0005-0000-0000-0000805F0000}"/>
    <cellStyle name="Normal 18 2 2 4 2 2 2 2" xfId="56982" xr:uid="{00000000-0005-0000-0000-0000815F0000}"/>
    <cellStyle name="Normal 18 2 2 4 2 2 3" xfId="47415" xr:uid="{00000000-0005-0000-0000-0000825F0000}"/>
    <cellStyle name="Normal 18 2 2 4 2 2 4" xfId="31315" xr:uid="{00000000-0005-0000-0000-0000835F0000}"/>
    <cellStyle name="Normal 18 2 2 4 2 2 5" xfId="21746" xr:uid="{00000000-0005-0000-0000-0000845F0000}"/>
    <cellStyle name="Normal 18 2 2 4 2 3" xfId="12177" xr:uid="{00000000-0005-0000-0000-0000855F0000}"/>
    <cellStyle name="Normal 18 2 2 4 2 3 2" xfId="50451" xr:uid="{00000000-0005-0000-0000-0000865F0000}"/>
    <cellStyle name="Normal 18 2 2 4 2 3 3" xfId="34351" xr:uid="{00000000-0005-0000-0000-0000875F0000}"/>
    <cellStyle name="Normal 18 2 2 4 2 3 4" xfId="24782" xr:uid="{00000000-0005-0000-0000-0000885F0000}"/>
    <cellStyle name="Normal 18 2 2 4 2 4" xfId="6105" xr:uid="{00000000-0005-0000-0000-0000895F0000}"/>
    <cellStyle name="Normal 18 2 2 4 2 4 2" xfId="53946" xr:uid="{00000000-0005-0000-0000-00008A5F0000}"/>
    <cellStyle name="Normal 18 2 2 4 2 4 3" xfId="37846" xr:uid="{00000000-0005-0000-0000-00008B5F0000}"/>
    <cellStyle name="Normal 18 2 2 4 2 4 4" xfId="18710" xr:uid="{00000000-0005-0000-0000-00008C5F0000}"/>
    <cellStyle name="Normal 18 2 2 4 2 5" xfId="44379" xr:uid="{00000000-0005-0000-0000-00008D5F0000}"/>
    <cellStyle name="Normal 18 2 2 4 2 6" xfId="28279" xr:uid="{00000000-0005-0000-0000-00008E5F0000}"/>
    <cellStyle name="Normal 18 2 2 4 2 7" xfId="15215" xr:uid="{00000000-0005-0000-0000-00008F5F0000}"/>
    <cellStyle name="Normal 18 2 2 4 3" xfId="1377" xr:uid="{00000000-0005-0000-0000-0000905F0000}"/>
    <cellStyle name="Normal 18 2 2 4 3 2" xfId="7911" xr:uid="{00000000-0005-0000-0000-0000915F0000}"/>
    <cellStyle name="Normal 18 2 2 4 3 2 2" xfId="39652" xr:uid="{00000000-0005-0000-0000-0000925F0000}"/>
    <cellStyle name="Normal 18 2 2 4 3 2 2 2" xfId="55752" xr:uid="{00000000-0005-0000-0000-0000935F0000}"/>
    <cellStyle name="Normal 18 2 2 4 3 2 3" xfId="46185" xr:uid="{00000000-0005-0000-0000-0000945F0000}"/>
    <cellStyle name="Normal 18 2 2 4 3 2 4" xfId="30085" xr:uid="{00000000-0005-0000-0000-0000955F0000}"/>
    <cellStyle name="Normal 18 2 2 4 3 2 5" xfId="20516" xr:uid="{00000000-0005-0000-0000-0000965F0000}"/>
    <cellStyle name="Normal 18 2 2 4 3 3" xfId="10947" xr:uid="{00000000-0005-0000-0000-0000975F0000}"/>
    <cellStyle name="Normal 18 2 2 4 3 3 2" xfId="49221" xr:uid="{00000000-0005-0000-0000-0000985F0000}"/>
    <cellStyle name="Normal 18 2 2 4 3 3 3" xfId="33121" xr:uid="{00000000-0005-0000-0000-0000995F0000}"/>
    <cellStyle name="Normal 18 2 2 4 3 3 4" xfId="23552" xr:uid="{00000000-0005-0000-0000-00009A5F0000}"/>
    <cellStyle name="Normal 18 2 2 4 3 4" xfId="4875" xr:uid="{00000000-0005-0000-0000-00009B5F0000}"/>
    <cellStyle name="Normal 18 2 2 4 3 4 2" xfId="52716" xr:uid="{00000000-0005-0000-0000-00009C5F0000}"/>
    <cellStyle name="Normal 18 2 2 4 3 4 3" xfId="36616" xr:uid="{00000000-0005-0000-0000-00009D5F0000}"/>
    <cellStyle name="Normal 18 2 2 4 3 4 4" xfId="17480" xr:uid="{00000000-0005-0000-0000-00009E5F0000}"/>
    <cellStyle name="Normal 18 2 2 4 3 5" xfId="43149" xr:uid="{00000000-0005-0000-0000-00009F5F0000}"/>
    <cellStyle name="Normal 18 2 2 4 3 6" xfId="27049" xr:uid="{00000000-0005-0000-0000-0000A05F0000}"/>
    <cellStyle name="Normal 18 2 2 4 3 7" xfId="13985" xr:uid="{00000000-0005-0000-0000-0000A15F0000}"/>
    <cellStyle name="Normal 18 2 2 4 4" xfId="6901" xr:uid="{00000000-0005-0000-0000-0000A25F0000}"/>
    <cellStyle name="Normal 18 2 2 4 4 2" xfId="38642" xr:uid="{00000000-0005-0000-0000-0000A35F0000}"/>
    <cellStyle name="Normal 18 2 2 4 4 2 2" xfId="54742" xr:uid="{00000000-0005-0000-0000-0000A45F0000}"/>
    <cellStyle name="Normal 18 2 2 4 4 3" xfId="45175" xr:uid="{00000000-0005-0000-0000-0000A55F0000}"/>
    <cellStyle name="Normal 18 2 2 4 4 4" xfId="29075" xr:uid="{00000000-0005-0000-0000-0000A65F0000}"/>
    <cellStyle name="Normal 18 2 2 4 4 5" xfId="19506" xr:uid="{00000000-0005-0000-0000-0000A75F0000}"/>
    <cellStyle name="Normal 18 2 2 4 5" xfId="9937" xr:uid="{00000000-0005-0000-0000-0000A85F0000}"/>
    <cellStyle name="Normal 18 2 2 4 5 2" xfId="48211" xr:uid="{00000000-0005-0000-0000-0000A95F0000}"/>
    <cellStyle name="Normal 18 2 2 4 5 3" xfId="32111" xr:uid="{00000000-0005-0000-0000-0000AA5F0000}"/>
    <cellStyle name="Normal 18 2 2 4 5 4" xfId="22542" xr:uid="{00000000-0005-0000-0000-0000AB5F0000}"/>
    <cellStyle name="Normal 18 2 2 4 6" xfId="3865" xr:uid="{00000000-0005-0000-0000-0000AC5F0000}"/>
    <cellStyle name="Normal 18 2 2 4 6 2" xfId="51706" xr:uid="{00000000-0005-0000-0000-0000AD5F0000}"/>
    <cellStyle name="Normal 18 2 2 4 6 3" xfId="35606" xr:uid="{00000000-0005-0000-0000-0000AE5F0000}"/>
    <cellStyle name="Normal 18 2 2 4 6 4" xfId="16470" xr:uid="{00000000-0005-0000-0000-0000AF5F0000}"/>
    <cellStyle name="Normal 18 2 2 4 7" xfId="42139" xr:uid="{00000000-0005-0000-0000-0000B05F0000}"/>
    <cellStyle name="Normal 18 2 2 4 8" xfId="26039" xr:uid="{00000000-0005-0000-0000-0000B15F0000}"/>
    <cellStyle name="Normal 18 2 2 4 9" xfId="12975" xr:uid="{00000000-0005-0000-0000-0000B25F0000}"/>
    <cellStyle name="Normal 18 2 2 5" xfId="803" xr:uid="{00000000-0005-0000-0000-0000B35F0000}"/>
    <cellStyle name="Normal 18 2 2 5 2" xfId="2831" xr:uid="{00000000-0005-0000-0000-0000B45F0000}"/>
    <cellStyle name="Normal 18 2 2 5 2 2" xfId="9363" xr:uid="{00000000-0005-0000-0000-0000B55F0000}"/>
    <cellStyle name="Normal 18 2 2 5 2 2 2" xfId="41104" xr:uid="{00000000-0005-0000-0000-0000B65F0000}"/>
    <cellStyle name="Normal 18 2 2 5 2 2 2 2" xfId="57204" xr:uid="{00000000-0005-0000-0000-0000B75F0000}"/>
    <cellStyle name="Normal 18 2 2 5 2 2 3" xfId="47637" xr:uid="{00000000-0005-0000-0000-0000B85F0000}"/>
    <cellStyle name="Normal 18 2 2 5 2 2 4" xfId="31537" xr:uid="{00000000-0005-0000-0000-0000B95F0000}"/>
    <cellStyle name="Normal 18 2 2 5 2 2 5" xfId="21968" xr:uid="{00000000-0005-0000-0000-0000BA5F0000}"/>
    <cellStyle name="Normal 18 2 2 5 2 3" xfId="12399" xr:uid="{00000000-0005-0000-0000-0000BB5F0000}"/>
    <cellStyle name="Normal 18 2 2 5 2 3 2" xfId="50673" xr:uid="{00000000-0005-0000-0000-0000BC5F0000}"/>
    <cellStyle name="Normal 18 2 2 5 2 3 3" xfId="34573" xr:uid="{00000000-0005-0000-0000-0000BD5F0000}"/>
    <cellStyle name="Normal 18 2 2 5 2 3 4" xfId="25004" xr:uid="{00000000-0005-0000-0000-0000BE5F0000}"/>
    <cellStyle name="Normal 18 2 2 5 2 4" xfId="6327" xr:uid="{00000000-0005-0000-0000-0000BF5F0000}"/>
    <cellStyle name="Normal 18 2 2 5 2 4 2" xfId="54168" xr:uid="{00000000-0005-0000-0000-0000C05F0000}"/>
    <cellStyle name="Normal 18 2 2 5 2 4 3" xfId="38068" xr:uid="{00000000-0005-0000-0000-0000C15F0000}"/>
    <cellStyle name="Normal 18 2 2 5 2 4 4" xfId="18932" xr:uid="{00000000-0005-0000-0000-0000C25F0000}"/>
    <cellStyle name="Normal 18 2 2 5 2 5" xfId="44601" xr:uid="{00000000-0005-0000-0000-0000C35F0000}"/>
    <cellStyle name="Normal 18 2 2 5 2 6" xfId="28501" xr:uid="{00000000-0005-0000-0000-0000C45F0000}"/>
    <cellStyle name="Normal 18 2 2 5 2 7" xfId="15437" xr:uid="{00000000-0005-0000-0000-0000C55F0000}"/>
    <cellStyle name="Normal 18 2 2 5 3" xfId="1813" xr:uid="{00000000-0005-0000-0000-0000C65F0000}"/>
    <cellStyle name="Normal 18 2 2 5 3 2" xfId="8347" xr:uid="{00000000-0005-0000-0000-0000C75F0000}"/>
    <cellStyle name="Normal 18 2 2 5 3 2 2" xfId="40088" xr:uid="{00000000-0005-0000-0000-0000C85F0000}"/>
    <cellStyle name="Normal 18 2 2 5 3 2 2 2" xfId="56188" xr:uid="{00000000-0005-0000-0000-0000C95F0000}"/>
    <cellStyle name="Normal 18 2 2 5 3 2 3" xfId="46621" xr:uid="{00000000-0005-0000-0000-0000CA5F0000}"/>
    <cellStyle name="Normal 18 2 2 5 3 2 4" xfId="30521" xr:uid="{00000000-0005-0000-0000-0000CB5F0000}"/>
    <cellStyle name="Normal 18 2 2 5 3 2 5" xfId="20952" xr:uid="{00000000-0005-0000-0000-0000CC5F0000}"/>
    <cellStyle name="Normal 18 2 2 5 3 3" xfId="11383" xr:uid="{00000000-0005-0000-0000-0000CD5F0000}"/>
    <cellStyle name="Normal 18 2 2 5 3 3 2" xfId="49657" xr:uid="{00000000-0005-0000-0000-0000CE5F0000}"/>
    <cellStyle name="Normal 18 2 2 5 3 3 3" xfId="33557" xr:uid="{00000000-0005-0000-0000-0000CF5F0000}"/>
    <cellStyle name="Normal 18 2 2 5 3 3 4" xfId="23988" xr:uid="{00000000-0005-0000-0000-0000D05F0000}"/>
    <cellStyle name="Normal 18 2 2 5 3 4" xfId="5311" xr:uid="{00000000-0005-0000-0000-0000D15F0000}"/>
    <cellStyle name="Normal 18 2 2 5 3 4 2" xfId="53152" xr:uid="{00000000-0005-0000-0000-0000D25F0000}"/>
    <cellStyle name="Normal 18 2 2 5 3 4 3" xfId="37052" xr:uid="{00000000-0005-0000-0000-0000D35F0000}"/>
    <cellStyle name="Normal 18 2 2 5 3 4 4" xfId="17916" xr:uid="{00000000-0005-0000-0000-0000D45F0000}"/>
    <cellStyle name="Normal 18 2 2 5 3 5" xfId="43585" xr:uid="{00000000-0005-0000-0000-0000D55F0000}"/>
    <cellStyle name="Normal 18 2 2 5 3 6" xfId="27485" xr:uid="{00000000-0005-0000-0000-0000D65F0000}"/>
    <cellStyle name="Normal 18 2 2 5 3 7" xfId="14421" xr:uid="{00000000-0005-0000-0000-0000D75F0000}"/>
    <cellStyle name="Normal 18 2 2 5 4" xfId="7337" xr:uid="{00000000-0005-0000-0000-0000D85F0000}"/>
    <cellStyle name="Normal 18 2 2 5 4 2" xfId="39078" xr:uid="{00000000-0005-0000-0000-0000D95F0000}"/>
    <cellStyle name="Normal 18 2 2 5 4 2 2" xfId="55178" xr:uid="{00000000-0005-0000-0000-0000DA5F0000}"/>
    <cellStyle name="Normal 18 2 2 5 4 3" xfId="45611" xr:uid="{00000000-0005-0000-0000-0000DB5F0000}"/>
    <cellStyle name="Normal 18 2 2 5 4 4" xfId="29511" xr:uid="{00000000-0005-0000-0000-0000DC5F0000}"/>
    <cellStyle name="Normal 18 2 2 5 4 5" xfId="19942" xr:uid="{00000000-0005-0000-0000-0000DD5F0000}"/>
    <cellStyle name="Normal 18 2 2 5 5" xfId="10373" xr:uid="{00000000-0005-0000-0000-0000DE5F0000}"/>
    <cellStyle name="Normal 18 2 2 5 5 2" xfId="48647" xr:uid="{00000000-0005-0000-0000-0000DF5F0000}"/>
    <cellStyle name="Normal 18 2 2 5 5 3" xfId="32547" xr:uid="{00000000-0005-0000-0000-0000E05F0000}"/>
    <cellStyle name="Normal 18 2 2 5 5 4" xfId="22978" xr:uid="{00000000-0005-0000-0000-0000E15F0000}"/>
    <cellStyle name="Normal 18 2 2 5 6" xfId="4301" xr:uid="{00000000-0005-0000-0000-0000E25F0000}"/>
    <cellStyle name="Normal 18 2 2 5 6 2" xfId="52142" xr:uid="{00000000-0005-0000-0000-0000E35F0000}"/>
    <cellStyle name="Normal 18 2 2 5 6 3" xfId="36042" xr:uid="{00000000-0005-0000-0000-0000E45F0000}"/>
    <cellStyle name="Normal 18 2 2 5 6 4" xfId="16906" xr:uid="{00000000-0005-0000-0000-0000E55F0000}"/>
    <cellStyle name="Normal 18 2 2 5 7" xfId="42575" xr:uid="{00000000-0005-0000-0000-0000E65F0000}"/>
    <cellStyle name="Normal 18 2 2 5 8" xfId="26475" xr:uid="{00000000-0005-0000-0000-0000E75F0000}"/>
    <cellStyle name="Normal 18 2 2 5 9" xfId="13411" xr:uid="{00000000-0005-0000-0000-0000E85F0000}"/>
    <cellStyle name="Normal 18 2 2 6" xfId="2165" xr:uid="{00000000-0005-0000-0000-0000E95F0000}"/>
    <cellStyle name="Normal 18 2 2 6 2" xfId="8699" xr:uid="{00000000-0005-0000-0000-0000EA5F0000}"/>
    <cellStyle name="Normal 18 2 2 6 2 2" xfId="40440" xr:uid="{00000000-0005-0000-0000-0000EB5F0000}"/>
    <cellStyle name="Normal 18 2 2 6 2 2 2" xfId="56540" xr:uid="{00000000-0005-0000-0000-0000EC5F0000}"/>
    <cellStyle name="Normal 18 2 2 6 2 3" xfId="46973" xr:uid="{00000000-0005-0000-0000-0000ED5F0000}"/>
    <cellStyle name="Normal 18 2 2 6 2 4" xfId="30873" xr:uid="{00000000-0005-0000-0000-0000EE5F0000}"/>
    <cellStyle name="Normal 18 2 2 6 2 5" xfId="21304" xr:uid="{00000000-0005-0000-0000-0000EF5F0000}"/>
    <cellStyle name="Normal 18 2 2 6 3" xfId="11735" xr:uid="{00000000-0005-0000-0000-0000F05F0000}"/>
    <cellStyle name="Normal 18 2 2 6 3 2" xfId="50009" xr:uid="{00000000-0005-0000-0000-0000F15F0000}"/>
    <cellStyle name="Normal 18 2 2 6 3 3" xfId="33909" xr:uid="{00000000-0005-0000-0000-0000F25F0000}"/>
    <cellStyle name="Normal 18 2 2 6 3 4" xfId="24340" xr:uid="{00000000-0005-0000-0000-0000F35F0000}"/>
    <cellStyle name="Normal 18 2 2 6 4" xfId="5663" xr:uid="{00000000-0005-0000-0000-0000F45F0000}"/>
    <cellStyle name="Normal 18 2 2 6 4 2" xfId="53504" xr:uid="{00000000-0005-0000-0000-0000F55F0000}"/>
    <cellStyle name="Normal 18 2 2 6 4 3" xfId="37404" xr:uid="{00000000-0005-0000-0000-0000F65F0000}"/>
    <cellStyle name="Normal 18 2 2 6 4 4" xfId="18268" xr:uid="{00000000-0005-0000-0000-0000F75F0000}"/>
    <cellStyle name="Normal 18 2 2 6 5" xfId="43937" xr:uid="{00000000-0005-0000-0000-0000F85F0000}"/>
    <cellStyle name="Normal 18 2 2 6 6" xfId="27837" xr:uid="{00000000-0005-0000-0000-0000F95F0000}"/>
    <cellStyle name="Normal 18 2 2 6 7" xfId="14773" xr:uid="{00000000-0005-0000-0000-0000FA5F0000}"/>
    <cellStyle name="Normal 18 2 2 7" xfId="1130" xr:uid="{00000000-0005-0000-0000-0000FB5F0000}"/>
    <cellStyle name="Normal 18 2 2 7 2" xfId="7664" xr:uid="{00000000-0005-0000-0000-0000FC5F0000}"/>
    <cellStyle name="Normal 18 2 2 7 2 2" xfId="39405" xr:uid="{00000000-0005-0000-0000-0000FD5F0000}"/>
    <cellStyle name="Normal 18 2 2 7 2 2 2" xfId="55505" xr:uid="{00000000-0005-0000-0000-0000FE5F0000}"/>
    <cellStyle name="Normal 18 2 2 7 2 3" xfId="45938" xr:uid="{00000000-0005-0000-0000-0000FF5F0000}"/>
    <cellStyle name="Normal 18 2 2 7 2 4" xfId="29838" xr:uid="{00000000-0005-0000-0000-000000600000}"/>
    <cellStyle name="Normal 18 2 2 7 2 5" xfId="20269" xr:uid="{00000000-0005-0000-0000-000001600000}"/>
    <cellStyle name="Normal 18 2 2 7 3" xfId="10700" xr:uid="{00000000-0005-0000-0000-000002600000}"/>
    <cellStyle name="Normal 18 2 2 7 3 2" xfId="48974" xr:uid="{00000000-0005-0000-0000-000003600000}"/>
    <cellStyle name="Normal 18 2 2 7 3 3" xfId="32874" xr:uid="{00000000-0005-0000-0000-000004600000}"/>
    <cellStyle name="Normal 18 2 2 7 3 4" xfId="23305" xr:uid="{00000000-0005-0000-0000-000005600000}"/>
    <cellStyle name="Normal 18 2 2 7 4" xfId="4628" xr:uid="{00000000-0005-0000-0000-000006600000}"/>
    <cellStyle name="Normal 18 2 2 7 4 2" xfId="52469" xr:uid="{00000000-0005-0000-0000-000007600000}"/>
    <cellStyle name="Normal 18 2 2 7 4 3" xfId="36369" xr:uid="{00000000-0005-0000-0000-000008600000}"/>
    <cellStyle name="Normal 18 2 2 7 4 4" xfId="17233" xr:uid="{00000000-0005-0000-0000-000009600000}"/>
    <cellStyle name="Normal 18 2 2 7 5" xfId="42902" xr:uid="{00000000-0005-0000-0000-00000A600000}"/>
    <cellStyle name="Normal 18 2 2 7 6" xfId="26802" xr:uid="{00000000-0005-0000-0000-00000B600000}"/>
    <cellStyle name="Normal 18 2 2 7 7" xfId="13738" xr:uid="{00000000-0005-0000-0000-00000C600000}"/>
    <cellStyle name="Normal 18 2 2 8" xfId="3618" xr:uid="{00000000-0005-0000-0000-00000D600000}"/>
    <cellStyle name="Normal 18 2 2 8 2" xfId="35359" xr:uid="{00000000-0005-0000-0000-00000E600000}"/>
    <cellStyle name="Normal 18 2 2 8 2 2" xfId="51459" xr:uid="{00000000-0005-0000-0000-00000F600000}"/>
    <cellStyle name="Normal 18 2 2 8 3" xfId="41892" xr:uid="{00000000-0005-0000-0000-000010600000}"/>
    <cellStyle name="Normal 18 2 2 8 4" xfId="25792" xr:uid="{00000000-0005-0000-0000-000011600000}"/>
    <cellStyle name="Normal 18 2 2 8 5" xfId="16223" xr:uid="{00000000-0005-0000-0000-000012600000}"/>
    <cellStyle name="Normal 18 2 2 9" xfId="6654" xr:uid="{00000000-0005-0000-0000-000013600000}"/>
    <cellStyle name="Normal 18 2 2 9 2" xfId="38395" xr:uid="{00000000-0005-0000-0000-000014600000}"/>
    <cellStyle name="Normal 18 2 2 9 2 2" xfId="54495" xr:uid="{00000000-0005-0000-0000-000015600000}"/>
    <cellStyle name="Normal 18 2 2 9 3" xfId="44928" xr:uid="{00000000-0005-0000-0000-000016600000}"/>
    <cellStyle name="Normal 18 2 2 9 4" xfId="28828" xr:uid="{00000000-0005-0000-0000-000017600000}"/>
    <cellStyle name="Normal 18 2 2 9 5" xfId="19259" xr:uid="{00000000-0005-0000-0000-000018600000}"/>
    <cellStyle name="Normal 18 2 3" xfId="106" xr:uid="{00000000-0005-0000-0000-000019600000}"/>
    <cellStyle name="Normal 18 2 3 10" xfId="41624" xr:uid="{00000000-0005-0000-0000-00001A600000}"/>
    <cellStyle name="Normal 18 2 3 11" xfId="25524" xr:uid="{00000000-0005-0000-0000-00001B600000}"/>
    <cellStyle name="Normal 18 2 3 12" xfId="12939" xr:uid="{00000000-0005-0000-0000-00001C600000}"/>
    <cellStyle name="Normal 18 2 3 2" xfId="287" xr:uid="{00000000-0005-0000-0000-00001D600000}"/>
    <cellStyle name="Normal 18 2 3 2 2" xfId="2306" xr:uid="{00000000-0005-0000-0000-00001E600000}"/>
    <cellStyle name="Normal 18 2 3 2 2 2" xfId="8840" xr:uid="{00000000-0005-0000-0000-00001F600000}"/>
    <cellStyle name="Normal 18 2 3 2 2 2 2" xfId="40581" xr:uid="{00000000-0005-0000-0000-000020600000}"/>
    <cellStyle name="Normal 18 2 3 2 2 2 2 2" xfId="56681" xr:uid="{00000000-0005-0000-0000-000021600000}"/>
    <cellStyle name="Normal 18 2 3 2 2 2 3" xfId="47114" xr:uid="{00000000-0005-0000-0000-000022600000}"/>
    <cellStyle name="Normal 18 2 3 2 2 2 4" xfId="31014" xr:uid="{00000000-0005-0000-0000-000023600000}"/>
    <cellStyle name="Normal 18 2 3 2 2 2 5" xfId="21445" xr:uid="{00000000-0005-0000-0000-000024600000}"/>
    <cellStyle name="Normal 18 2 3 2 2 3" xfId="11876" xr:uid="{00000000-0005-0000-0000-000025600000}"/>
    <cellStyle name="Normal 18 2 3 2 2 3 2" xfId="50150" xr:uid="{00000000-0005-0000-0000-000026600000}"/>
    <cellStyle name="Normal 18 2 3 2 2 3 3" xfId="34050" xr:uid="{00000000-0005-0000-0000-000027600000}"/>
    <cellStyle name="Normal 18 2 3 2 2 3 4" xfId="24481" xr:uid="{00000000-0005-0000-0000-000028600000}"/>
    <cellStyle name="Normal 18 2 3 2 2 4" xfId="5804" xr:uid="{00000000-0005-0000-0000-000029600000}"/>
    <cellStyle name="Normal 18 2 3 2 2 4 2" xfId="53645" xr:uid="{00000000-0005-0000-0000-00002A600000}"/>
    <cellStyle name="Normal 18 2 3 2 2 4 3" xfId="37545" xr:uid="{00000000-0005-0000-0000-00002B600000}"/>
    <cellStyle name="Normal 18 2 3 2 2 4 4" xfId="18409" xr:uid="{00000000-0005-0000-0000-00002C600000}"/>
    <cellStyle name="Normal 18 2 3 2 2 5" xfId="44078" xr:uid="{00000000-0005-0000-0000-00002D600000}"/>
    <cellStyle name="Normal 18 2 3 2 2 6" xfId="27978" xr:uid="{00000000-0005-0000-0000-00002E600000}"/>
    <cellStyle name="Normal 18 2 3 2 2 7" xfId="14914" xr:uid="{00000000-0005-0000-0000-00002F600000}"/>
    <cellStyle name="Normal 18 2 3 2 3" xfId="1518" xr:uid="{00000000-0005-0000-0000-000030600000}"/>
    <cellStyle name="Normal 18 2 3 2 3 2" xfId="8052" xr:uid="{00000000-0005-0000-0000-000031600000}"/>
    <cellStyle name="Normal 18 2 3 2 3 2 2" xfId="39793" xr:uid="{00000000-0005-0000-0000-000032600000}"/>
    <cellStyle name="Normal 18 2 3 2 3 2 2 2" xfId="55893" xr:uid="{00000000-0005-0000-0000-000033600000}"/>
    <cellStyle name="Normal 18 2 3 2 3 2 3" xfId="46326" xr:uid="{00000000-0005-0000-0000-000034600000}"/>
    <cellStyle name="Normal 18 2 3 2 3 2 4" xfId="30226" xr:uid="{00000000-0005-0000-0000-000035600000}"/>
    <cellStyle name="Normal 18 2 3 2 3 2 5" xfId="20657" xr:uid="{00000000-0005-0000-0000-000036600000}"/>
    <cellStyle name="Normal 18 2 3 2 3 3" xfId="11088" xr:uid="{00000000-0005-0000-0000-000037600000}"/>
    <cellStyle name="Normal 18 2 3 2 3 3 2" xfId="49362" xr:uid="{00000000-0005-0000-0000-000038600000}"/>
    <cellStyle name="Normal 18 2 3 2 3 3 3" xfId="33262" xr:uid="{00000000-0005-0000-0000-000039600000}"/>
    <cellStyle name="Normal 18 2 3 2 3 3 4" xfId="23693" xr:uid="{00000000-0005-0000-0000-00003A600000}"/>
    <cellStyle name="Normal 18 2 3 2 3 4" xfId="5016" xr:uid="{00000000-0005-0000-0000-00003B600000}"/>
    <cellStyle name="Normal 18 2 3 2 3 4 2" xfId="52857" xr:uid="{00000000-0005-0000-0000-00003C600000}"/>
    <cellStyle name="Normal 18 2 3 2 3 4 3" xfId="36757" xr:uid="{00000000-0005-0000-0000-00003D600000}"/>
    <cellStyle name="Normal 18 2 3 2 3 4 4" xfId="17621" xr:uid="{00000000-0005-0000-0000-00003E600000}"/>
    <cellStyle name="Normal 18 2 3 2 3 5" xfId="43290" xr:uid="{00000000-0005-0000-0000-00003F600000}"/>
    <cellStyle name="Normal 18 2 3 2 3 6" xfId="27190" xr:uid="{00000000-0005-0000-0000-000040600000}"/>
    <cellStyle name="Normal 18 2 3 2 3 7" xfId="14126" xr:uid="{00000000-0005-0000-0000-000041600000}"/>
    <cellStyle name="Normal 18 2 3 2 4" xfId="7042" xr:uid="{00000000-0005-0000-0000-000042600000}"/>
    <cellStyle name="Normal 18 2 3 2 4 2" xfId="38783" xr:uid="{00000000-0005-0000-0000-000043600000}"/>
    <cellStyle name="Normal 18 2 3 2 4 2 2" xfId="54883" xr:uid="{00000000-0005-0000-0000-000044600000}"/>
    <cellStyle name="Normal 18 2 3 2 4 3" xfId="45316" xr:uid="{00000000-0005-0000-0000-000045600000}"/>
    <cellStyle name="Normal 18 2 3 2 4 4" xfId="29216" xr:uid="{00000000-0005-0000-0000-000046600000}"/>
    <cellStyle name="Normal 18 2 3 2 4 5" xfId="19647" xr:uid="{00000000-0005-0000-0000-000047600000}"/>
    <cellStyle name="Normal 18 2 3 2 5" xfId="10078" xr:uid="{00000000-0005-0000-0000-000048600000}"/>
    <cellStyle name="Normal 18 2 3 2 5 2" xfId="48352" xr:uid="{00000000-0005-0000-0000-000049600000}"/>
    <cellStyle name="Normal 18 2 3 2 5 3" xfId="32252" xr:uid="{00000000-0005-0000-0000-00004A600000}"/>
    <cellStyle name="Normal 18 2 3 2 5 4" xfId="22683" xr:uid="{00000000-0005-0000-0000-00004B600000}"/>
    <cellStyle name="Normal 18 2 3 2 6" xfId="4006" xr:uid="{00000000-0005-0000-0000-00004C600000}"/>
    <cellStyle name="Normal 18 2 3 2 6 2" xfId="51847" xr:uid="{00000000-0005-0000-0000-00004D600000}"/>
    <cellStyle name="Normal 18 2 3 2 6 3" xfId="35747" xr:uid="{00000000-0005-0000-0000-00004E600000}"/>
    <cellStyle name="Normal 18 2 3 2 6 4" xfId="16611" xr:uid="{00000000-0005-0000-0000-00004F600000}"/>
    <cellStyle name="Normal 18 2 3 2 7" xfId="42280" xr:uid="{00000000-0005-0000-0000-000050600000}"/>
    <cellStyle name="Normal 18 2 3 2 8" xfId="26180" xr:uid="{00000000-0005-0000-0000-000051600000}"/>
    <cellStyle name="Normal 18 2 3 2 9" xfId="13116" xr:uid="{00000000-0005-0000-0000-000052600000}"/>
    <cellStyle name="Normal 18 2 3 3" xfId="979" xr:uid="{00000000-0005-0000-0000-000053600000}"/>
    <cellStyle name="Normal 18 2 3 3 2" xfId="3007" xr:uid="{00000000-0005-0000-0000-000054600000}"/>
    <cellStyle name="Normal 18 2 3 3 2 2" xfId="9539" xr:uid="{00000000-0005-0000-0000-000055600000}"/>
    <cellStyle name="Normal 18 2 3 3 2 2 2" xfId="41280" xr:uid="{00000000-0005-0000-0000-000056600000}"/>
    <cellStyle name="Normal 18 2 3 3 2 2 2 2" xfId="57380" xr:uid="{00000000-0005-0000-0000-000057600000}"/>
    <cellStyle name="Normal 18 2 3 3 2 2 3" xfId="47813" xr:uid="{00000000-0005-0000-0000-000058600000}"/>
    <cellStyle name="Normal 18 2 3 3 2 2 4" xfId="31713" xr:uid="{00000000-0005-0000-0000-000059600000}"/>
    <cellStyle name="Normal 18 2 3 3 2 2 5" xfId="22144" xr:uid="{00000000-0005-0000-0000-00005A600000}"/>
    <cellStyle name="Normal 18 2 3 3 2 3" xfId="12575" xr:uid="{00000000-0005-0000-0000-00005B600000}"/>
    <cellStyle name="Normal 18 2 3 3 2 3 2" xfId="50849" xr:uid="{00000000-0005-0000-0000-00005C600000}"/>
    <cellStyle name="Normal 18 2 3 3 2 3 3" xfId="34749" xr:uid="{00000000-0005-0000-0000-00005D600000}"/>
    <cellStyle name="Normal 18 2 3 3 2 3 4" xfId="25180" xr:uid="{00000000-0005-0000-0000-00005E600000}"/>
    <cellStyle name="Normal 18 2 3 3 2 4" xfId="6503" xr:uid="{00000000-0005-0000-0000-00005F600000}"/>
    <cellStyle name="Normal 18 2 3 3 2 4 2" xfId="54344" xr:uid="{00000000-0005-0000-0000-000060600000}"/>
    <cellStyle name="Normal 18 2 3 3 2 4 3" xfId="38244" xr:uid="{00000000-0005-0000-0000-000061600000}"/>
    <cellStyle name="Normal 18 2 3 3 2 4 4" xfId="19108" xr:uid="{00000000-0005-0000-0000-000062600000}"/>
    <cellStyle name="Normal 18 2 3 3 2 5" xfId="44777" xr:uid="{00000000-0005-0000-0000-000063600000}"/>
    <cellStyle name="Normal 18 2 3 3 2 6" xfId="28677" xr:uid="{00000000-0005-0000-0000-000064600000}"/>
    <cellStyle name="Normal 18 2 3 3 2 7" xfId="15613" xr:uid="{00000000-0005-0000-0000-000065600000}"/>
    <cellStyle name="Normal 18 2 3 3 3" xfId="1989" xr:uid="{00000000-0005-0000-0000-000066600000}"/>
    <cellStyle name="Normal 18 2 3 3 3 2" xfId="8523" xr:uid="{00000000-0005-0000-0000-000067600000}"/>
    <cellStyle name="Normal 18 2 3 3 3 2 2" xfId="40264" xr:uid="{00000000-0005-0000-0000-000068600000}"/>
    <cellStyle name="Normal 18 2 3 3 3 2 2 2" xfId="56364" xr:uid="{00000000-0005-0000-0000-000069600000}"/>
    <cellStyle name="Normal 18 2 3 3 3 2 3" xfId="46797" xr:uid="{00000000-0005-0000-0000-00006A600000}"/>
    <cellStyle name="Normal 18 2 3 3 3 2 4" xfId="30697" xr:uid="{00000000-0005-0000-0000-00006B600000}"/>
    <cellStyle name="Normal 18 2 3 3 3 2 5" xfId="21128" xr:uid="{00000000-0005-0000-0000-00006C600000}"/>
    <cellStyle name="Normal 18 2 3 3 3 3" xfId="11559" xr:uid="{00000000-0005-0000-0000-00006D600000}"/>
    <cellStyle name="Normal 18 2 3 3 3 3 2" xfId="49833" xr:uid="{00000000-0005-0000-0000-00006E600000}"/>
    <cellStyle name="Normal 18 2 3 3 3 3 3" xfId="33733" xr:uid="{00000000-0005-0000-0000-00006F600000}"/>
    <cellStyle name="Normal 18 2 3 3 3 3 4" xfId="24164" xr:uid="{00000000-0005-0000-0000-000070600000}"/>
    <cellStyle name="Normal 18 2 3 3 3 4" xfId="5487" xr:uid="{00000000-0005-0000-0000-000071600000}"/>
    <cellStyle name="Normal 18 2 3 3 3 4 2" xfId="53328" xr:uid="{00000000-0005-0000-0000-000072600000}"/>
    <cellStyle name="Normal 18 2 3 3 3 4 3" xfId="37228" xr:uid="{00000000-0005-0000-0000-000073600000}"/>
    <cellStyle name="Normal 18 2 3 3 3 4 4" xfId="18092" xr:uid="{00000000-0005-0000-0000-000074600000}"/>
    <cellStyle name="Normal 18 2 3 3 3 5" xfId="43761" xr:uid="{00000000-0005-0000-0000-000075600000}"/>
    <cellStyle name="Normal 18 2 3 3 3 6" xfId="27661" xr:uid="{00000000-0005-0000-0000-000076600000}"/>
    <cellStyle name="Normal 18 2 3 3 3 7" xfId="14597" xr:uid="{00000000-0005-0000-0000-000077600000}"/>
    <cellStyle name="Normal 18 2 3 3 4" xfId="7513" xr:uid="{00000000-0005-0000-0000-000078600000}"/>
    <cellStyle name="Normal 18 2 3 3 4 2" xfId="39254" xr:uid="{00000000-0005-0000-0000-000079600000}"/>
    <cellStyle name="Normal 18 2 3 3 4 2 2" xfId="55354" xr:uid="{00000000-0005-0000-0000-00007A600000}"/>
    <cellStyle name="Normal 18 2 3 3 4 3" xfId="45787" xr:uid="{00000000-0005-0000-0000-00007B600000}"/>
    <cellStyle name="Normal 18 2 3 3 4 4" xfId="29687" xr:uid="{00000000-0005-0000-0000-00007C600000}"/>
    <cellStyle name="Normal 18 2 3 3 4 5" xfId="20118" xr:uid="{00000000-0005-0000-0000-00007D600000}"/>
    <cellStyle name="Normal 18 2 3 3 5" xfId="10549" xr:uid="{00000000-0005-0000-0000-00007E600000}"/>
    <cellStyle name="Normal 18 2 3 3 5 2" xfId="48823" xr:uid="{00000000-0005-0000-0000-00007F600000}"/>
    <cellStyle name="Normal 18 2 3 3 5 3" xfId="32723" xr:uid="{00000000-0005-0000-0000-000080600000}"/>
    <cellStyle name="Normal 18 2 3 3 5 4" xfId="23154" xr:uid="{00000000-0005-0000-0000-000081600000}"/>
    <cellStyle name="Normal 18 2 3 3 6" xfId="4477" xr:uid="{00000000-0005-0000-0000-000082600000}"/>
    <cellStyle name="Normal 18 2 3 3 6 2" xfId="52318" xr:uid="{00000000-0005-0000-0000-000083600000}"/>
    <cellStyle name="Normal 18 2 3 3 6 3" xfId="36218" xr:uid="{00000000-0005-0000-0000-000084600000}"/>
    <cellStyle name="Normal 18 2 3 3 6 4" xfId="17082" xr:uid="{00000000-0005-0000-0000-000085600000}"/>
    <cellStyle name="Normal 18 2 3 3 7" xfId="42751" xr:uid="{00000000-0005-0000-0000-000086600000}"/>
    <cellStyle name="Normal 18 2 3 3 8" xfId="26651" xr:uid="{00000000-0005-0000-0000-000087600000}"/>
    <cellStyle name="Normal 18 2 3 3 9" xfId="13587" xr:uid="{00000000-0005-0000-0000-000088600000}"/>
    <cellStyle name="Normal 18 2 3 4" xfId="2129" xr:uid="{00000000-0005-0000-0000-000089600000}"/>
    <cellStyle name="Normal 18 2 3 4 2" xfId="8663" xr:uid="{00000000-0005-0000-0000-00008A600000}"/>
    <cellStyle name="Normal 18 2 3 4 2 2" xfId="40404" xr:uid="{00000000-0005-0000-0000-00008B600000}"/>
    <cellStyle name="Normal 18 2 3 4 2 2 2" xfId="56504" xr:uid="{00000000-0005-0000-0000-00008C600000}"/>
    <cellStyle name="Normal 18 2 3 4 2 3" xfId="46937" xr:uid="{00000000-0005-0000-0000-00008D600000}"/>
    <cellStyle name="Normal 18 2 3 4 2 4" xfId="30837" xr:uid="{00000000-0005-0000-0000-00008E600000}"/>
    <cellStyle name="Normal 18 2 3 4 2 5" xfId="21268" xr:uid="{00000000-0005-0000-0000-00008F600000}"/>
    <cellStyle name="Normal 18 2 3 4 3" xfId="11699" xr:uid="{00000000-0005-0000-0000-000090600000}"/>
    <cellStyle name="Normal 18 2 3 4 3 2" xfId="49973" xr:uid="{00000000-0005-0000-0000-000091600000}"/>
    <cellStyle name="Normal 18 2 3 4 3 3" xfId="33873" xr:uid="{00000000-0005-0000-0000-000092600000}"/>
    <cellStyle name="Normal 18 2 3 4 3 4" xfId="24304" xr:uid="{00000000-0005-0000-0000-000093600000}"/>
    <cellStyle name="Normal 18 2 3 4 4" xfId="5627" xr:uid="{00000000-0005-0000-0000-000094600000}"/>
    <cellStyle name="Normal 18 2 3 4 4 2" xfId="53468" xr:uid="{00000000-0005-0000-0000-000095600000}"/>
    <cellStyle name="Normal 18 2 3 4 4 3" xfId="37368" xr:uid="{00000000-0005-0000-0000-000096600000}"/>
    <cellStyle name="Normal 18 2 3 4 4 4" xfId="18232" xr:uid="{00000000-0005-0000-0000-000097600000}"/>
    <cellStyle name="Normal 18 2 3 4 5" xfId="43901" xr:uid="{00000000-0005-0000-0000-000098600000}"/>
    <cellStyle name="Normal 18 2 3 4 6" xfId="27801" xr:uid="{00000000-0005-0000-0000-000099600000}"/>
    <cellStyle name="Normal 18 2 3 4 7" xfId="14737" xr:uid="{00000000-0005-0000-0000-00009A600000}"/>
    <cellStyle name="Normal 18 2 3 5" xfId="1341" xr:uid="{00000000-0005-0000-0000-00009B600000}"/>
    <cellStyle name="Normal 18 2 3 5 2" xfId="7875" xr:uid="{00000000-0005-0000-0000-00009C600000}"/>
    <cellStyle name="Normal 18 2 3 5 2 2" xfId="39616" xr:uid="{00000000-0005-0000-0000-00009D600000}"/>
    <cellStyle name="Normal 18 2 3 5 2 2 2" xfId="55716" xr:uid="{00000000-0005-0000-0000-00009E600000}"/>
    <cellStyle name="Normal 18 2 3 5 2 3" xfId="46149" xr:uid="{00000000-0005-0000-0000-00009F600000}"/>
    <cellStyle name="Normal 18 2 3 5 2 4" xfId="30049" xr:uid="{00000000-0005-0000-0000-0000A0600000}"/>
    <cellStyle name="Normal 18 2 3 5 2 5" xfId="20480" xr:uid="{00000000-0005-0000-0000-0000A1600000}"/>
    <cellStyle name="Normal 18 2 3 5 3" xfId="10911" xr:uid="{00000000-0005-0000-0000-0000A2600000}"/>
    <cellStyle name="Normal 18 2 3 5 3 2" xfId="49185" xr:uid="{00000000-0005-0000-0000-0000A3600000}"/>
    <cellStyle name="Normal 18 2 3 5 3 3" xfId="33085" xr:uid="{00000000-0005-0000-0000-0000A4600000}"/>
    <cellStyle name="Normal 18 2 3 5 3 4" xfId="23516" xr:uid="{00000000-0005-0000-0000-0000A5600000}"/>
    <cellStyle name="Normal 18 2 3 5 4" xfId="4839" xr:uid="{00000000-0005-0000-0000-0000A6600000}"/>
    <cellStyle name="Normal 18 2 3 5 4 2" xfId="52680" xr:uid="{00000000-0005-0000-0000-0000A7600000}"/>
    <cellStyle name="Normal 18 2 3 5 4 3" xfId="36580" xr:uid="{00000000-0005-0000-0000-0000A8600000}"/>
    <cellStyle name="Normal 18 2 3 5 4 4" xfId="17444" xr:uid="{00000000-0005-0000-0000-0000A9600000}"/>
    <cellStyle name="Normal 18 2 3 5 5" xfId="43113" xr:uid="{00000000-0005-0000-0000-0000AA600000}"/>
    <cellStyle name="Normal 18 2 3 5 6" xfId="27013" xr:uid="{00000000-0005-0000-0000-0000AB600000}"/>
    <cellStyle name="Normal 18 2 3 5 7" xfId="13949" xr:uid="{00000000-0005-0000-0000-0000AC600000}"/>
    <cellStyle name="Normal 18 2 3 6" xfId="3829" xr:uid="{00000000-0005-0000-0000-0000AD600000}"/>
    <cellStyle name="Normal 18 2 3 6 2" xfId="35570" xr:uid="{00000000-0005-0000-0000-0000AE600000}"/>
    <cellStyle name="Normal 18 2 3 6 2 2" xfId="51670" xr:uid="{00000000-0005-0000-0000-0000AF600000}"/>
    <cellStyle name="Normal 18 2 3 6 3" xfId="42103" xr:uid="{00000000-0005-0000-0000-0000B0600000}"/>
    <cellStyle name="Normal 18 2 3 6 4" xfId="26003" xr:uid="{00000000-0005-0000-0000-0000B1600000}"/>
    <cellStyle name="Normal 18 2 3 6 5" xfId="16434" xr:uid="{00000000-0005-0000-0000-0000B2600000}"/>
    <cellStyle name="Normal 18 2 3 7" xfId="6865" xr:uid="{00000000-0005-0000-0000-0000B3600000}"/>
    <cellStyle name="Normal 18 2 3 7 2" xfId="38606" xr:uid="{00000000-0005-0000-0000-0000B4600000}"/>
    <cellStyle name="Normal 18 2 3 7 2 2" xfId="54706" xr:uid="{00000000-0005-0000-0000-0000B5600000}"/>
    <cellStyle name="Normal 18 2 3 7 3" xfId="45139" xr:uid="{00000000-0005-0000-0000-0000B6600000}"/>
    <cellStyle name="Normal 18 2 3 7 4" xfId="29039" xr:uid="{00000000-0005-0000-0000-0000B7600000}"/>
    <cellStyle name="Normal 18 2 3 7 5" xfId="19470" xr:uid="{00000000-0005-0000-0000-0000B8600000}"/>
    <cellStyle name="Normal 18 2 3 8" xfId="9901" xr:uid="{00000000-0005-0000-0000-0000B9600000}"/>
    <cellStyle name="Normal 18 2 3 8 2" xfId="48175" xr:uid="{00000000-0005-0000-0000-0000BA600000}"/>
    <cellStyle name="Normal 18 2 3 8 3" xfId="32075" xr:uid="{00000000-0005-0000-0000-0000BB600000}"/>
    <cellStyle name="Normal 18 2 3 8 4" xfId="22506" xr:uid="{00000000-0005-0000-0000-0000BC600000}"/>
    <cellStyle name="Normal 18 2 3 9" xfId="3350" xr:uid="{00000000-0005-0000-0000-0000BD600000}"/>
    <cellStyle name="Normal 18 2 3 9 2" xfId="51191" xr:uid="{00000000-0005-0000-0000-0000BE600000}"/>
    <cellStyle name="Normal 18 2 3 9 3" xfId="35091" xr:uid="{00000000-0005-0000-0000-0000BF600000}"/>
    <cellStyle name="Normal 18 2 3 9 4" xfId="15955" xr:uid="{00000000-0005-0000-0000-0000C0600000}"/>
    <cellStyle name="Normal 18 2 4" xfId="181" xr:uid="{00000000-0005-0000-0000-0000C1600000}"/>
    <cellStyle name="Normal 18 2 4 10" xfId="26074" xr:uid="{00000000-0005-0000-0000-0000C2600000}"/>
    <cellStyle name="Normal 18 2 4 11" xfId="13010" xr:uid="{00000000-0005-0000-0000-0000C3600000}"/>
    <cellStyle name="Normal 18 2 4 2" xfId="358" xr:uid="{00000000-0005-0000-0000-0000C4600000}"/>
    <cellStyle name="Normal 18 2 4 2 2" xfId="2377" xr:uid="{00000000-0005-0000-0000-0000C5600000}"/>
    <cellStyle name="Normal 18 2 4 2 2 2" xfId="8911" xr:uid="{00000000-0005-0000-0000-0000C6600000}"/>
    <cellStyle name="Normal 18 2 4 2 2 2 2" xfId="40652" xr:uid="{00000000-0005-0000-0000-0000C7600000}"/>
    <cellStyle name="Normal 18 2 4 2 2 2 2 2" xfId="56752" xr:uid="{00000000-0005-0000-0000-0000C8600000}"/>
    <cellStyle name="Normal 18 2 4 2 2 2 3" xfId="47185" xr:uid="{00000000-0005-0000-0000-0000C9600000}"/>
    <cellStyle name="Normal 18 2 4 2 2 2 4" xfId="31085" xr:uid="{00000000-0005-0000-0000-0000CA600000}"/>
    <cellStyle name="Normal 18 2 4 2 2 2 5" xfId="21516" xr:uid="{00000000-0005-0000-0000-0000CB600000}"/>
    <cellStyle name="Normal 18 2 4 2 2 3" xfId="11947" xr:uid="{00000000-0005-0000-0000-0000CC600000}"/>
    <cellStyle name="Normal 18 2 4 2 2 3 2" xfId="50221" xr:uid="{00000000-0005-0000-0000-0000CD600000}"/>
    <cellStyle name="Normal 18 2 4 2 2 3 3" xfId="34121" xr:uid="{00000000-0005-0000-0000-0000CE600000}"/>
    <cellStyle name="Normal 18 2 4 2 2 3 4" xfId="24552" xr:uid="{00000000-0005-0000-0000-0000CF600000}"/>
    <cellStyle name="Normal 18 2 4 2 2 4" xfId="5875" xr:uid="{00000000-0005-0000-0000-0000D0600000}"/>
    <cellStyle name="Normal 18 2 4 2 2 4 2" xfId="53716" xr:uid="{00000000-0005-0000-0000-0000D1600000}"/>
    <cellStyle name="Normal 18 2 4 2 2 4 3" xfId="37616" xr:uid="{00000000-0005-0000-0000-0000D2600000}"/>
    <cellStyle name="Normal 18 2 4 2 2 4 4" xfId="18480" xr:uid="{00000000-0005-0000-0000-0000D3600000}"/>
    <cellStyle name="Normal 18 2 4 2 2 5" xfId="44149" xr:uid="{00000000-0005-0000-0000-0000D4600000}"/>
    <cellStyle name="Normal 18 2 4 2 2 6" xfId="28049" xr:uid="{00000000-0005-0000-0000-0000D5600000}"/>
    <cellStyle name="Normal 18 2 4 2 2 7" xfId="14985" xr:uid="{00000000-0005-0000-0000-0000D6600000}"/>
    <cellStyle name="Normal 18 2 4 2 3" xfId="1589" xr:uid="{00000000-0005-0000-0000-0000D7600000}"/>
    <cellStyle name="Normal 18 2 4 2 3 2" xfId="8123" xr:uid="{00000000-0005-0000-0000-0000D8600000}"/>
    <cellStyle name="Normal 18 2 4 2 3 2 2" xfId="39864" xr:uid="{00000000-0005-0000-0000-0000D9600000}"/>
    <cellStyle name="Normal 18 2 4 2 3 2 2 2" xfId="55964" xr:uid="{00000000-0005-0000-0000-0000DA600000}"/>
    <cellStyle name="Normal 18 2 4 2 3 2 3" xfId="46397" xr:uid="{00000000-0005-0000-0000-0000DB600000}"/>
    <cellStyle name="Normal 18 2 4 2 3 2 4" xfId="30297" xr:uid="{00000000-0005-0000-0000-0000DC600000}"/>
    <cellStyle name="Normal 18 2 4 2 3 2 5" xfId="20728" xr:uid="{00000000-0005-0000-0000-0000DD600000}"/>
    <cellStyle name="Normal 18 2 4 2 3 3" xfId="11159" xr:uid="{00000000-0005-0000-0000-0000DE600000}"/>
    <cellStyle name="Normal 18 2 4 2 3 3 2" xfId="49433" xr:uid="{00000000-0005-0000-0000-0000DF600000}"/>
    <cellStyle name="Normal 18 2 4 2 3 3 3" xfId="33333" xr:uid="{00000000-0005-0000-0000-0000E0600000}"/>
    <cellStyle name="Normal 18 2 4 2 3 3 4" xfId="23764" xr:uid="{00000000-0005-0000-0000-0000E1600000}"/>
    <cellStyle name="Normal 18 2 4 2 3 4" xfId="5087" xr:uid="{00000000-0005-0000-0000-0000E2600000}"/>
    <cellStyle name="Normal 18 2 4 2 3 4 2" xfId="52928" xr:uid="{00000000-0005-0000-0000-0000E3600000}"/>
    <cellStyle name="Normal 18 2 4 2 3 4 3" xfId="36828" xr:uid="{00000000-0005-0000-0000-0000E4600000}"/>
    <cellStyle name="Normal 18 2 4 2 3 4 4" xfId="17692" xr:uid="{00000000-0005-0000-0000-0000E5600000}"/>
    <cellStyle name="Normal 18 2 4 2 3 5" xfId="43361" xr:uid="{00000000-0005-0000-0000-0000E6600000}"/>
    <cellStyle name="Normal 18 2 4 2 3 6" xfId="27261" xr:uid="{00000000-0005-0000-0000-0000E7600000}"/>
    <cellStyle name="Normal 18 2 4 2 3 7" xfId="14197" xr:uid="{00000000-0005-0000-0000-0000E8600000}"/>
    <cellStyle name="Normal 18 2 4 2 4" xfId="7113" xr:uid="{00000000-0005-0000-0000-0000E9600000}"/>
    <cellStyle name="Normal 18 2 4 2 4 2" xfId="38854" xr:uid="{00000000-0005-0000-0000-0000EA600000}"/>
    <cellStyle name="Normal 18 2 4 2 4 2 2" xfId="54954" xr:uid="{00000000-0005-0000-0000-0000EB600000}"/>
    <cellStyle name="Normal 18 2 4 2 4 3" xfId="45387" xr:uid="{00000000-0005-0000-0000-0000EC600000}"/>
    <cellStyle name="Normal 18 2 4 2 4 4" xfId="29287" xr:uid="{00000000-0005-0000-0000-0000ED600000}"/>
    <cellStyle name="Normal 18 2 4 2 4 5" xfId="19718" xr:uid="{00000000-0005-0000-0000-0000EE600000}"/>
    <cellStyle name="Normal 18 2 4 2 5" xfId="10149" xr:uid="{00000000-0005-0000-0000-0000EF600000}"/>
    <cellStyle name="Normal 18 2 4 2 5 2" xfId="48423" xr:uid="{00000000-0005-0000-0000-0000F0600000}"/>
    <cellStyle name="Normal 18 2 4 2 5 3" xfId="32323" xr:uid="{00000000-0005-0000-0000-0000F1600000}"/>
    <cellStyle name="Normal 18 2 4 2 5 4" xfId="22754" xr:uid="{00000000-0005-0000-0000-0000F2600000}"/>
    <cellStyle name="Normal 18 2 4 2 6" xfId="4077" xr:uid="{00000000-0005-0000-0000-0000F3600000}"/>
    <cellStyle name="Normal 18 2 4 2 6 2" xfId="51918" xr:uid="{00000000-0005-0000-0000-0000F4600000}"/>
    <cellStyle name="Normal 18 2 4 2 6 3" xfId="35818" xr:uid="{00000000-0005-0000-0000-0000F5600000}"/>
    <cellStyle name="Normal 18 2 4 2 6 4" xfId="16682" xr:uid="{00000000-0005-0000-0000-0000F6600000}"/>
    <cellStyle name="Normal 18 2 4 2 7" xfId="42351" xr:uid="{00000000-0005-0000-0000-0000F7600000}"/>
    <cellStyle name="Normal 18 2 4 2 8" xfId="26251" xr:uid="{00000000-0005-0000-0000-0000F8600000}"/>
    <cellStyle name="Normal 18 2 4 2 9" xfId="13187" xr:uid="{00000000-0005-0000-0000-0000F9600000}"/>
    <cellStyle name="Normal 18 2 4 3" xfId="998" xr:uid="{00000000-0005-0000-0000-0000FA600000}"/>
    <cellStyle name="Normal 18 2 4 3 2" xfId="3026" xr:uid="{00000000-0005-0000-0000-0000FB600000}"/>
    <cellStyle name="Normal 18 2 4 3 2 2" xfId="9558" xr:uid="{00000000-0005-0000-0000-0000FC600000}"/>
    <cellStyle name="Normal 18 2 4 3 2 2 2" xfId="41299" xr:uid="{00000000-0005-0000-0000-0000FD600000}"/>
    <cellStyle name="Normal 18 2 4 3 2 2 2 2" xfId="57399" xr:uid="{00000000-0005-0000-0000-0000FE600000}"/>
    <cellStyle name="Normal 18 2 4 3 2 2 3" xfId="47832" xr:uid="{00000000-0005-0000-0000-0000FF600000}"/>
    <cellStyle name="Normal 18 2 4 3 2 2 4" xfId="31732" xr:uid="{00000000-0005-0000-0000-000000610000}"/>
    <cellStyle name="Normal 18 2 4 3 2 2 5" xfId="22163" xr:uid="{00000000-0005-0000-0000-000001610000}"/>
    <cellStyle name="Normal 18 2 4 3 2 3" xfId="12594" xr:uid="{00000000-0005-0000-0000-000002610000}"/>
    <cellStyle name="Normal 18 2 4 3 2 3 2" xfId="50868" xr:uid="{00000000-0005-0000-0000-000003610000}"/>
    <cellStyle name="Normal 18 2 4 3 2 3 3" xfId="34768" xr:uid="{00000000-0005-0000-0000-000004610000}"/>
    <cellStyle name="Normal 18 2 4 3 2 3 4" xfId="25199" xr:uid="{00000000-0005-0000-0000-000005610000}"/>
    <cellStyle name="Normal 18 2 4 3 2 4" xfId="6522" xr:uid="{00000000-0005-0000-0000-000006610000}"/>
    <cellStyle name="Normal 18 2 4 3 2 4 2" xfId="54363" xr:uid="{00000000-0005-0000-0000-000007610000}"/>
    <cellStyle name="Normal 18 2 4 3 2 4 3" xfId="38263" xr:uid="{00000000-0005-0000-0000-000008610000}"/>
    <cellStyle name="Normal 18 2 4 3 2 4 4" xfId="19127" xr:uid="{00000000-0005-0000-0000-000009610000}"/>
    <cellStyle name="Normal 18 2 4 3 2 5" xfId="44796" xr:uid="{00000000-0005-0000-0000-00000A610000}"/>
    <cellStyle name="Normal 18 2 4 3 2 6" xfId="28696" xr:uid="{00000000-0005-0000-0000-00000B610000}"/>
    <cellStyle name="Normal 18 2 4 3 2 7" xfId="15632" xr:uid="{00000000-0005-0000-0000-00000C610000}"/>
    <cellStyle name="Normal 18 2 4 3 3" xfId="2008" xr:uid="{00000000-0005-0000-0000-00000D610000}"/>
    <cellStyle name="Normal 18 2 4 3 3 2" xfId="8542" xr:uid="{00000000-0005-0000-0000-00000E610000}"/>
    <cellStyle name="Normal 18 2 4 3 3 2 2" xfId="40283" xr:uid="{00000000-0005-0000-0000-00000F610000}"/>
    <cellStyle name="Normal 18 2 4 3 3 2 2 2" xfId="56383" xr:uid="{00000000-0005-0000-0000-000010610000}"/>
    <cellStyle name="Normal 18 2 4 3 3 2 3" xfId="46816" xr:uid="{00000000-0005-0000-0000-000011610000}"/>
    <cellStyle name="Normal 18 2 4 3 3 2 4" xfId="30716" xr:uid="{00000000-0005-0000-0000-000012610000}"/>
    <cellStyle name="Normal 18 2 4 3 3 2 5" xfId="21147" xr:uid="{00000000-0005-0000-0000-000013610000}"/>
    <cellStyle name="Normal 18 2 4 3 3 3" xfId="11578" xr:uid="{00000000-0005-0000-0000-000014610000}"/>
    <cellStyle name="Normal 18 2 4 3 3 3 2" xfId="49852" xr:uid="{00000000-0005-0000-0000-000015610000}"/>
    <cellStyle name="Normal 18 2 4 3 3 3 3" xfId="33752" xr:uid="{00000000-0005-0000-0000-000016610000}"/>
    <cellStyle name="Normal 18 2 4 3 3 3 4" xfId="24183" xr:uid="{00000000-0005-0000-0000-000017610000}"/>
    <cellStyle name="Normal 18 2 4 3 3 4" xfId="5506" xr:uid="{00000000-0005-0000-0000-000018610000}"/>
    <cellStyle name="Normal 18 2 4 3 3 4 2" xfId="53347" xr:uid="{00000000-0005-0000-0000-000019610000}"/>
    <cellStyle name="Normal 18 2 4 3 3 4 3" xfId="37247" xr:uid="{00000000-0005-0000-0000-00001A610000}"/>
    <cellStyle name="Normal 18 2 4 3 3 4 4" xfId="18111" xr:uid="{00000000-0005-0000-0000-00001B610000}"/>
    <cellStyle name="Normal 18 2 4 3 3 5" xfId="43780" xr:uid="{00000000-0005-0000-0000-00001C610000}"/>
    <cellStyle name="Normal 18 2 4 3 3 6" xfId="27680" xr:uid="{00000000-0005-0000-0000-00001D610000}"/>
    <cellStyle name="Normal 18 2 4 3 3 7" xfId="14616" xr:uid="{00000000-0005-0000-0000-00001E610000}"/>
    <cellStyle name="Normal 18 2 4 3 4" xfId="7532" xr:uid="{00000000-0005-0000-0000-00001F610000}"/>
    <cellStyle name="Normal 18 2 4 3 4 2" xfId="39273" xr:uid="{00000000-0005-0000-0000-000020610000}"/>
    <cellStyle name="Normal 18 2 4 3 4 2 2" xfId="55373" xr:uid="{00000000-0005-0000-0000-000021610000}"/>
    <cellStyle name="Normal 18 2 4 3 4 3" xfId="45806" xr:uid="{00000000-0005-0000-0000-000022610000}"/>
    <cellStyle name="Normal 18 2 4 3 4 4" xfId="29706" xr:uid="{00000000-0005-0000-0000-000023610000}"/>
    <cellStyle name="Normal 18 2 4 3 4 5" xfId="20137" xr:uid="{00000000-0005-0000-0000-000024610000}"/>
    <cellStyle name="Normal 18 2 4 3 5" xfId="10568" xr:uid="{00000000-0005-0000-0000-000025610000}"/>
    <cellStyle name="Normal 18 2 4 3 5 2" xfId="48842" xr:uid="{00000000-0005-0000-0000-000026610000}"/>
    <cellStyle name="Normal 18 2 4 3 5 3" xfId="32742" xr:uid="{00000000-0005-0000-0000-000027610000}"/>
    <cellStyle name="Normal 18 2 4 3 5 4" xfId="23173" xr:uid="{00000000-0005-0000-0000-000028610000}"/>
    <cellStyle name="Normal 18 2 4 3 6" xfId="4496" xr:uid="{00000000-0005-0000-0000-000029610000}"/>
    <cellStyle name="Normal 18 2 4 3 6 2" xfId="52337" xr:uid="{00000000-0005-0000-0000-00002A610000}"/>
    <cellStyle name="Normal 18 2 4 3 6 3" xfId="36237" xr:uid="{00000000-0005-0000-0000-00002B610000}"/>
    <cellStyle name="Normal 18 2 4 3 6 4" xfId="17101" xr:uid="{00000000-0005-0000-0000-00002C610000}"/>
    <cellStyle name="Normal 18 2 4 3 7" xfId="42770" xr:uid="{00000000-0005-0000-0000-00002D610000}"/>
    <cellStyle name="Normal 18 2 4 3 8" xfId="26670" xr:uid="{00000000-0005-0000-0000-00002E610000}"/>
    <cellStyle name="Normal 18 2 4 3 9" xfId="13606" xr:uid="{00000000-0005-0000-0000-00002F610000}"/>
    <cellStyle name="Normal 18 2 4 4" xfId="2200" xr:uid="{00000000-0005-0000-0000-000030610000}"/>
    <cellStyle name="Normal 18 2 4 4 2" xfId="8734" xr:uid="{00000000-0005-0000-0000-000031610000}"/>
    <cellStyle name="Normal 18 2 4 4 2 2" xfId="40475" xr:uid="{00000000-0005-0000-0000-000032610000}"/>
    <cellStyle name="Normal 18 2 4 4 2 2 2" xfId="56575" xr:uid="{00000000-0005-0000-0000-000033610000}"/>
    <cellStyle name="Normal 18 2 4 4 2 3" xfId="47008" xr:uid="{00000000-0005-0000-0000-000034610000}"/>
    <cellStyle name="Normal 18 2 4 4 2 4" xfId="30908" xr:uid="{00000000-0005-0000-0000-000035610000}"/>
    <cellStyle name="Normal 18 2 4 4 2 5" xfId="21339" xr:uid="{00000000-0005-0000-0000-000036610000}"/>
    <cellStyle name="Normal 18 2 4 4 3" xfId="11770" xr:uid="{00000000-0005-0000-0000-000037610000}"/>
    <cellStyle name="Normal 18 2 4 4 3 2" xfId="50044" xr:uid="{00000000-0005-0000-0000-000038610000}"/>
    <cellStyle name="Normal 18 2 4 4 3 3" xfId="33944" xr:uid="{00000000-0005-0000-0000-000039610000}"/>
    <cellStyle name="Normal 18 2 4 4 3 4" xfId="24375" xr:uid="{00000000-0005-0000-0000-00003A610000}"/>
    <cellStyle name="Normal 18 2 4 4 4" xfId="5698" xr:uid="{00000000-0005-0000-0000-00003B610000}"/>
    <cellStyle name="Normal 18 2 4 4 4 2" xfId="53539" xr:uid="{00000000-0005-0000-0000-00003C610000}"/>
    <cellStyle name="Normal 18 2 4 4 4 3" xfId="37439" xr:uid="{00000000-0005-0000-0000-00003D610000}"/>
    <cellStyle name="Normal 18 2 4 4 4 4" xfId="18303" xr:uid="{00000000-0005-0000-0000-00003E610000}"/>
    <cellStyle name="Normal 18 2 4 4 5" xfId="43972" xr:uid="{00000000-0005-0000-0000-00003F610000}"/>
    <cellStyle name="Normal 18 2 4 4 6" xfId="27872" xr:uid="{00000000-0005-0000-0000-000040610000}"/>
    <cellStyle name="Normal 18 2 4 4 7" xfId="14808" xr:uid="{00000000-0005-0000-0000-000041610000}"/>
    <cellStyle name="Normal 18 2 4 5" xfId="1412" xr:uid="{00000000-0005-0000-0000-000042610000}"/>
    <cellStyle name="Normal 18 2 4 5 2" xfId="7946" xr:uid="{00000000-0005-0000-0000-000043610000}"/>
    <cellStyle name="Normal 18 2 4 5 2 2" xfId="39687" xr:uid="{00000000-0005-0000-0000-000044610000}"/>
    <cellStyle name="Normal 18 2 4 5 2 2 2" xfId="55787" xr:uid="{00000000-0005-0000-0000-000045610000}"/>
    <cellStyle name="Normal 18 2 4 5 2 3" xfId="46220" xr:uid="{00000000-0005-0000-0000-000046610000}"/>
    <cellStyle name="Normal 18 2 4 5 2 4" xfId="30120" xr:uid="{00000000-0005-0000-0000-000047610000}"/>
    <cellStyle name="Normal 18 2 4 5 2 5" xfId="20551" xr:uid="{00000000-0005-0000-0000-000048610000}"/>
    <cellStyle name="Normal 18 2 4 5 3" xfId="10982" xr:uid="{00000000-0005-0000-0000-000049610000}"/>
    <cellStyle name="Normal 18 2 4 5 3 2" xfId="49256" xr:uid="{00000000-0005-0000-0000-00004A610000}"/>
    <cellStyle name="Normal 18 2 4 5 3 3" xfId="33156" xr:uid="{00000000-0005-0000-0000-00004B610000}"/>
    <cellStyle name="Normal 18 2 4 5 3 4" xfId="23587" xr:uid="{00000000-0005-0000-0000-00004C610000}"/>
    <cellStyle name="Normal 18 2 4 5 4" xfId="4910" xr:uid="{00000000-0005-0000-0000-00004D610000}"/>
    <cellStyle name="Normal 18 2 4 5 4 2" xfId="52751" xr:uid="{00000000-0005-0000-0000-00004E610000}"/>
    <cellStyle name="Normal 18 2 4 5 4 3" xfId="36651" xr:uid="{00000000-0005-0000-0000-00004F610000}"/>
    <cellStyle name="Normal 18 2 4 5 4 4" xfId="17515" xr:uid="{00000000-0005-0000-0000-000050610000}"/>
    <cellStyle name="Normal 18 2 4 5 5" xfId="43184" xr:uid="{00000000-0005-0000-0000-000051610000}"/>
    <cellStyle name="Normal 18 2 4 5 6" xfId="27084" xr:uid="{00000000-0005-0000-0000-000052610000}"/>
    <cellStyle name="Normal 18 2 4 5 7" xfId="14020" xr:uid="{00000000-0005-0000-0000-000053610000}"/>
    <cellStyle name="Normal 18 2 4 6" xfId="6936" xr:uid="{00000000-0005-0000-0000-000054610000}"/>
    <cellStyle name="Normal 18 2 4 6 2" xfId="38677" xr:uid="{00000000-0005-0000-0000-000055610000}"/>
    <cellStyle name="Normal 18 2 4 6 2 2" xfId="54777" xr:uid="{00000000-0005-0000-0000-000056610000}"/>
    <cellStyle name="Normal 18 2 4 6 3" xfId="45210" xr:uid="{00000000-0005-0000-0000-000057610000}"/>
    <cellStyle name="Normal 18 2 4 6 4" xfId="29110" xr:uid="{00000000-0005-0000-0000-000058610000}"/>
    <cellStyle name="Normal 18 2 4 6 5" xfId="19541" xr:uid="{00000000-0005-0000-0000-000059610000}"/>
    <cellStyle name="Normal 18 2 4 7" xfId="9972" xr:uid="{00000000-0005-0000-0000-00005A610000}"/>
    <cellStyle name="Normal 18 2 4 7 2" xfId="48246" xr:uid="{00000000-0005-0000-0000-00005B610000}"/>
    <cellStyle name="Normal 18 2 4 7 3" xfId="32146" xr:uid="{00000000-0005-0000-0000-00005C610000}"/>
    <cellStyle name="Normal 18 2 4 7 4" xfId="22577" xr:uid="{00000000-0005-0000-0000-00005D610000}"/>
    <cellStyle name="Normal 18 2 4 8" xfId="3900" xr:uid="{00000000-0005-0000-0000-00005E610000}"/>
    <cellStyle name="Normal 18 2 4 8 2" xfId="51741" xr:uid="{00000000-0005-0000-0000-00005F610000}"/>
    <cellStyle name="Normal 18 2 4 8 3" xfId="35641" xr:uid="{00000000-0005-0000-0000-000060610000}"/>
    <cellStyle name="Normal 18 2 4 8 4" xfId="16505" xr:uid="{00000000-0005-0000-0000-000061610000}"/>
    <cellStyle name="Normal 18 2 4 9" xfId="42174" xr:uid="{00000000-0005-0000-0000-000062610000}"/>
    <cellStyle name="Normal 18 2 5" xfId="252" xr:uid="{00000000-0005-0000-0000-000063610000}"/>
    <cellStyle name="Normal 18 2 5 2" xfId="2271" xr:uid="{00000000-0005-0000-0000-000064610000}"/>
    <cellStyle name="Normal 18 2 5 2 2" xfId="8805" xr:uid="{00000000-0005-0000-0000-000065610000}"/>
    <cellStyle name="Normal 18 2 5 2 2 2" xfId="40546" xr:uid="{00000000-0005-0000-0000-000066610000}"/>
    <cellStyle name="Normal 18 2 5 2 2 2 2" xfId="56646" xr:uid="{00000000-0005-0000-0000-000067610000}"/>
    <cellStyle name="Normal 18 2 5 2 2 3" xfId="47079" xr:uid="{00000000-0005-0000-0000-000068610000}"/>
    <cellStyle name="Normal 18 2 5 2 2 4" xfId="30979" xr:uid="{00000000-0005-0000-0000-000069610000}"/>
    <cellStyle name="Normal 18 2 5 2 2 5" xfId="21410" xr:uid="{00000000-0005-0000-0000-00006A610000}"/>
    <cellStyle name="Normal 18 2 5 2 3" xfId="11841" xr:uid="{00000000-0005-0000-0000-00006B610000}"/>
    <cellStyle name="Normal 18 2 5 2 3 2" xfId="50115" xr:uid="{00000000-0005-0000-0000-00006C610000}"/>
    <cellStyle name="Normal 18 2 5 2 3 3" xfId="34015" xr:uid="{00000000-0005-0000-0000-00006D610000}"/>
    <cellStyle name="Normal 18 2 5 2 3 4" xfId="24446" xr:uid="{00000000-0005-0000-0000-00006E610000}"/>
    <cellStyle name="Normal 18 2 5 2 4" xfId="5769" xr:uid="{00000000-0005-0000-0000-00006F610000}"/>
    <cellStyle name="Normal 18 2 5 2 4 2" xfId="53610" xr:uid="{00000000-0005-0000-0000-000070610000}"/>
    <cellStyle name="Normal 18 2 5 2 4 3" xfId="37510" xr:uid="{00000000-0005-0000-0000-000071610000}"/>
    <cellStyle name="Normal 18 2 5 2 4 4" xfId="18374" xr:uid="{00000000-0005-0000-0000-000072610000}"/>
    <cellStyle name="Normal 18 2 5 2 5" xfId="44043" xr:uid="{00000000-0005-0000-0000-000073610000}"/>
    <cellStyle name="Normal 18 2 5 2 6" xfId="27943" xr:uid="{00000000-0005-0000-0000-000074610000}"/>
    <cellStyle name="Normal 18 2 5 2 7" xfId="14879" xr:uid="{00000000-0005-0000-0000-000075610000}"/>
    <cellStyle name="Normal 18 2 5 3" xfId="1483" xr:uid="{00000000-0005-0000-0000-000076610000}"/>
    <cellStyle name="Normal 18 2 5 3 2" xfId="8017" xr:uid="{00000000-0005-0000-0000-000077610000}"/>
    <cellStyle name="Normal 18 2 5 3 2 2" xfId="39758" xr:uid="{00000000-0005-0000-0000-000078610000}"/>
    <cellStyle name="Normal 18 2 5 3 2 2 2" xfId="55858" xr:uid="{00000000-0005-0000-0000-000079610000}"/>
    <cellStyle name="Normal 18 2 5 3 2 3" xfId="46291" xr:uid="{00000000-0005-0000-0000-00007A610000}"/>
    <cellStyle name="Normal 18 2 5 3 2 4" xfId="30191" xr:uid="{00000000-0005-0000-0000-00007B610000}"/>
    <cellStyle name="Normal 18 2 5 3 2 5" xfId="20622" xr:uid="{00000000-0005-0000-0000-00007C610000}"/>
    <cellStyle name="Normal 18 2 5 3 3" xfId="11053" xr:uid="{00000000-0005-0000-0000-00007D610000}"/>
    <cellStyle name="Normal 18 2 5 3 3 2" xfId="49327" xr:uid="{00000000-0005-0000-0000-00007E610000}"/>
    <cellStyle name="Normal 18 2 5 3 3 3" xfId="33227" xr:uid="{00000000-0005-0000-0000-00007F610000}"/>
    <cellStyle name="Normal 18 2 5 3 3 4" xfId="23658" xr:uid="{00000000-0005-0000-0000-000080610000}"/>
    <cellStyle name="Normal 18 2 5 3 4" xfId="4981" xr:uid="{00000000-0005-0000-0000-000081610000}"/>
    <cellStyle name="Normal 18 2 5 3 4 2" xfId="52822" xr:uid="{00000000-0005-0000-0000-000082610000}"/>
    <cellStyle name="Normal 18 2 5 3 4 3" xfId="36722" xr:uid="{00000000-0005-0000-0000-000083610000}"/>
    <cellStyle name="Normal 18 2 5 3 4 4" xfId="17586" xr:uid="{00000000-0005-0000-0000-000084610000}"/>
    <cellStyle name="Normal 18 2 5 3 5" xfId="43255" xr:uid="{00000000-0005-0000-0000-000085610000}"/>
    <cellStyle name="Normal 18 2 5 3 6" xfId="27155" xr:uid="{00000000-0005-0000-0000-000086610000}"/>
    <cellStyle name="Normal 18 2 5 3 7" xfId="14091" xr:uid="{00000000-0005-0000-0000-000087610000}"/>
    <cellStyle name="Normal 18 2 5 4" xfId="7007" xr:uid="{00000000-0005-0000-0000-000088610000}"/>
    <cellStyle name="Normal 18 2 5 4 2" xfId="38748" xr:uid="{00000000-0005-0000-0000-000089610000}"/>
    <cellStyle name="Normal 18 2 5 4 2 2" xfId="54848" xr:uid="{00000000-0005-0000-0000-00008A610000}"/>
    <cellStyle name="Normal 18 2 5 4 3" xfId="45281" xr:uid="{00000000-0005-0000-0000-00008B610000}"/>
    <cellStyle name="Normal 18 2 5 4 4" xfId="29181" xr:uid="{00000000-0005-0000-0000-00008C610000}"/>
    <cellStyle name="Normal 18 2 5 4 5" xfId="19612" xr:uid="{00000000-0005-0000-0000-00008D610000}"/>
    <cellStyle name="Normal 18 2 5 5" xfId="10043" xr:uid="{00000000-0005-0000-0000-00008E610000}"/>
    <cellStyle name="Normal 18 2 5 5 2" xfId="48317" xr:uid="{00000000-0005-0000-0000-00008F610000}"/>
    <cellStyle name="Normal 18 2 5 5 3" xfId="32217" xr:uid="{00000000-0005-0000-0000-000090610000}"/>
    <cellStyle name="Normal 18 2 5 5 4" xfId="22648" xr:uid="{00000000-0005-0000-0000-000091610000}"/>
    <cellStyle name="Normal 18 2 5 6" xfId="3971" xr:uid="{00000000-0005-0000-0000-000092610000}"/>
    <cellStyle name="Normal 18 2 5 6 2" xfId="51812" xr:uid="{00000000-0005-0000-0000-000093610000}"/>
    <cellStyle name="Normal 18 2 5 6 3" xfId="35712" xr:uid="{00000000-0005-0000-0000-000094610000}"/>
    <cellStyle name="Normal 18 2 5 6 4" xfId="16576" xr:uid="{00000000-0005-0000-0000-000095610000}"/>
    <cellStyle name="Normal 18 2 5 7" xfId="42245" xr:uid="{00000000-0005-0000-0000-000096610000}"/>
    <cellStyle name="Normal 18 2 5 8" xfId="26145" xr:uid="{00000000-0005-0000-0000-000097610000}"/>
    <cellStyle name="Normal 18 2 5 9" xfId="13081" xr:uid="{00000000-0005-0000-0000-000098610000}"/>
    <cellStyle name="Normal 18 2 6" xfId="527" xr:uid="{00000000-0005-0000-0000-000099610000}"/>
    <cellStyle name="Normal 18 2 6 2" xfId="2557" xr:uid="{00000000-0005-0000-0000-00009A610000}"/>
    <cellStyle name="Normal 18 2 6 2 2" xfId="9089" xr:uid="{00000000-0005-0000-0000-00009B610000}"/>
    <cellStyle name="Normal 18 2 6 2 2 2" xfId="40830" xr:uid="{00000000-0005-0000-0000-00009C610000}"/>
    <cellStyle name="Normal 18 2 6 2 2 2 2" xfId="56930" xr:uid="{00000000-0005-0000-0000-00009D610000}"/>
    <cellStyle name="Normal 18 2 6 2 2 3" xfId="47363" xr:uid="{00000000-0005-0000-0000-00009E610000}"/>
    <cellStyle name="Normal 18 2 6 2 2 4" xfId="31263" xr:uid="{00000000-0005-0000-0000-00009F610000}"/>
    <cellStyle name="Normal 18 2 6 2 2 5" xfId="21694" xr:uid="{00000000-0005-0000-0000-0000A0610000}"/>
    <cellStyle name="Normal 18 2 6 2 3" xfId="12125" xr:uid="{00000000-0005-0000-0000-0000A1610000}"/>
    <cellStyle name="Normal 18 2 6 2 3 2" xfId="50399" xr:uid="{00000000-0005-0000-0000-0000A2610000}"/>
    <cellStyle name="Normal 18 2 6 2 3 3" xfId="34299" xr:uid="{00000000-0005-0000-0000-0000A3610000}"/>
    <cellStyle name="Normal 18 2 6 2 3 4" xfId="24730" xr:uid="{00000000-0005-0000-0000-0000A4610000}"/>
    <cellStyle name="Normal 18 2 6 2 4" xfId="6053" xr:uid="{00000000-0005-0000-0000-0000A5610000}"/>
    <cellStyle name="Normal 18 2 6 2 4 2" xfId="53894" xr:uid="{00000000-0005-0000-0000-0000A6610000}"/>
    <cellStyle name="Normal 18 2 6 2 4 3" xfId="37794" xr:uid="{00000000-0005-0000-0000-0000A7610000}"/>
    <cellStyle name="Normal 18 2 6 2 4 4" xfId="18658" xr:uid="{00000000-0005-0000-0000-0000A8610000}"/>
    <cellStyle name="Normal 18 2 6 2 5" xfId="44327" xr:uid="{00000000-0005-0000-0000-0000A9610000}"/>
    <cellStyle name="Normal 18 2 6 2 6" xfId="28227" xr:uid="{00000000-0005-0000-0000-0000AA610000}"/>
    <cellStyle name="Normal 18 2 6 2 7" xfId="15163" xr:uid="{00000000-0005-0000-0000-0000AB610000}"/>
    <cellStyle name="Normal 18 2 6 3" xfId="1306" xr:uid="{00000000-0005-0000-0000-0000AC610000}"/>
    <cellStyle name="Normal 18 2 6 3 2" xfId="7840" xr:uid="{00000000-0005-0000-0000-0000AD610000}"/>
    <cellStyle name="Normal 18 2 6 3 2 2" xfId="39581" xr:uid="{00000000-0005-0000-0000-0000AE610000}"/>
    <cellStyle name="Normal 18 2 6 3 2 2 2" xfId="55681" xr:uid="{00000000-0005-0000-0000-0000AF610000}"/>
    <cellStyle name="Normal 18 2 6 3 2 3" xfId="46114" xr:uid="{00000000-0005-0000-0000-0000B0610000}"/>
    <cellStyle name="Normal 18 2 6 3 2 4" xfId="30014" xr:uid="{00000000-0005-0000-0000-0000B1610000}"/>
    <cellStyle name="Normal 18 2 6 3 2 5" xfId="20445" xr:uid="{00000000-0005-0000-0000-0000B2610000}"/>
    <cellStyle name="Normal 18 2 6 3 3" xfId="10876" xr:uid="{00000000-0005-0000-0000-0000B3610000}"/>
    <cellStyle name="Normal 18 2 6 3 3 2" xfId="49150" xr:uid="{00000000-0005-0000-0000-0000B4610000}"/>
    <cellStyle name="Normal 18 2 6 3 3 3" xfId="33050" xr:uid="{00000000-0005-0000-0000-0000B5610000}"/>
    <cellStyle name="Normal 18 2 6 3 3 4" xfId="23481" xr:uid="{00000000-0005-0000-0000-0000B6610000}"/>
    <cellStyle name="Normal 18 2 6 3 4" xfId="4804" xr:uid="{00000000-0005-0000-0000-0000B7610000}"/>
    <cellStyle name="Normal 18 2 6 3 4 2" xfId="52645" xr:uid="{00000000-0005-0000-0000-0000B8610000}"/>
    <cellStyle name="Normal 18 2 6 3 4 3" xfId="36545" xr:uid="{00000000-0005-0000-0000-0000B9610000}"/>
    <cellStyle name="Normal 18 2 6 3 4 4" xfId="17409" xr:uid="{00000000-0005-0000-0000-0000BA610000}"/>
    <cellStyle name="Normal 18 2 6 3 5" xfId="43078" xr:uid="{00000000-0005-0000-0000-0000BB610000}"/>
    <cellStyle name="Normal 18 2 6 3 6" xfId="26978" xr:uid="{00000000-0005-0000-0000-0000BC610000}"/>
    <cellStyle name="Normal 18 2 6 3 7" xfId="13914" xr:uid="{00000000-0005-0000-0000-0000BD610000}"/>
    <cellStyle name="Normal 18 2 6 4" xfId="6830" xr:uid="{00000000-0005-0000-0000-0000BE610000}"/>
    <cellStyle name="Normal 18 2 6 4 2" xfId="38571" xr:uid="{00000000-0005-0000-0000-0000BF610000}"/>
    <cellStyle name="Normal 18 2 6 4 2 2" xfId="54671" xr:uid="{00000000-0005-0000-0000-0000C0610000}"/>
    <cellStyle name="Normal 18 2 6 4 3" xfId="45104" xr:uid="{00000000-0005-0000-0000-0000C1610000}"/>
    <cellStyle name="Normal 18 2 6 4 4" xfId="29004" xr:uid="{00000000-0005-0000-0000-0000C2610000}"/>
    <cellStyle name="Normal 18 2 6 4 5" xfId="19435" xr:uid="{00000000-0005-0000-0000-0000C3610000}"/>
    <cellStyle name="Normal 18 2 6 5" xfId="9866" xr:uid="{00000000-0005-0000-0000-0000C4610000}"/>
    <cellStyle name="Normal 18 2 6 5 2" xfId="48140" xr:uid="{00000000-0005-0000-0000-0000C5610000}"/>
    <cellStyle name="Normal 18 2 6 5 3" xfId="32040" xr:uid="{00000000-0005-0000-0000-0000C6610000}"/>
    <cellStyle name="Normal 18 2 6 5 4" xfId="22471" xr:uid="{00000000-0005-0000-0000-0000C7610000}"/>
    <cellStyle name="Normal 18 2 6 6" xfId="3794" xr:uid="{00000000-0005-0000-0000-0000C8610000}"/>
    <cellStyle name="Normal 18 2 6 6 2" xfId="51635" xr:uid="{00000000-0005-0000-0000-0000C9610000}"/>
    <cellStyle name="Normal 18 2 6 6 3" xfId="35535" xr:uid="{00000000-0005-0000-0000-0000CA610000}"/>
    <cellStyle name="Normal 18 2 6 6 4" xfId="16399" xr:uid="{00000000-0005-0000-0000-0000CB610000}"/>
    <cellStyle name="Normal 18 2 6 7" xfId="42068" xr:uid="{00000000-0005-0000-0000-0000CC610000}"/>
    <cellStyle name="Normal 18 2 6 8" xfId="25968" xr:uid="{00000000-0005-0000-0000-0000CD610000}"/>
    <cellStyle name="Normal 18 2 6 9" xfId="12904" xr:uid="{00000000-0005-0000-0000-0000CE610000}"/>
    <cellStyle name="Normal 18 2 7" xfId="757" xr:uid="{00000000-0005-0000-0000-0000CF610000}"/>
    <cellStyle name="Normal 18 2 7 2" xfId="2785" xr:uid="{00000000-0005-0000-0000-0000D0610000}"/>
    <cellStyle name="Normal 18 2 7 2 2" xfId="9317" xr:uid="{00000000-0005-0000-0000-0000D1610000}"/>
    <cellStyle name="Normal 18 2 7 2 2 2" xfId="41058" xr:uid="{00000000-0005-0000-0000-0000D2610000}"/>
    <cellStyle name="Normal 18 2 7 2 2 2 2" xfId="57158" xr:uid="{00000000-0005-0000-0000-0000D3610000}"/>
    <cellStyle name="Normal 18 2 7 2 2 3" xfId="47591" xr:uid="{00000000-0005-0000-0000-0000D4610000}"/>
    <cellStyle name="Normal 18 2 7 2 2 4" xfId="31491" xr:uid="{00000000-0005-0000-0000-0000D5610000}"/>
    <cellStyle name="Normal 18 2 7 2 2 5" xfId="21922" xr:uid="{00000000-0005-0000-0000-0000D6610000}"/>
    <cellStyle name="Normal 18 2 7 2 3" xfId="12353" xr:uid="{00000000-0005-0000-0000-0000D7610000}"/>
    <cellStyle name="Normal 18 2 7 2 3 2" xfId="50627" xr:uid="{00000000-0005-0000-0000-0000D8610000}"/>
    <cellStyle name="Normal 18 2 7 2 3 3" xfId="34527" xr:uid="{00000000-0005-0000-0000-0000D9610000}"/>
    <cellStyle name="Normal 18 2 7 2 3 4" xfId="24958" xr:uid="{00000000-0005-0000-0000-0000DA610000}"/>
    <cellStyle name="Normal 18 2 7 2 4" xfId="6281" xr:uid="{00000000-0005-0000-0000-0000DB610000}"/>
    <cellStyle name="Normal 18 2 7 2 4 2" xfId="54122" xr:uid="{00000000-0005-0000-0000-0000DC610000}"/>
    <cellStyle name="Normal 18 2 7 2 4 3" xfId="38022" xr:uid="{00000000-0005-0000-0000-0000DD610000}"/>
    <cellStyle name="Normal 18 2 7 2 4 4" xfId="18886" xr:uid="{00000000-0005-0000-0000-0000DE610000}"/>
    <cellStyle name="Normal 18 2 7 2 5" xfId="44555" xr:uid="{00000000-0005-0000-0000-0000DF610000}"/>
    <cellStyle name="Normal 18 2 7 2 6" xfId="28455" xr:uid="{00000000-0005-0000-0000-0000E0610000}"/>
    <cellStyle name="Normal 18 2 7 2 7" xfId="15391" xr:uid="{00000000-0005-0000-0000-0000E1610000}"/>
    <cellStyle name="Normal 18 2 7 3" xfId="1767" xr:uid="{00000000-0005-0000-0000-0000E2610000}"/>
    <cellStyle name="Normal 18 2 7 3 2" xfId="8301" xr:uid="{00000000-0005-0000-0000-0000E3610000}"/>
    <cellStyle name="Normal 18 2 7 3 2 2" xfId="40042" xr:uid="{00000000-0005-0000-0000-0000E4610000}"/>
    <cellStyle name="Normal 18 2 7 3 2 2 2" xfId="56142" xr:uid="{00000000-0005-0000-0000-0000E5610000}"/>
    <cellStyle name="Normal 18 2 7 3 2 3" xfId="46575" xr:uid="{00000000-0005-0000-0000-0000E6610000}"/>
    <cellStyle name="Normal 18 2 7 3 2 4" xfId="30475" xr:uid="{00000000-0005-0000-0000-0000E7610000}"/>
    <cellStyle name="Normal 18 2 7 3 2 5" xfId="20906" xr:uid="{00000000-0005-0000-0000-0000E8610000}"/>
    <cellStyle name="Normal 18 2 7 3 3" xfId="11337" xr:uid="{00000000-0005-0000-0000-0000E9610000}"/>
    <cellStyle name="Normal 18 2 7 3 3 2" xfId="49611" xr:uid="{00000000-0005-0000-0000-0000EA610000}"/>
    <cellStyle name="Normal 18 2 7 3 3 3" xfId="33511" xr:uid="{00000000-0005-0000-0000-0000EB610000}"/>
    <cellStyle name="Normal 18 2 7 3 3 4" xfId="23942" xr:uid="{00000000-0005-0000-0000-0000EC610000}"/>
    <cellStyle name="Normal 18 2 7 3 4" xfId="5265" xr:uid="{00000000-0005-0000-0000-0000ED610000}"/>
    <cellStyle name="Normal 18 2 7 3 4 2" xfId="53106" xr:uid="{00000000-0005-0000-0000-0000EE610000}"/>
    <cellStyle name="Normal 18 2 7 3 4 3" xfId="37006" xr:uid="{00000000-0005-0000-0000-0000EF610000}"/>
    <cellStyle name="Normal 18 2 7 3 4 4" xfId="17870" xr:uid="{00000000-0005-0000-0000-0000F0610000}"/>
    <cellStyle name="Normal 18 2 7 3 5" xfId="43539" xr:uid="{00000000-0005-0000-0000-0000F1610000}"/>
    <cellStyle name="Normal 18 2 7 3 6" xfId="27439" xr:uid="{00000000-0005-0000-0000-0000F2610000}"/>
    <cellStyle name="Normal 18 2 7 3 7" xfId="14375" xr:uid="{00000000-0005-0000-0000-0000F3610000}"/>
    <cellStyle name="Normal 18 2 7 4" xfId="7291" xr:uid="{00000000-0005-0000-0000-0000F4610000}"/>
    <cellStyle name="Normal 18 2 7 4 2" xfId="39032" xr:uid="{00000000-0005-0000-0000-0000F5610000}"/>
    <cellStyle name="Normal 18 2 7 4 2 2" xfId="55132" xr:uid="{00000000-0005-0000-0000-0000F6610000}"/>
    <cellStyle name="Normal 18 2 7 4 3" xfId="45565" xr:uid="{00000000-0005-0000-0000-0000F7610000}"/>
    <cellStyle name="Normal 18 2 7 4 4" xfId="29465" xr:uid="{00000000-0005-0000-0000-0000F8610000}"/>
    <cellStyle name="Normal 18 2 7 4 5" xfId="19896" xr:uid="{00000000-0005-0000-0000-0000F9610000}"/>
    <cellStyle name="Normal 18 2 7 5" xfId="10327" xr:uid="{00000000-0005-0000-0000-0000FA610000}"/>
    <cellStyle name="Normal 18 2 7 5 2" xfId="48601" xr:uid="{00000000-0005-0000-0000-0000FB610000}"/>
    <cellStyle name="Normal 18 2 7 5 3" xfId="32501" xr:uid="{00000000-0005-0000-0000-0000FC610000}"/>
    <cellStyle name="Normal 18 2 7 5 4" xfId="22932" xr:uid="{00000000-0005-0000-0000-0000FD610000}"/>
    <cellStyle name="Normal 18 2 7 6" xfId="4255" xr:uid="{00000000-0005-0000-0000-0000FE610000}"/>
    <cellStyle name="Normal 18 2 7 6 2" xfId="52096" xr:uid="{00000000-0005-0000-0000-0000FF610000}"/>
    <cellStyle name="Normal 18 2 7 6 3" xfId="35996" xr:uid="{00000000-0005-0000-0000-000000620000}"/>
    <cellStyle name="Normal 18 2 7 6 4" xfId="16860" xr:uid="{00000000-0005-0000-0000-000001620000}"/>
    <cellStyle name="Normal 18 2 7 7" xfId="42529" xr:uid="{00000000-0005-0000-0000-000002620000}"/>
    <cellStyle name="Normal 18 2 7 8" xfId="26429" xr:uid="{00000000-0005-0000-0000-000003620000}"/>
    <cellStyle name="Normal 18 2 7 9" xfId="13365" xr:uid="{00000000-0005-0000-0000-000004620000}"/>
    <cellStyle name="Normal 18 2 8" xfId="2094" xr:uid="{00000000-0005-0000-0000-000005620000}"/>
    <cellStyle name="Normal 18 2 8 2" xfId="8628" xr:uid="{00000000-0005-0000-0000-000006620000}"/>
    <cellStyle name="Normal 18 2 8 2 2" xfId="40369" xr:uid="{00000000-0005-0000-0000-000007620000}"/>
    <cellStyle name="Normal 18 2 8 2 2 2" xfId="56469" xr:uid="{00000000-0005-0000-0000-000008620000}"/>
    <cellStyle name="Normal 18 2 8 2 3" xfId="46902" xr:uid="{00000000-0005-0000-0000-000009620000}"/>
    <cellStyle name="Normal 18 2 8 2 4" xfId="30802" xr:uid="{00000000-0005-0000-0000-00000A620000}"/>
    <cellStyle name="Normal 18 2 8 2 5" xfId="21233" xr:uid="{00000000-0005-0000-0000-00000B620000}"/>
    <cellStyle name="Normal 18 2 8 3" xfId="11664" xr:uid="{00000000-0005-0000-0000-00000C620000}"/>
    <cellStyle name="Normal 18 2 8 3 2" xfId="49938" xr:uid="{00000000-0005-0000-0000-00000D620000}"/>
    <cellStyle name="Normal 18 2 8 3 3" xfId="33838" xr:uid="{00000000-0005-0000-0000-00000E620000}"/>
    <cellStyle name="Normal 18 2 8 3 4" xfId="24269" xr:uid="{00000000-0005-0000-0000-00000F620000}"/>
    <cellStyle name="Normal 18 2 8 4" xfId="5592" xr:uid="{00000000-0005-0000-0000-000010620000}"/>
    <cellStyle name="Normal 18 2 8 4 2" xfId="53433" xr:uid="{00000000-0005-0000-0000-000011620000}"/>
    <cellStyle name="Normal 18 2 8 4 3" xfId="37333" xr:uid="{00000000-0005-0000-0000-000012620000}"/>
    <cellStyle name="Normal 18 2 8 4 4" xfId="18197" xr:uid="{00000000-0005-0000-0000-000013620000}"/>
    <cellStyle name="Normal 18 2 8 5" xfId="43866" xr:uid="{00000000-0005-0000-0000-000014620000}"/>
    <cellStyle name="Normal 18 2 8 6" xfId="27766" xr:uid="{00000000-0005-0000-0000-000015620000}"/>
    <cellStyle name="Normal 18 2 8 7" xfId="14702" xr:uid="{00000000-0005-0000-0000-000016620000}"/>
    <cellStyle name="Normal 18 2 9" xfId="1084" xr:uid="{00000000-0005-0000-0000-000017620000}"/>
    <cellStyle name="Normal 18 2 9 2" xfId="7618" xr:uid="{00000000-0005-0000-0000-000018620000}"/>
    <cellStyle name="Normal 18 2 9 2 2" xfId="39359" xr:uid="{00000000-0005-0000-0000-000019620000}"/>
    <cellStyle name="Normal 18 2 9 2 2 2" xfId="55459" xr:uid="{00000000-0005-0000-0000-00001A620000}"/>
    <cellStyle name="Normal 18 2 9 2 3" xfId="45892" xr:uid="{00000000-0005-0000-0000-00001B620000}"/>
    <cellStyle name="Normal 18 2 9 2 4" xfId="29792" xr:uid="{00000000-0005-0000-0000-00001C620000}"/>
    <cellStyle name="Normal 18 2 9 2 5" xfId="20223" xr:uid="{00000000-0005-0000-0000-00001D620000}"/>
    <cellStyle name="Normal 18 2 9 3" xfId="10654" xr:uid="{00000000-0005-0000-0000-00001E620000}"/>
    <cellStyle name="Normal 18 2 9 3 2" xfId="48928" xr:uid="{00000000-0005-0000-0000-00001F620000}"/>
    <cellStyle name="Normal 18 2 9 3 3" xfId="32828" xr:uid="{00000000-0005-0000-0000-000020620000}"/>
    <cellStyle name="Normal 18 2 9 3 4" xfId="23259" xr:uid="{00000000-0005-0000-0000-000021620000}"/>
    <cellStyle name="Normal 18 2 9 4" xfId="4582" xr:uid="{00000000-0005-0000-0000-000022620000}"/>
    <cellStyle name="Normal 18 2 9 4 2" xfId="52423" xr:uid="{00000000-0005-0000-0000-000023620000}"/>
    <cellStyle name="Normal 18 2 9 4 3" xfId="36323" xr:uid="{00000000-0005-0000-0000-000024620000}"/>
    <cellStyle name="Normal 18 2 9 4 4" xfId="17187" xr:uid="{00000000-0005-0000-0000-000025620000}"/>
    <cellStyle name="Normal 18 2 9 5" xfId="42856" xr:uid="{00000000-0005-0000-0000-000026620000}"/>
    <cellStyle name="Normal 18 2 9 6" xfId="26756" xr:uid="{00000000-0005-0000-0000-000027620000}"/>
    <cellStyle name="Normal 18 2 9 7" xfId="13692" xr:uid="{00000000-0005-0000-0000-000028620000}"/>
    <cellStyle name="Normal 18 20" xfId="3094" xr:uid="{00000000-0005-0000-0000-000029620000}"/>
    <cellStyle name="Normal 18 20 2" xfId="50936" xr:uid="{00000000-0005-0000-0000-00002A620000}"/>
    <cellStyle name="Normal 18 20 3" xfId="34836" xr:uid="{00000000-0005-0000-0000-00002B620000}"/>
    <cellStyle name="Normal 18 20 4" xfId="15700" xr:uid="{00000000-0005-0000-0000-00002C620000}"/>
    <cellStyle name="Normal 18 21" xfId="41369" xr:uid="{00000000-0005-0000-0000-00002D620000}"/>
    <cellStyle name="Normal 18 22" xfId="25269" xr:uid="{00000000-0005-0000-0000-00002E620000}"/>
    <cellStyle name="Normal 18 23" xfId="12664" xr:uid="{00000000-0005-0000-0000-00002F620000}"/>
    <cellStyle name="Normal 18 3" xfId="124" xr:uid="{00000000-0005-0000-0000-000030620000}"/>
    <cellStyle name="Normal 18 3 10" xfId="9707" xr:uid="{00000000-0005-0000-0000-000031620000}"/>
    <cellStyle name="Normal 18 3 10 2" xfId="47981" xr:uid="{00000000-0005-0000-0000-000032620000}"/>
    <cellStyle name="Normal 18 3 10 3" xfId="31881" xr:uid="{00000000-0005-0000-0000-000033620000}"/>
    <cellStyle name="Normal 18 3 10 4" xfId="22312" xr:uid="{00000000-0005-0000-0000-000034620000}"/>
    <cellStyle name="Normal 18 3 11" xfId="3175" xr:uid="{00000000-0005-0000-0000-000035620000}"/>
    <cellStyle name="Normal 18 3 11 2" xfId="51017" xr:uid="{00000000-0005-0000-0000-000036620000}"/>
    <cellStyle name="Normal 18 3 11 3" xfId="34917" xr:uid="{00000000-0005-0000-0000-000037620000}"/>
    <cellStyle name="Normal 18 3 11 4" xfId="15781" xr:uid="{00000000-0005-0000-0000-000038620000}"/>
    <cellStyle name="Normal 18 3 12" xfId="41450" xr:uid="{00000000-0005-0000-0000-000039620000}"/>
    <cellStyle name="Normal 18 3 13" xfId="25350" xr:uid="{00000000-0005-0000-0000-00003A620000}"/>
    <cellStyle name="Normal 18 3 14" xfId="12745" xr:uid="{00000000-0005-0000-0000-00003B620000}"/>
    <cellStyle name="Normal 18 3 2" xfId="199" xr:uid="{00000000-0005-0000-0000-00003C620000}"/>
    <cellStyle name="Normal 18 3 2 10" xfId="41687" xr:uid="{00000000-0005-0000-0000-00003D620000}"/>
    <cellStyle name="Normal 18 3 2 11" xfId="25587" xr:uid="{00000000-0005-0000-0000-00003E620000}"/>
    <cellStyle name="Normal 18 3 2 12" xfId="13028" xr:uid="{00000000-0005-0000-0000-00003F620000}"/>
    <cellStyle name="Normal 18 3 2 2" xfId="376" xr:uid="{00000000-0005-0000-0000-000040620000}"/>
    <cellStyle name="Normal 18 3 2 2 2" xfId="2395" xr:uid="{00000000-0005-0000-0000-000041620000}"/>
    <cellStyle name="Normal 18 3 2 2 2 2" xfId="8929" xr:uid="{00000000-0005-0000-0000-000042620000}"/>
    <cellStyle name="Normal 18 3 2 2 2 2 2" xfId="40670" xr:uid="{00000000-0005-0000-0000-000043620000}"/>
    <cellStyle name="Normal 18 3 2 2 2 2 2 2" xfId="56770" xr:uid="{00000000-0005-0000-0000-000044620000}"/>
    <cellStyle name="Normal 18 3 2 2 2 2 3" xfId="47203" xr:uid="{00000000-0005-0000-0000-000045620000}"/>
    <cellStyle name="Normal 18 3 2 2 2 2 4" xfId="31103" xr:uid="{00000000-0005-0000-0000-000046620000}"/>
    <cellStyle name="Normal 18 3 2 2 2 2 5" xfId="21534" xr:uid="{00000000-0005-0000-0000-000047620000}"/>
    <cellStyle name="Normal 18 3 2 2 2 3" xfId="11965" xr:uid="{00000000-0005-0000-0000-000048620000}"/>
    <cellStyle name="Normal 18 3 2 2 2 3 2" xfId="50239" xr:uid="{00000000-0005-0000-0000-000049620000}"/>
    <cellStyle name="Normal 18 3 2 2 2 3 3" xfId="34139" xr:uid="{00000000-0005-0000-0000-00004A620000}"/>
    <cellStyle name="Normal 18 3 2 2 2 3 4" xfId="24570" xr:uid="{00000000-0005-0000-0000-00004B620000}"/>
    <cellStyle name="Normal 18 3 2 2 2 4" xfId="5893" xr:uid="{00000000-0005-0000-0000-00004C620000}"/>
    <cellStyle name="Normal 18 3 2 2 2 4 2" xfId="53734" xr:uid="{00000000-0005-0000-0000-00004D620000}"/>
    <cellStyle name="Normal 18 3 2 2 2 4 3" xfId="37634" xr:uid="{00000000-0005-0000-0000-00004E620000}"/>
    <cellStyle name="Normal 18 3 2 2 2 4 4" xfId="18498" xr:uid="{00000000-0005-0000-0000-00004F620000}"/>
    <cellStyle name="Normal 18 3 2 2 2 5" xfId="44167" xr:uid="{00000000-0005-0000-0000-000050620000}"/>
    <cellStyle name="Normal 18 3 2 2 2 6" xfId="28067" xr:uid="{00000000-0005-0000-0000-000051620000}"/>
    <cellStyle name="Normal 18 3 2 2 2 7" xfId="15003" xr:uid="{00000000-0005-0000-0000-000052620000}"/>
    <cellStyle name="Normal 18 3 2 2 3" xfId="1607" xr:uid="{00000000-0005-0000-0000-000053620000}"/>
    <cellStyle name="Normal 18 3 2 2 3 2" xfId="8141" xr:uid="{00000000-0005-0000-0000-000054620000}"/>
    <cellStyle name="Normal 18 3 2 2 3 2 2" xfId="39882" xr:uid="{00000000-0005-0000-0000-000055620000}"/>
    <cellStyle name="Normal 18 3 2 2 3 2 2 2" xfId="55982" xr:uid="{00000000-0005-0000-0000-000056620000}"/>
    <cellStyle name="Normal 18 3 2 2 3 2 3" xfId="46415" xr:uid="{00000000-0005-0000-0000-000057620000}"/>
    <cellStyle name="Normal 18 3 2 2 3 2 4" xfId="30315" xr:uid="{00000000-0005-0000-0000-000058620000}"/>
    <cellStyle name="Normal 18 3 2 2 3 2 5" xfId="20746" xr:uid="{00000000-0005-0000-0000-000059620000}"/>
    <cellStyle name="Normal 18 3 2 2 3 3" xfId="11177" xr:uid="{00000000-0005-0000-0000-00005A620000}"/>
    <cellStyle name="Normal 18 3 2 2 3 3 2" xfId="49451" xr:uid="{00000000-0005-0000-0000-00005B620000}"/>
    <cellStyle name="Normal 18 3 2 2 3 3 3" xfId="33351" xr:uid="{00000000-0005-0000-0000-00005C620000}"/>
    <cellStyle name="Normal 18 3 2 2 3 3 4" xfId="23782" xr:uid="{00000000-0005-0000-0000-00005D620000}"/>
    <cellStyle name="Normal 18 3 2 2 3 4" xfId="5105" xr:uid="{00000000-0005-0000-0000-00005E620000}"/>
    <cellStyle name="Normal 18 3 2 2 3 4 2" xfId="52946" xr:uid="{00000000-0005-0000-0000-00005F620000}"/>
    <cellStyle name="Normal 18 3 2 2 3 4 3" xfId="36846" xr:uid="{00000000-0005-0000-0000-000060620000}"/>
    <cellStyle name="Normal 18 3 2 2 3 4 4" xfId="17710" xr:uid="{00000000-0005-0000-0000-000061620000}"/>
    <cellStyle name="Normal 18 3 2 2 3 5" xfId="43379" xr:uid="{00000000-0005-0000-0000-000062620000}"/>
    <cellStyle name="Normal 18 3 2 2 3 6" xfId="27279" xr:uid="{00000000-0005-0000-0000-000063620000}"/>
    <cellStyle name="Normal 18 3 2 2 3 7" xfId="14215" xr:uid="{00000000-0005-0000-0000-000064620000}"/>
    <cellStyle name="Normal 18 3 2 2 4" xfId="7131" xr:uid="{00000000-0005-0000-0000-000065620000}"/>
    <cellStyle name="Normal 18 3 2 2 4 2" xfId="38872" xr:uid="{00000000-0005-0000-0000-000066620000}"/>
    <cellStyle name="Normal 18 3 2 2 4 2 2" xfId="54972" xr:uid="{00000000-0005-0000-0000-000067620000}"/>
    <cellStyle name="Normal 18 3 2 2 4 3" xfId="45405" xr:uid="{00000000-0005-0000-0000-000068620000}"/>
    <cellStyle name="Normal 18 3 2 2 4 4" xfId="29305" xr:uid="{00000000-0005-0000-0000-000069620000}"/>
    <cellStyle name="Normal 18 3 2 2 4 5" xfId="19736" xr:uid="{00000000-0005-0000-0000-00006A620000}"/>
    <cellStyle name="Normal 18 3 2 2 5" xfId="10167" xr:uid="{00000000-0005-0000-0000-00006B620000}"/>
    <cellStyle name="Normal 18 3 2 2 5 2" xfId="48441" xr:uid="{00000000-0005-0000-0000-00006C620000}"/>
    <cellStyle name="Normal 18 3 2 2 5 3" xfId="32341" xr:uid="{00000000-0005-0000-0000-00006D620000}"/>
    <cellStyle name="Normal 18 3 2 2 5 4" xfId="22772" xr:uid="{00000000-0005-0000-0000-00006E620000}"/>
    <cellStyle name="Normal 18 3 2 2 6" xfId="4095" xr:uid="{00000000-0005-0000-0000-00006F620000}"/>
    <cellStyle name="Normal 18 3 2 2 6 2" xfId="51936" xr:uid="{00000000-0005-0000-0000-000070620000}"/>
    <cellStyle name="Normal 18 3 2 2 6 3" xfId="35836" xr:uid="{00000000-0005-0000-0000-000071620000}"/>
    <cellStyle name="Normal 18 3 2 2 6 4" xfId="16700" xr:uid="{00000000-0005-0000-0000-000072620000}"/>
    <cellStyle name="Normal 18 3 2 2 7" xfId="42369" xr:uid="{00000000-0005-0000-0000-000073620000}"/>
    <cellStyle name="Normal 18 3 2 2 8" xfId="26269" xr:uid="{00000000-0005-0000-0000-000074620000}"/>
    <cellStyle name="Normal 18 3 2 2 9" xfId="13205" xr:uid="{00000000-0005-0000-0000-000075620000}"/>
    <cellStyle name="Normal 18 3 2 3" xfId="1015" xr:uid="{00000000-0005-0000-0000-000076620000}"/>
    <cellStyle name="Normal 18 3 2 3 2" xfId="3043" xr:uid="{00000000-0005-0000-0000-000077620000}"/>
    <cellStyle name="Normal 18 3 2 3 2 2" xfId="9575" xr:uid="{00000000-0005-0000-0000-000078620000}"/>
    <cellStyle name="Normal 18 3 2 3 2 2 2" xfId="41316" xr:uid="{00000000-0005-0000-0000-000079620000}"/>
    <cellStyle name="Normal 18 3 2 3 2 2 2 2" xfId="57416" xr:uid="{00000000-0005-0000-0000-00007A620000}"/>
    <cellStyle name="Normal 18 3 2 3 2 2 3" xfId="47849" xr:uid="{00000000-0005-0000-0000-00007B620000}"/>
    <cellStyle name="Normal 18 3 2 3 2 2 4" xfId="31749" xr:uid="{00000000-0005-0000-0000-00007C620000}"/>
    <cellStyle name="Normal 18 3 2 3 2 2 5" xfId="22180" xr:uid="{00000000-0005-0000-0000-00007D620000}"/>
    <cellStyle name="Normal 18 3 2 3 2 3" xfId="12611" xr:uid="{00000000-0005-0000-0000-00007E620000}"/>
    <cellStyle name="Normal 18 3 2 3 2 3 2" xfId="50885" xr:uid="{00000000-0005-0000-0000-00007F620000}"/>
    <cellStyle name="Normal 18 3 2 3 2 3 3" xfId="34785" xr:uid="{00000000-0005-0000-0000-000080620000}"/>
    <cellStyle name="Normal 18 3 2 3 2 3 4" xfId="25216" xr:uid="{00000000-0005-0000-0000-000081620000}"/>
    <cellStyle name="Normal 18 3 2 3 2 4" xfId="6539" xr:uid="{00000000-0005-0000-0000-000082620000}"/>
    <cellStyle name="Normal 18 3 2 3 2 4 2" xfId="54380" xr:uid="{00000000-0005-0000-0000-000083620000}"/>
    <cellStyle name="Normal 18 3 2 3 2 4 3" xfId="38280" xr:uid="{00000000-0005-0000-0000-000084620000}"/>
    <cellStyle name="Normal 18 3 2 3 2 4 4" xfId="19144" xr:uid="{00000000-0005-0000-0000-000085620000}"/>
    <cellStyle name="Normal 18 3 2 3 2 5" xfId="44813" xr:uid="{00000000-0005-0000-0000-000086620000}"/>
    <cellStyle name="Normal 18 3 2 3 2 6" xfId="28713" xr:uid="{00000000-0005-0000-0000-000087620000}"/>
    <cellStyle name="Normal 18 3 2 3 2 7" xfId="15649" xr:uid="{00000000-0005-0000-0000-000088620000}"/>
    <cellStyle name="Normal 18 3 2 3 3" xfId="2025" xr:uid="{00000000-0005-0000-0000-000089620000}"/>
    <cellStyle name="Normal 18 3 2 3 3 2" xfId="8559" xr:uid="{00000000-0005-0000-0000-00008A620000}"/>
    <cellStyle name="Normal 18 3 2 3 3 2 2" xfId="40300" xr:uid="{00000000-0005-0000-0000-00008B620000}"/>
    <cellStyle name="Normal 18 3 2 3 3 2 2 2" xfId="56400" xr:uid="{00000000-0005-0000-0000-00008C620000}"/>
    <cellStyle name="Normal 18 3 2 3 3 2 3" xfId="46833" xr:uid="{00000000-0005-0000-0000-00008D620000}"/>
    <cellStyle name="Normal 18 3 2 3 3 2 4" xfId="30733" xr:uid="{00000000-0005-0000-0000-00008E620000}"/>
    <cellStyle name="Normal 18 3 2 3 3 2 5" xfId="21164" xr:uid="{00000000-0005-0000-0000-00008F620000}"/>
    <cellStyle name="Normal 18 3 2 3 3 3" xfId="11595" xr:uid="{00000000-0005-0000-0000-000090620000}"/>
    <cellStyle name="Normal 18 3 2 3 3 3 2" xfId="49869" xr:uid="{00000000-0005-0000-0000-000091620000}"/>
    <cellStyle name="Normal 18 3 2 3 3 3 3" xfId="33769" xr:uid="{00000000-0005-0000-0000-000092620000}"/>
    <cellStyle name="Normal 18 3 2 3 3 3 4" xfId="24200" xr:uid="{00000000-0005-0000-0000-000093620000}"/>
    <cellStyle name="Normal 18 3 2 3 3 4" xfId="5523" xr:uid="{00000000-0005-0000-0000-000094620000}"/>
    <cellStyle name="Normal 18 3 2 3 3 4 2" xfId="53364" xr:uid="{00000000-0005-0000-0000-000095620000}"/>
    <cellStyle name="Normal 18 3 2 3 3 4 3" xfId="37264" xr:uid="{00000000-0005-0000-0000-000096620000}"/>
    <cellStyle name="Normal 18 3 2 3 3 4 4" xfId="18128" xr:uid="{00000000-0005-0000-0000-000097620000}"/>
    <cellStyle name="Normal 18 3 2 3 3 5" xfId="43797" xr:uid="{00000000-0005-0000-0000-000098620000}"/>
    <cellStyle name="Normal 18 3 2 3 3 6" xfId="27697" xr:uid="{00000000-0005-0000-0000-000099620000}"/>
    <cellStyle name="Normal 18 3 2 3 3 7" xfId="14633" xr:uid="{00000000-0005-0000-0000-00009A620000}"/>
    <cellStyle name="Normal 18 3 2 3 4" xfId="7549" xr:uid="{00000000-0005-0000-0000-00009B620000}"/>
    <cellStyle name="Normal 18 3 2 3 4 2" xfId="39290" xr:uid="{00000000-0005-0000-0000-00009C620000}"/>
    <cellStyle name="Normal 18 3 2 3 4 2 2" xfId="55390" xr:uid="{00000000-0005-0000-0000-00009D620000}"/>
    <cellStyle name="Normal 18 3 2 3 4 3" xfId="45823" xr:uid="{00000000-0005-0000-0000-00009E620000}"/>
    <cellStyle name="Normal 18 3 2 3 4 4" xfId="29723" xr:uid="{00000000-0005-0000-0000-00009F620000}"/>
    <cellStyle name="Normal 18 3 2 3 4 5" xfId="20154" xr:uid="{00000000-0005-0000-0000-0000A0620000}"/>
    <cellStyle name="Normal 18 3 2 3 5" xfId="10585" xr:uid="{00000000-0005-0000-0000-0000A1620000}"/>
    <cellStyle name="Normal 18 3 2 3 5 2" xfId="48859" xr:uid="{00000000-0005-0000-0000-0000A2620000}"/>
    <cellStyle name="Normal 18 3 2 3 5 3" xfId="32759" xr:uid="{00000000-0005-0000-0000-0000A3620000}"/>
    <cellStyle name="Normal 18 3 2 3 5 4" xfId="23190" xr:uid="{00000000-0005-0000-0000-0000A4620000}"/>
    <cellStyle name="Normal 18 3 2 3 6" xfId="4513" xr:uid="{00000000-0005-0000-0000-0000A5620000}"/>
    <cellStyle name="Normal 18 3 2 3 6 2" xfId="52354" xr:uid="{00000000-0005-0000-0000-0000A6620000}"/>
    <cellStyle name="Normal 18 3 2 3 6 3" xfId="36254" xr:uid="{00000000-0005-0000-0000-0000A7620000}"/>
    <cellStyle name="Normal 18 3 2 3 6 4" xfId="17118" xr:uid="{00000000-0005-0000-0000-0000A8620000}"/>
    <cellStyle name="Normal 18 3 2 3 7" xfId="42787" xr:uid="{00000000-0005-0000-0000-0000A9620000}"/>
    <cellStyle name="Normal 18 3 2 3 8" xfId="26687" xr:uid="{00000000-0005-0000-0000-0000AA620000}"/>
    <cellStyle name="Normal 18 3 2 3 9" xfId="13623" xr:uid="{00000000-0005-0000-0000-0000AB620000}"/>
    <cellStyle name="Normal 18 3 2 4" xfId="2218" xr:uid="{00000000-0005-0000-0000-0000AC620000}"/>
    <cellStyle name="Normal 18 3 2 4 2" xfId="8752" xr:uid="{00000000-0005-0000-0000-0000AD620000}"/>
    <cellStyle name="Normal 18 3 2 4 2 2" xfId="40493" xr:uid="{00000000-0005-0000-0000-0000AE620000}"/>
    <cellStyle name="Normal 18 3 2 4 2 2 2" xfId="56593" xr:uid="{00000000-0005-0000-0000-0000AF620000}"/>
    <cellStyle name="Normal 18 3 2 4 2 3" xfId="47026" xr:uid="{00000000-0005-0000-0000-0000B0620000}"/>
    <cellStyle name="Normal 18 3 2 4 2 4" xfId="30926" xr:uid="{00000000-0005-0000-0000-0000B1620000}"/>
    <cellStyle name="Normal 18 3 2 4 2 5" xfId="21357" xr:uid="{00000000-0005-0000-0000-0000B2620000}"/>
    <cellStyle name="Normal 18 3 2 4 3" xfId="11788" xr:uid="{00000000-0005-0000-0000-0000B3620000}"/>
    <cellStyle name="Normal 18 3 2 4 3 2" xfId="50062" xr:uid="{00000000-0005-0000-0000-0000B4620000}"/>
    <cellStyle name="Normal 18 3 2 4 3 3" xfId="33962" xr:uid="{00000000-0005-0000-0000-0000B5620000}"/>
    <cellStyle name="Normal 18 3 2 4 3 4" xfId="24393" xr:uid="{00000000-0005-0000-0000-0000B6620000}"/>
    <cellStyle name="Normal 18 3 2 4 4" xfId="5716" xr:uid="{00000000-0005-0000-0000-0000B7620000}"/>
    <cellStyle name="Normal 18 3 2 4 4 2" xfId="53557" xr:uid="{00000000-0005-0000-0000-0000B8620000}"/>
    <cellStyle name="Normal 18 3 2 4 4 3" xfId="37457" xr:uid="{00000000-0005-0000-0000-0000B9620000}"/>
    <cellStyle name="Normal 18 3 2 4 4 4" xfId="18321" xr:uid="{00000000-0005-0000-0000-0000BA620000}"/>
    <cellStyle name="Normal 18 3 2 4 5" xfId="43990" xr:uid="{00000000-0005-0000-0000-0000BB620000}"/>
    <cellStyle name="Normal 18 3 2 4 6" xfId="27890" xr:uid="{00000000-0005-0000-0000-0000BC620000}"/>
    <cellStyle name="Normal 18 3 2 4 7" xfId="14826" xr:uid="{00000000-0005-0000-0000-0000BD620000}"/>
    <cellStyle name="Normal 18 3 2 5" xfId="1430" xr:uid="{00000000-0005-0000-0000-0000BE620000}"/>
    <cellStyle name="Normal 18 3 2 5 2" xfId="7964" xr:uid="{00000000-0005-0000-0000-0000BF620000}"/>
    <cellStyle name="Normal 18 3 2 5 2 2" xfId="39705" xr:uid="{00000000-0005-0000-0000-0000C0620000}"/>
    <cellStyle name="Normal 18 3 2 5 2 2 2" xfId="55805" xr:uid="{00000000-0005-0000-0000-0000C1620000}"/>
    <cellStyle name="Normal 18 3 2 5 2 3" xfId="46238" xr:uid="{00000000-0005-0000-0000-0000C2620000}"/>
    <cellStyle name="Normal 18 3 2 5 2 4" xfId="30138" xr:uid="{00000000-0005-0000-0000-0000C3620000}"/>
    <cellStyle name="Normal 18 3 2 5 2 5" xfId="20569" xr:uid="{00000000-0005-0000-0000-0000C4620000}"/>
    <cellStyle name="Normal 18 3 2 5 3" xfId="11000" xr:uid="{00000000-0005-0000-0000-0000C5620000}"/>
    <cellStyle name="Normal 18 3 2 5 3 2" xfId="49274" xr:uid="{00000000-0005-0000-0000-0000C6620000}"/>
    <cellStyle name="Normal 18 3 2 5 3 3" xfId="33174" xr:uid="{00000000-0005-0000-0000-0000C7620000}"/>
    <cellStyle name="Normal 18 3 2 5 3 4" xfId="23605" xr:uid="{00000000-0005-0000-0000-0000C8620000}"/>
    <cellStyle name="Normal 18 3 2 5 4" xfId="4928" xr:uid="{00000000-0005-0000-0000-0000C9620000}"/>
    <cellStyle name="Normal 18 3 2 5 4 2" xfId="52769" xr:uid="{00000000-0005-0000-0000-0000CA620000}"/>
    <cellStyle name="Normal 18 3 2 5 4 3" xfId="36669" xr:uid="{00000000-0005-0000-0000-0000CB620000}"/>
    <cellStyle name="Normal 18 3 2 5 4 4" xfId="17533" xr:uid="{00000000-0005-0000-0000-0000CC620000}"/>
    <cellStyle name="Normal 18 3 2 5 5" xfId="43202" xr:uid="{00000000-0005-0000-0000-0000CD620000}"/>
    <cellStyle name="Normal 18 3 2 5 6" xfId="27102" xr:uid="{00000000-0005-0000-0000-0000CE620000}"/>
    <cellStyle name="Normal 18 3 2 5 7" xfId="14038" xr:uid="{00000000-0005-0000-0000-0000CF620000}"/>
    <cellStyle name="Normal 18 3 2 6" xfId="3918" xr:uid="{00000000-0005-0000-0000-0000D0620000}"/>
    <cellStyle name="Normal 18 3 2 6 2" xfId="35659" xr:uid="{00000000-0005-0000-0000-0000D1620000}"/>
    <cellStyle name="Normal 18 3 2 6 2 2" xfId="51759" xr:uid="{00000000-0005-0000-0000-0000D2620000}"/>
    <cellStyle name="Normal 18 3 2 6 3" xfId="42192" xr:uid="{00000000-0005-0000-0000-0000D3620000}"/>
    <cellStyle name="Normal 18 3 2 6 4" xfId="26092" xr:uid="{00000000-0005-0000-0000-0000D4620000}"/>
    <cellStyle name="Normal 18 3 2 6 5" xfId="16523" xr:uid="{00000000-0005-0000-0000-0000D5620000}"/>
    <cellStyle name="Normal 18 3 2 7" xfId="6954" xr:uid="{00000000-0005-0000-0000-0000D6620000}"/>
    <cellStyle name="Normal 18 3 2 7 2" xfId="38695" xr:uid="{00000000-0005-0000-0000-0000D7620000}"/>
    <cellStyle name="Normal 18 3 2 7 2 2" xfId="54795" xr:uid="{00000000-0005-0000-0000-0000D8620000}"/>
    <cellStyle name="Normal 18 3 2 7 3" xfId="45228" xr:uid="{00000000-0005-0000-0000-0000D9620000}"/>
    <cellStyle name="Normal 18 3 2 7 4" xfId="29128" xr:uid="{00000000-0005-0000-0000-0000DA620000}"/>
    <cellStyle name="Normal 18 3 2 7 5" xfId="19559" xr:uid="{00000000-0005-0000-0000-0000DB620000}"/>
    <cellStyle name="Normal 18 3 2 8" xfId="9990" xr:uid="{00000000-0005-0000-0000-0000DC620000}"/>
    <cellStyle name="Normal 18 3 2 8 2" xfId="48264" xr:uid="{00000000-0005-0000-0000-0000DD620000}"/>
    <cellStyle name="Normal 18 3 2 8 3" xfId="32164" xr:uid="{00000000-0005-0000-0000-0000DE620000}"/>
    <cellStyle name="Normal 18 3 2 8 4" xfId="22595" xr:uid="{00000000-0005-0000-0000-0000DF620000}"/>
    <cellStyle name="Normal 18 3 2 9" xfId="3413" xr:uid="{00000000-0005-0000-0000-0000E0620000}"/>
    <cellStyle name="Normal 18 3 2 9 2" xfId="51254" xr:uid="{00000000-0005-0000-0000-0000E1620000}"/>
    <cellStyle name="Normal 18 3 2 9 3" xfId="35154" xr:uid="{00000000-0005-0000-0000-0000E2620000}"/>
    <cellStyle name="Normal 18 3 2 9 4" xfId="16018" xr:uid="{00000000-0005-0000-0000-0000E3620000}"/>
    <cellStyle name="Normal 18 3 3" xfId="305" xr:uid="{00000000-0005-0000-0000-0000E4620000}"/>
    <cellStyle name="Normal 18 3 3 2" xfId="2324" xr:uid="{00000000-0005-0000-0000-0000E5620000}"/>
    <cellStyle name="Normal 18 3 3 2 2" xfId="8858" xr:uid="{00000000-0005-0000-0000-0000E6620000}"/>
    <cellStyle name="Normal 18 3 3 2 2 2" xfId="40599" xr:uid="{00000000-0005-0000-0000-0000E7620000}"/>
    <cellStyle name="Normal 18 3 3 2 2 2 2" xfId="56699" xr:uid="{00000000-0005-0000-0000-0000E8620000}"/>
    <cellStyle name="Normal 18 3 3 2 2 3" xfId="47132" xr:uid="{00000000-0005-0000-0000-0000E9620000}"/>
    <cellStyle name="Normal 18 3 3 2 2 4" xfId="31032" xr:uid="{00000000-0005-0000-0000-0000EA620000}"/>
    <cellStyle name="Normal 18 3 3 2 2 5" xfId="21463" xr:uid="{00000000-0005-0000-0000-0000EB620000}"/>
    <cellStyle name="Normal 18 3 3 2 3" xfId="11894" xr:uid="{00000000-0005-0000-0000-0000EC620000}"/>
    <cellStyle name="Normal 18 3 3 2 3 2" xfId="50168" xr:uid="{00000000-0005-0000-0000-0000ED620000}"/>
    <cellStyle name="Normal 18 3 3 2 3 3" xfId="34068" xr:uid="{00000000-0005-0000-0000-0000EE620000}"/>
    <cellStyle name="Normal 18 3 3 2 3 4" xfId="24499" xr:uid="{00000000-0005-0000-0000-0000EF620000}"/>
    <cellStyle name="Normal 18 3 3 2 4" xfId="5822" xr:uid="{00000000-0005-0000-0000-0000F0620000}"/>
    <cellStyle name="Normal 18 3 3 2 4 2" xfId="53663" xr:uid="{00000000-0005-0000-0000-0000F1620000}"/>
    <cellStyle name="Normal 18 3 3 2 4 3" xfId="37563" xr:uid="{00000000-0005-0000-0000-0000F2620000}"/>
    <cellStyle name="Normal 18 3 3 2 4 4" xfId="18427" xr:uid="{00000000-0005-0000-0000-0000F3620000}"/>
    <cellStyle name="Normal 18 3 3 2 5" xfId="44096" xr:uid="{00000000-0005-0000-0000-0000F4620000}"/>
    <cellStyle name="Normal 18 3 3 2 6" xfId="27996" xr:uid="{00000000-0005-0000-0000-0000F5620000}"/>
    <cellStyle name="Normal 18 3 3 2 7" xfId="14932" xr:uid="{00000000-0005-0000-0000-0000F6620000}"/>
    <cellStyle name="Normal 18 3 3 3" xfId="1536" xr:uid="{00000000-0005-0000-0000-0000F7620000}"/>
    <cellStyle name="Normal 18 3 3 3 2" xfId="8070" xr:uid="{00000000-0005-0000-0000-0000F8620000}"/>
    <cellStyle name="Normal 18 3 3 3 2 2" xfId="39811" xr:uid="{00000000-0005-0000-0000-0000F9620000}"/>
    <cellStyle name="Normal 18 3 3 3 2 2 2" xfId="55911" xr:uid="{00000000-0005-0000-0000-0000FA620000}"/>
    <cellStyle name="Normal 18 3 3 3 2 3" xfId="46344" xr:uid="{00000000-0005-0000-0000-0000FB620000}"/>
    <cellStyle name="Normal 18 3 3 3 2 4" xfId="30244" xr:uid="{00000000-0005-0000-0000-0000FC620000}"/>
    <cellStyle name="Normal 18 3 3 3 2 5" xfId="20675" xr:uid="{00000000-0005-0000-0000-0000FD620000}"/>
    <cellStyle name="Normal 18 3 3 3 3" xfId="11106" xr:uid="{00000000-0005-0000-0000-0000FE620000}"/>
    <cellStyle name="Normal 18 3 3 3 3 2" xfId="49380" xr:uid="{00000000-0005-0000-0000-0000FF620000}"/>
    <cellStyle name="Normal 18 3 3 3 3 3" xfId="33280" xr:uid="{00000000-0005-0000-0000-000000630000}"/>
    <cellStyle name="Normal 18 3 3 3 3 4" xfId="23711" xr:uid="{00000000-0005-0000-0000-000001630000}"/>
    <cellStyle name="Normal 18 3 3 3 4" xfId="5034" xr:uid="{00000000-0005-0000-0000-000002630000}"/>
    <cellStyle name="Normal 18 3 3 3 4 2" xfId="52875" xr:uid="{00000000-0005-0000-0000-000003630000}"/>
    <cellStyle name="Normal 18 3 3 3 4 3" xfId="36775" xr:uid="{00000000-0005-0000-0000-000004630000}"/>
    <cellStyle name="Normal 18 3 3 3 4 4" xfId="17639" xr:uid="{00000000-0005-0000-0000-000005630000}"/>
    <cellStyle name="Normal 18 3 3 3 5" xfId="43308" xr:uid="{00000000-0005-0000-0000-000006630000}"/>
    <cellStyle name="Normal 18 3 3 3 6" xfId="27208" xr:uid="{00000000-0005-0000-0000-000007630000}"/>
    <cellStyle name="Normal 18 3 3 3 7" xfId="14144" xr:uid="{00000000-0005-0000-0000-000008630000}"/>
    <cellStyle name="Normal 18 3 3 4" xfId="7060" xr:uid="{00000000-0005-0000-0000-000009630000}"/>
    <cellStyle name="Normal 18 3 3 4 2" xfId="38801" xr:uid="{00000000-0005-0000-0000-00000A630000}"/>
    <cellStyle name="Normal 18 3 3 4 2 2" xfId="54901" xr:uid="{00000000-0005-0000-0000-00000B630000}"/>
    <cellStyle name="Normal 18 3 3 4 3" xfId="45334" xr:uid="{00000000-0005-0000-0000-00000C630000}"/>
    <cellStyle name="Normal 18 3 3 4 4" xfId="29234" xr:uid="{00000000-0005-0000-0000-00000D630000}"/>
    <cellStyle name="Normal 18 3 3 4 5" xfId="19665" xr:uid="{00000000-0005-0000-0000-00000E630000}"/>
    <cellStyle name="Normal 18 3 3 5" xfId="10096" xr:uid="{00000000-0005-0000-0000-00000F630000}"/>
    <cellStyle name="Normal 18 3 3 5 2" xfId="48370" xr:uid="{00000000-0005-0000-0000-000010630000}"/>
    <cellStyle name="Normal 18 3 3 5 3" xfId="32270" xr:uid="{00000000-0005-0000-0000-000011630000}"/>
    <cellStyle name="Normal 18 3 3 5 4" xfId="22701" xr:uid="{00000000-0005-0000-0000-000012630000}"/>
    <cellStyle name="Normal 18 3 3 6" xfId="4024" xr:uid="{00000000-0005-0000-0000-000013630000}"/>
    <cellStyle name="Normal 18 3 3 6 2" xfId="51865" xr:uid="{00000000-0005-0000-0000-000014630000}"/>
    <cellStyle name="Normal 18 3 3 6 3" xfId="35765" xr:uid="{00000000-0005-0000-0000-000015630000}"/>
    <cellStyle name="Normal 18 3 3 6 4" xfId="16629" xr:uid="{00000000-0005-0000-0000-000016630000}"/>
    <cellStyle name="Normal 18 3 3 7" xfId="42298" xr:uid="{00000000-0005-0000-0000-000017630000}"/>
    <cellStyle name="Normal 18 3 3 8" xfId="26198" xr:uid="{00000000-0005-0000-0000-000018630000}"/>
    <cellStyle name="Normal 18 3 3 9" xfId="13134" xr:uid="{00000000-0005-0000-0000-000019630000}"/>
    <cellStyle name="Normal 18 3 4" xfId="563" xr:uid="{00000000-0005-0000-0000-00001A630000}"/>
    <cellStyle name="Normal 18 3 4 2" xfId="2592" xr:uid="{00000000-0005-0000-0000-00001B630000}"/>
    <cellStyle name="Normal 18 3 4 2 2" xfId="9124" xr:uid="{00000000-0005-0000-0000-00001C630000}"/>
    <cellStyle name="Normal 18 3 4 2 2 2" xfId="40865" xr:uid="{00000000-0005-0000-0000-00001D630000}"/>
    <cellStyle name="Normal 18 3 4 2 2 2 2" xfId="56965" xr:uid="{00000000-0005-0000-0000-00001E630000}"/>
    <cellStyle name="Normal 18 3 4 2 2 3" xfId="47398" xr:uid="{00000000-0005-0000-0000-00001F630000}"/>
    <cellStyle name="Normal 18 3 4 2 2 4" xfId="31298" xr:uid="{00000000-0005-0000-0000-000020630000}"/>
    <cellStyle name="Normal 18 3 4 2 2 5" xfId="21729" xr:uid="{00000000-0005-0000-0000-000021630000}"/>
    <cellStyle name="Normal 18 3 4 2 3" xfId="12160" xr:uid="{00000000-0005-0000-0000-000022630000}"/>
    <cellStyle name="Normal 18 3 4 2 3 2" xfId="50434" xr:uid="{00000000-0005-0000-0000-000023630000}"/>
    <cellStyle name="Normal 18 3 4 2 3 3" xfId="34334" xr:uid="{00000000-0005-0000-0000-000024630000}"/>
    <cellStyle name="Normal 18 3 4 2 3 4" xfId="24765" xr:uid="{00000000-0005-0000-0000-000025630000}"/>
    <cellStyle name="Normal 18 3 4 2 4" xfId="6088" xr:uid="{00000000-0005-0000-0000-000026630000}"/>
    <cellStyle name="Normal 18 3 4 2 4 2" xfId="53929" xr:uid="{00000000-0005-0000-0000-000027630000}"/>
    <cellStyle name="Normal 18 3 4 2 4 3" xfId="37829" xr:uid="{00000000-0005-0000-0000-000028630000}"/>
    <cellStyle name="Normal 18 3 4 2 4 4" xfId="18693" xr:uid="{00000000-0005-0000-0000-000029630000}"/>
    <cellStyle name="Normal 18 3 4 2 5" xfId="44362" xr:uid="{00000000-0005-0000-0000-00002A630000}"/>
    <cellStyle name="Normal 18 3 4 2 6" xfId="28262" xr:uid="{00000000-0005-0000-0000-00002B630000}"/>
    <cellStyle name="Normal 18 3 4 2 7" xfId="15198" xr:uid="{00000000-0005-0000-0000-00002C630000}"/>
    <cellStyle name="Normal 18 3 4 3" xfId="1359" xr:uid="{00000000-0005-0000-0000-00002D630000}"/>
    <cellStyle name="Normal 18 3 4 3 2" xfId="7893" xr:uid="{00000000-0005-0000-0000-00002E630000}"/>
    <cellStyle name="Normal 18 3 4 3 2 2" xfId="39634" xr:uid="{00000000-0005-0000-0000-00002F630000}"/>
    <cellStyle name="Normal 18 3 4 3 2 2 2" xfId="55734" xr:uid="{00000000-0005-0000-0000-000030630000}"/>
    <cellStyle name="Normal 18 3 4 3 2 3" xfId="46167" xr:uid="{00000000-0005-0000-0000-000031630000}"/>
    <cellStyle name="Normal 18 3 4 3 2 4" xfId="30067" xr:uid="{00000000-0005-0000-0000-000032630000}"/>
    <cellStyle name="Normal 18 3 4 3 2 5" xfId="20498" xr:uid="{00000000-0005-0000-0000-000033630000}"/>
    <cellStyle name="Normal 18 3 4 3 3" xfId="10929" xr:uid="{00000000-0005-0000-0000-000034630000}"/>
    <cellStyle name="Normal 18 3 4 3 3 2" xfId="49203" xr:uid="{00000000-0005-0000-0000-000035630000}"/>
    <cellStyle name="Normal 18 3 4 3 3 3" xfId="33103" xr:uid="{00000000-0005-0000-0000-000036630000}"/>
    <cellStyle name="Normal 18 3 4 3 3 4" xfId="23534" xr:uid="{00000000-0005-0000-0000-000037630000}"/>
    <cellStyle name="Normal 18 3 4 3 4" xfId="4857" xr:uid="{00000000-0005-0000-0000-000038630000}"/>
    <cellStyle name="Normal 18 3 4 3 4 2" xfId="52698" xr:uid="{00000000-0005-0000-0000-000039630000}"/>
    <cellStyle name="Normal 18 3 4 3 4 3" xfId="36598" xr:uid="{00000000-0005-0000-0000-00003A630000}"/>
    <cellStyle name="Normal 18 3 4 3 4 4" xfId="17462" xr:uid="{00000000-0005-0000-0000-00003B630000}"/>
    <cellStyle name="Normal 18 3 4 3 5" xfId="43131" xr:uid="{00000000-0005-0000-0000-00003C630000}"/>
    <cellStyle name="Normal 18 3 4 3 6" xfId="27031" xr:uid="{00000000-0005-0000-0000-00003D630000}"/>
    <cellStyle name="Normal 18 3 4 3 7" xfId="13967" xr:uid="{00000000-0005-0000-0000-00003E630000}"/>
    <cellStyle name="Normal 18 3 4 4" xfId="6883" xr:uid="{00000000-0005-0000-0000-00003F630000}"/>
    <cellStyle name="Normal 18 3 4 4 2" xfId="38624" xr:uid="{00000000-0005-0000-0000-000040630000}"/>
    <cellStyle name="Normal 18 3 4 4 2 2" xfId="54724" xr:uid="{00000000-0005-0000-0000-000041630000}"/>
    <cellStyle name="Normal 18 3 4 4 3" xfId="45157" xr:uid="{00000000-0005-0000-0000-000042630000}"/>
    <cellStyle name="Normal 18 3 4 4 4" xfId="29057" xr:uid="{00000000-0005-0000-0000-000043630000}"/>
    <cellStyle name="Normal 18 3 4 4 5" xfId="19488" xr:uid="{00000000-0005-0000-0000-000044630000}"/>
    <cellStyle name="Normal 18 3 4 5" xfId="9919" xr:uid="{00000000-0005-0000-0000-000045630000}"/>
    <cellStyle name="Normal 18 3 4 5 2" xfId="48193" xr:uid="{00000000-0005-0000-0000-000046630000}"/>
    <cellStyle name="Normal 18 3 4 5 3" xfId="32093" xr:uid="{00000000-0005-0000-0000-000047630000}"/>
    <cellStyle name="Normal 18 3 4 5 4" xfId="22524" xr:uid="{00000000-0005-0000-0000-000048630000}"/>
    <cellStyle name="Normal 18 3 4 6" xfId="3847" xr:uid="{00000000-0005-0000-0000-000049630000}"/>
    <cellStyle name="Normal 18 3 4 6 2" xfId="51688" xr:uid="{00000000-0005-0000-0000-00004A630000}"/>
    <cellStyle name="Normal 18 3 4 6 3" xfId="35588" xr:uid="{00000000-0005-0000-0000-00004B630000}"/>
    <cellStyle name="Normal 18 3 4 6 4" xfId="16452" xr:uid="{00000000-0005-0000-0000-00004C630000}"/>
    <cellStyle name="Normal 18 3 4 7" xfId="42121" xr:uid="{00000000-0005-0000-0000-00004D630000}"/>
    <cellStyle name="Normal 18 3 4 8" xfId="26021" xr:uid="{00000000-0005-0000-0000-00004E630000}"/>
    <cellStyle name="Normal 18 3 4 9" xfId="12957" xr:uid="{00000000-0005-0000-0000-00004F630000}"/>
    <cellStyle name="Normal 18 3 5" xfId="820" xr:uid="{00000000-0005-0000-0000-000050630000}"/>
    <cellStyle name="Normal 18 3 5 2" xfId="2848" xr:uid="{00000000-0005-0000-0000-000051630000}"/>
    <cellStyle name="Normal 18 3 5 2 2" xfId="9380" xr:uid="{00000000-0005-0000-0000-000052630000}"/>
    <cellStyle name="Normal 18 3 5 2 2 2" xfId="41121" xr:uid="{00000000-0005-0000-0000-000053630000}"/>
    <cellStyle name="Normal 18 3 5 2 2 2 2" xfId="57221" xr:uid="{00000000-0005-0000-0000-000054630000}"/>
    <cellStyle name="Normal 18 3 5 2 2 3" xfId="47654" xr:uid="{00000000-0005-0000-0000-000055630000}"/>
    <cellStyle name="Normal 18 3 5 2 2 4" xfId="31554" xr:uid="{00000000-0005-0000-0000-000056630000}"/>
    <cellStyle name="Normal 18 3 5 2 2 5" xfId="21985" xr:uid="{00000000-0005-0000-0000-000057630000}"/>
    <cellStyle name="Normal 18 3 5 2 3" xfId="12416" xr:uid="{00000000-0005-0000-0000-000058630000}"/>
    <cellStyle name="Normal 18 3 5 2 3 2" xfId="50690" xr:uid="{00000000-0005-0000-0000-000059630000}"/>
    <cellStyle name="Normal 18 3 5 2 3 3" xfId="34590" xr:uid="{00000000-0005-0000-0000-00005A630000}"/>
    <cellStyle name="Normal 18 3 5 2 3 4" xfId="25021" xr:uid="{00000000-0005-0000-0000-00005B630000}"/>
    <cellStyle name="Normal 18 3 5 2 4" xfId="6344" xr:uid="{00000000-0005-0000-0000-00005C630000}"/>
    <cellStyle name="Normal 18 3 5 2 4 2" xfId="54185" xr:uid="{00000000-0005-0000-0000-00005D630000}"/>
    <cellStyle name="Normal 18 3 5 2 4 3" xfId="38085" xr:uid="{00000000-0005-0000-0000-00005E630000}"/>
    <cellStyle name="Normal 18 3 5 2 4 4" xfId="18949" xr:uid="{00000000-0005-0000-0000-00005F630000}"/>
    <cellStyle name="Normal 18 3 5 2 5" xfId="44618" xr:uid="{00000000-0005-0000-0000-000060630000}"/>
    <cellStyle name="Normal 18 3 5 2 6" xfId="28518" xr:uid="{00000000-0005-0000-0000-000061630000}"/>
    <cellStyle name="Normal 18 3 5 2 7" xfId="15454" xr:uid="{00000000-0005-0000-0000-000062630000}"/>
    <cellStyle name="Normal 18 3 5 3" xfId="1830" xr:uid="{00000000-0005-0000-0000-000063630000}"/>
    <cellStyle name="Normal 18 3 5 3 2" xfId="8364" xr:uid="{00000000-0005-0000-0000-000064630000}"/>
    <cellStyle name="Normal 18 3 5 3 2 2" xfId="40105" xr:uid="{00000000-0005-0000-0000-000065630000}"/>
    <cellStyle name="Normal 18 3 5 3 2 2 2" xfId="56205" xr:uid="{00000000-0005-0000-0000-000066630000}"/>
    <cellStyle name="Normal 18 3 5 3 2 3" xfId="46638" xr:uid="{00000000-0005-0000-0000-000067630000}"/>
    <cellStyle name="Normal 18 3 5 3 2 4" xfId="30538" xr:uid="{00000000-0005-0000-0000-000068630000}"/>
    <cellStyle name="Normal 18 3 5 3 2 5" xfId="20969" xr:uid="{00000000-0005-0000-0000-000069630000}"/>
    <cellStyle name="Normal 18 3 5 3 3" xfId="11400" xr:uid="{00000000-0005-0000-0000-00006A630000}"/>
    <cellStyle name="Normal 18 3 5 3 3 2" xfId="49674" xr:uid="{00000000-0005-0000-0000-00006B630000}"/>
    <cellStyle name="Normal 18 3 5 3 3 3" xfId="33574" xr:uid="{00000000-0005-0000-0000-00006C630000}"/>
    <cellStyle name="Normal 18 3 5 3 3 4" xfId="24005" xr:uid="{00000000-0005-0000-0000-00006D630000}"/>
    <cellStyle name="Normal 18 3 5 3 4" xfId="5328" xr:uid="{00000000-0005-0000-0000-00006E630000}"/>
    <cellStyle name="Normal 18 3 5 3 4 2" xfId="53169" xr:uid="{00000000-0005-0000-0000-00006F630000}"/>
    <cellStyle name="Normal 18 3 5 3 4 3" xfId="37069" xr:uid="{00000000-0005-0000-0000-000070630000}"/>
    <cellStyle name="Normal 18 3 5 3 4 4" xfId="17933" xr:uid="{00000000-0005-0000-0000-000071630000}"/>
    <cellStyle name="Normal 18 3 5 3 5" xfId="43602" xr:uid="{00000000-0005-0000-0000-000072630000}"/>
    <cellStyle name="Normal 18 3 5 3 6" xfId="27502" xr:uid="{00000000-0005-0000-0000-000073630000}"/>
    <cellStyle name="Normal 18 3 5 3 7" xfId="14438" xr:uid="{00000000-0005-0000-0000-000074630000}"/>
    <cellStyle name="Normal 18 3 5 4" xfId="7354" xr:uid="{00000000-0005-0000-0000-000075630000}"/>
    <cellStyle name="Normal 18 3 5 4 2" xfId="39095" xr:uid="{00000000-0005-0000-0000-000076630000}"/>
    <cellStyle name="Normal 18 3 5 4 2 2" xfId="55195" xr:uid="{00000000-0005-0000-0000-000077630000}"/>
    <cellStyle name="Normal 18 3 5 4 3" xfId="45628" xr:uid="{00000000-0005-0000-0000-000078630000}"/>
    <cellStyle name="Normal 18 3 5 4 4" xfId="29528" xr:uid="{00000000-0005-0000-0000-000079630000}"/>
    <cellStyle name="Normal 18 3 5 4 5" xfId="19959" xr:uid="{00000000-0005-0000-0000-00007A630000}"/>
    <cellStyle name="Normal 18 3 5 5" xfId="10390" xr:uid="{00000000-0005-0000-0000-00007B630000}"/>
    <cellStyle name="Normal 18 3 5 5 2" xfId="48664" xr:uid="{00000000-0005-0000-0000-00007C630000}"/>
    <cellStyle name="Normal 18 3 5 5 3" xfId="32564" xr:uid="{00000000-0005-0000-0000-00007D630000}"/>
    <cellStyle name="Normal 18 3 5 5 4" xfId="22995" xr:uid="{00000000-0005-0000-0000-00007E630000}"/>
    <cellStyle name="Normal 18 3 5 6" xfId="4318" xr:uid="{00000000-0005-0000-0000-00007F630000}"/>
    <cellStyle name="Normal 18 3 5 6 2" xfId="52159" xr:uid="{00000000-0005-0000-0000-000080630000}"/>
    <cellStyle name="Normal 18 3 5 6 3" xfId="36059" xr:uid="{00000000-0005-0000-0000-000081630000}"/>
    <cellStyle name="Normal 18 3 5 6 4" xfId="16923" xr:uid="{00000000-0005-0000-0000-000082630000}"/>
    <cellStyle name="Normal 18 3 5 7" xfId="42592" xr:uid="{00000000-0005-0000-0000-000083630000}"/>
    <cellStyle name="Normal 18 3 5 8" xfId="26492" xr:uid="{00000000-0005-0000-0000-000084630000}"/>
    <cellStyle name="Normal 18 3 5 9" xfId="13428" xr:uid="{00000000-0005-0000-0000-000085630000}"/>
    <cellStyle name="Normal 18 3 6" xfId="2147" xr:uid="{00000000-0005-0000-0000-000086630000}"/>
    <cellStyle name="Normal 18 3 6 2" xfId="8681" xr:uid="{00000000-0005-0000-0000-000087630000}"/>
    <cellStyle name="Normal 18 3 6 2 2" xfId="40422" xr:uid="{00000000-0005-0000-0000-000088630000}"/>
    <cellStyle name="Normal 18 3 6 2 2 2" xfId="56522" xr:uid="{00000000-0005-0000-0000-000089630000}"/>
    <cellStyle name="Normal 18 3 6 2 3" xfId="46955" xr:uid="{00000000-0005-0000-0000-00008A630000}"/>
    <cellStyle name="Normal 18 3 6 2 4" xfId="30855" xr:uid="{00000000-0005-0000-0000-00008B630000}"/>
    <cellStyle name="Normal 18 3 6 2 5" xfId="21286" xr:uid="{00000000-0005-0000-0000-00008C630000}"/>
    <cellStyle name="Normal 18 3 6 3" xfId="11717" xr:uid="{00000000-0005-0000-0000-00008D630000}"/>
    <cellStyle name="Normal 18 3 6 3 2" xfId="49991" xr:uid="{00000000-0005-0000-0000-00008E630000}"/>
    <cellStyle name="Normal 18 3 6 3 3" xfId="33891" xr:uid="{00000000-0005-0000-0000-00008F630000}"/>
    <cellStyle name="Normal 18 3 6 3 4" xfId="24322" xr:uid="{00000000-0005-0000-0000-000090630000}"/>
    <cellStyle name="Normal 18 3 6 4" xfId="5645" xr:uid="{00000000-0005-0000-0000-000091630000}"/>
    <cellStyle name="Normal 18 3 6 4 2" xfId="53486" xr:uid="{00000000-0005-0000-0000-000092630000}"/>
    <cellStyle name="Normal 18 3 6 4 3" xfId="37386" xr:uid="{00000000-0005-0000-0000-000093630000}"/>
    <cellStyle name="Normal 18 3 6 4 4" xfId="18250" xr:uid="{00000000-0005-0000-0000-000094630000}"/>
    <cellStyle name="Normal 18 3 6 5" xfId="43919" xr:uid="{00000000-0005-0000-0000-000095630000}"/>
    <cellStyle name="Normal 18 3 6 6" xfId="27819" xr:uid="{00000000-0005-0000-0000-000096630000}"/>
    <cellStyle name="Normal 18 3 6 7" xfId="14755" xr:uid="{00000000-0005-0000-0000-000097630000}"/>
    <cellStyle name="Normal 18 3 7" xfId="1147" xr:uid="{00000000-0005-0000-0000-000098630000}"/>
    <cellStyle name="Normal 18 3 7 2" xfId="7681" xr:uid="{00000000-0005-0000-0000-000099630000}"/>
    <cellStyle name="Normal 18 3 7 2 2" xfId="39422" xr:uid="{00000000-0005-0000-0000-00009A630000}"/>
    <cellStyle name="Normal 18 3 7 2 2 2" xfId="55522" xr:uid="{00000000-0005-0000-0000-00009B630000}"/>
    <cellStyle name="Normal 18 3 7 2 3" xfId="45955" xr:uid="{00000000-0005-0000-0000-00009C630000}"/>
    <cellStyle name="Normal 18 3 7 2 4" xfId="29855" xr:uid="{00000000-0005-0000-0000-00009D630000}"/>
    <cellStyle name="Normal 18 3 7 2 5" xfId="20286" xr:uid="{00000000-0005-0000-0000-00009E630000}"/>
    <cellStyle name="Normal 18 3 7 3" xfId="10717" xr:uid="{00000000-0005-0000-0000-00009F630000}"/>
    <cellStyle name="Normal 18 3 7 3 2" xfId="48991" xr:uid="{00000000-0005-0000-0000-0000A0630000}"/>
    <cellStyle name="Normal 18 3 7 3 3" xfId="32891" xr:uid="{00000000-0005-0000-0000-0000A1630000}"/>
    <cellStyle name="Normal 18 3 7 3 4" xfId="23322" xr:uid="{00000000-0005-0000-0000-0000A2630000}"/>
    <cellStyle name="Normal 18 3 7 4" xfId="4645" xr:uid="{00000000-0005-0000-0000-0000A3630000}"/>
    <cellStyle name="Normal 18 3 7 4 2" xfId="52486" xr:uid="{00000000-0005-0000-0000-0000A4630000}"/>
    <cellStyle name="Normal 18 3 7 4 3" xfId="36386" xr:uid="{00000000-0005-0000-0000-0000A5630000}"/>
    <cellStyle name="Normal 18 3 7 4 4" xfId="17250" xr:uid="{00000000-0005-0000-0000-0000A6630000}"/>
    <cellStyle name="Normal 18 3 7 5" xfId="42919" xr:uid="{00000000-0005-0000-0000-0000A7630000}"/>
    <cellStyle name="Normal 18 3 7 6" xfId="26819" xr:uid="{00000000-0005-0000-0000-0000A8630000}"/>
    <cellStyle name="Normal 18 3 7 7" xfId="13755" xr:uid="{00000000-0005-0000-0000-0000A9630000}"/>
    <cellStyle name="Normal 18 3 8" xfId="3635" xr:uid="{00000000-0005-0000-0000-0000AA630000}"/>
    <cellStyle name="Normal 18 3 8 2" xfId="35376" xr:uid="{00000000-0005-0000-0000-0000AB630000}"/>
    <cellStyle name="Normal 18 3 8 2 2" xfId="51476" xr:uid="{00000000-0005-0000-0000-0000AC630000}"/>
    <cellStyle name="Normal 18 3 8 3" xfId="41909" xr:uid="{00000000-0005-0000-0000-0000AD630000}"/>
    <cellStyle name="Normal 18 3 8 4" xfId="25809" xr:uid="{00000000-0005-0000-0000-0000AE630000}"/>
    <cellStyle name="Normal 18 3 8 5" xfId="16240" xr:uid="{00000000-0005-0000-0000-0000AF630000}"/>
    <cellStyle name="Normal 18 3 9" xfId="6671" xr:uid="{00000000-0005-0000-0000-0000B0630000}"/>
    <cellStyle name="Normal 18 3 9 2" xfId="38412" xr:uid="{00000000-0005-0000-0000-0000B1630000}"/>
    <cellStyle name="Normal 18 3 9 2 2" xfId="54512" xr:uid="{00000000-0005-0000-0000-0000B2630000}"/>
    <cellStyle name="Normal 18 3 9 3" xfId="44945" xr:uid="{00000000-0005-0000-0000-0000B3630000}"/>
    <cellStyle name="Normal 18 3 9 4" xfId="28845" xr:uid="{00000000-0005-0000-0000-0000B4630000}"/>
    <cellStyle name="Normal 18 3 9 5" xfId="19276" xr:uid="{00000000-0005-0000-0000-0000B5630000}"/>
    <cellStyle name="Normal 18 4" xfId="88" xr:uid="{00000000-0005-0000-0000-0000B6630000}"/>
    <cellStyle name="Normal 18 4 10" xfId="3192" xr:uid="{00000000-0005-0000-0000-0000B7630000}"/>
    <cellStyle name="Normal 18 4 10 2" xfId="51034" xr:uid="{00000000-0005-0000-0000-0000B8630000}"/>
    <cellStyle name="Normal 18 4 10 3" xfId="34934" xr:uid="{00000000-0005-0000-0000-0000B9630000}"/>
    <cellStyle name="Normal 18 4 10 4" xfId="15798" xr:uid="{00000000-0005-0000-0000-0000BA630000}"/>
    <cellStyle name="Normal 18 4 11" xfId="41467" xr:uid="{00000000-0005-0000-0000-0000BB630000}"/>
    <cellStyle name="Normal 18 4 12" xfId="25367" xr:uid="{00000000-0005-0000-0000-0000BC630000}"/>
    <cellStyle name="Normal 18 4 13" xfId="12762" xr:uid="{00000000-0005-0000-0000-0000BD630000}"/>
    <cellStyle name="Normal 18 4 2" xfId="269" xr:uid="{00000000-0005-0000-0000-0000BE630000}"/>
    <cellStyle name="Normal 18 4 2 10" xfId="25604" xr:uid="{00000000-0005-0000-0000-0000BF630000}"/>
    <cellStyle name="Normal 18 4 2 11" xfId="13098" xr:uid="{00000000-0005-0000-0000-0000C0630000}"/>
    <cellStyle name="Normal 18 4 2 2" xfId="1049" xr:uid="{00000000-0005-0000-0000-0000C1630000}"/>
    <cellStyle name="Normal 18 4 2 2 2" xfId="3077" xr:uid="{00000000-0005-0000-0000-0000C2630000}"/>
    <cellStyle name="Normal 18 4 2 2 2 2" xfId="9609" xr:uid="{00000000-0005-0000-0000-0000C3630000}"/>
    <cellStyle name="Normal 18 4 2 2 2 2 2" xfId="41350" xr:uid="{00000000-0005-0000-0000-0000C4630000}"/>
    <cellStyle name="Normal 18 4 2 2 2 2 2 2" xfId="57450" xr:uid="{00000000-0005-0000-0000-0000C5630000}"/>
    <cellStyle name="Normal 18 4 2 2 2 2 3" xfId="47883" xr:uid="{00000000-0005-0000-0000-0000C6630000}"/>
    <cellStyle name="Normal 18 4 2 2 2 2 4" xfId="31783" xr:uid="{00000000-0005-0000-0000-0000C7630000}"/>
    <cellStyle name="Normal 18 4 2 2 2 2 5" xfId="22214" xr:uid="{00000000-0005-0000-0000-0000C8630000}"/>
    <cellStyle name="Normal 18 4 2 2 2 3" xfId="12645" xr:uid="{00000000-0005-0000-0000-0000C9630000}"/>
    <cellStyle name="Normal 18 4 2 2 2 3 2" xfId="50919" xr:uid="{00000000-0005-0000-0000-0000CA630000}"/>
    <cellStyle name="Normal 18 4 2 2 2 3 3" xfId="34819" xr:uid="{00000000-0005-0000-0000-0000CB630000}"/>
    <cellStyle name="Normal 18 4 2 2 2 3 4" xfId="25250" xr:uid="{00000000-0005-0000-0000-0000CC630000}"/>
    <cellStyle name="Normal 18 4 2 2 2 4" xfId="6573" xr:uid="{00000000-0005-0000-0000-0000CD630000}"/>
    <cellStyle name="Normal 18 4 2 2 2 4 2" xfId="54414" xr:uid="{00000000-0005-0000-0000-0000CE630000}"/>
    <cellStyle name="Normal 18 4 2 2 2 4 3" xfId="38314" xr:uid="{00000000-0005-0000-0000-0000CF630000}"/>
    <cellStyle name="Normal 18 4 2 2 2 4 4" xfId="19178" xr:uid="{00000000-0005-0000-0000-0000D0630000}"/>
    <cellStyle name="Normal 18 4 2 2 2 5" xfId="44847" xr:uid="{00000000-0005-0000-0000-0000D1630000}"/>
    <cellStyle name="Normal 18 4 2 2 2 6" xfId="28747" xr:uid="{00000000-0005-0000-0000-0000D2630000}"/>
    <cellStyle name="Normal 18 4 2 2 2 7" xfId="15683" xr:uid="{00000000-0005-0000-0000-0000D3630000}"/>
    <cellStyle name="Normal 18 4 2 2 3" xfId="2059" xr:uid="{00000000-0005-0000-0000-0000D4630000}"/>
    <cellStyle name="Normal 18 4 2 2 3 2" xfId="8593" xr:uid="{00000000-0005-0000-0000-0000D5630000}"/>
    <cellStyle name="Normal 18 4 2 2 3 2 2" xfId="40334" xr:uid="{00000000-0005-0000-0000-0000D6630000}"/>
    <cellStyle name="Normal 18 4 2 2 3 2 2 2" xfId="56434" xr:uid="{00000000-0005-0000-0000-0000D7630000}"/>
    <cellStyle name="Normal 18 4 2 2 3 2 3" xfId="46867" xr:uid="{00000000-0005-0000-0000-0000D8630000}"/>
    <cellStyle name="Normal 18 4 2 2 3 2 4" xfId="30767" xr:uid="{00000000-0005-0000-0000-0000D9630000}"/>
    <cellStyle name="Normal 18 4 2 2 3 2 5" xfId="21198" xr:uid="{00000000-0005-0000-0000-0000DA630000}"/>
    <cellStyle name="Normal 18 4 2 2 3 3" xfId="11629" xr:uid="{00000000-0005-0000-0000-0000DB630000}"/>
    <cellStyle name="Normal 18 4 2 2 3 3 2" xfId="49903" xr:uid="{00000000-0005-0000-0000-0000DC630000}"/>
    <cellStyle name="Normal 18 4 2 2 3 3 3" xfId="33803" xr:uid="{00000000-0005-0000-0000-0000DD630000}"/>
    <cellStyle name="Normal 18 4 2 2 3 3 4" xfId="24234" xr:uid="{00000000-0005-0000-0000-0000DE630000}"/>
    <cellStyle name="Normal 18 4 2 2 3 4" xfId="5557" xr:uid="{00000000-0005-0000-0000-0000DF630000}"/>
    <cellStyle name="Normal 18 4 2 2 3 4 2" xfId="53398" xr:uid="{00000000-0005-0000-0000-0000E0630000}"/>
    <cellStyle name="Normal 18 4 2 2 3 4 3" xfId="37298" xr:uid="{00000000-0005-0000-0000-0000E1630000}"/>
    <cellStyle name="Normal 18 4 2 2 3 4 4" xfId="18162" xr:uid="{00000000-0005-0000-0000-0000E2630000}"/>
    <cellStyle name="Normal 18 4 2 2 3 5" xfId="43831" xr:uid="{00000000-0005-0000-0000-0000E3630000}"/>
    <cellStyle name="Normal 18 4 2 2 3 6" xfId="27731" xr:uid="{00000000-0005-0000-0000-0000E4630000}"/>
    <cellStyle name="Normal 18 4 2 2 3 7" xfId="14667" xr:uid="{00000000-0005-0000-0000-0000E5630000}"/>
    <cellStyle name="Normal 18 4 2 2 4" xfId="7583" xr:uid="{00000000-0005-0000-0000-0000E6630000}"/>
    <cellStyle name="Normal 18 4 2 2 4 2" xfId="39324" xr:uid="{00000000-0005-0000-0000-0000E7630000}"/>
    <cellStyle name="Normal 18 4 2 2 4 2 2" xfId="55424" xr:uid="{00000000-0005-0000-0000-0000E8630000}"/>
    <cellStyle name="Normal 18 4 2 2 4 3" xfId="45857" xr:uid="{00000000-0005-0000-0000-0000E9630000}"/>
    <cellStyle name="Normal 18 4 2 2 4 4" xfId="29757" xr:uid="{00000000-0005-0000-0000-0000EA630000}"/>
    <cellStyle name="Normal 18 4 2 2 4 5" xfId="20188" xr:uid="{00000000-0005-0000-0000-0000EB630000}"/>
    <cellStyle name="Normal 18 4 2 2 5" xfId="10619" xr:uid="{00000000-0005-0000-0000-0000EC630000}"/>
    <cellStyle name="Normal 18 4 2 2 5 2" xfId="48893" xr:uid="{00000000-0005-0000-0000-0000ED630000}"/>
    <cellStyle name="Normal 18 4 2 2 5 3" xfId="32793" xr:uid="{00000000-0005-0000-0000-0000EE630000}"/>
    <cellStyle name="Normal 18 4 2 2 5 4" xfId="23224" xr:uid="{00000000-0005-0000-0000-0000EF630000}"/>
    <cellStyle name="Normal 18 4 2 2 6" xfId="4547" xr:uid="{00000000-0005-0000-0000-0000F0630000}"/>
    <cellStyle name="Normal 18 4 2 2 6 2" xfId="52388" xr:uid="{00000000-0005-0000-0000-0000F1630000}"/>
    <cellStyle name="Normal 18 4 2 2 6 3" xfId="36288" xr:uid="{00000000-0005-0000-0000-0000F2630000}"/>
    <cellStyle name="Normal 18 4 2 2 6 4" xfId="17152" xr:uid="{00000000-0005-0000-0000-0000F3630000}"/>
    <cellStyle name="Normal 18 4 2 2 7" xfId="42821" xr:uid="{00000000-0005-0000-0000-0000F4630000}"/>
    <cellStyle name="Normal 18 4 2 2 8" xfId="26721" xr:uid="{00000000-0005-0000-0000-0000F5630000}"/>
    <cellStyle name="Normal 18 4 2 2 9" xfId="13657" xr:uid="{00000000-0005-0000-0000-0000F6630000}"/>
    <cellStyle name="Normal 18 4 2 3" xfId="2288" xr:uid="{00000000-0005-0000-0000-0000F7630000}"/>
    <cellStyle name="Normal 18 4 2 3 2" xfId="8822" xr:uid="{00000000-0005-0000-0000-0000F8630000}"/>
    <cellStyle name="Normal 18 4 2 3 2 2" xfId="40563" xr:uid="{00000000-0005-0000-0000-0000F9630000}"/>
    <cellStyle name="Normal 18 4 2 3 2 2 2" xfId="56663" xr:uid="{00000000-0005-0000-0000-0000FA630000}"/>
    <cellStyle name="Normal 18 4 2 3 2 3" xfId="47096" xr:uid="{00000000-0005-0000-0000-0000FB630000}"/>
    <cellStyle name="Normal 18 4 2 3 2 4" xfId="30996" xr:uid="{00000000-0005-0000-0000-0000FC630000}"/>
    <cellStyle name="Normal 18 4 2 3 2 5" xfId="21427" xr:uid="{00000000-0005-0000-0000-0000FD630000}"/>
    <cellStyle name="Normal 18 4 2 3 3" xfId="11858" xr:uid="{00000000-0005-0000-0000-0000FE630000}"/>
    <cellStyle name="Normal 18 4 2 3 3 2" xfId="50132" xr:uid="{00000000-0005-0000-0000-0000FF630000}"/>
    <cellStyle name="Normal 18 4 2 3 3 3" xfId="34032" xr:uid="{00000000-0005-0000-0000-000000640000}"/>
    <cellStyle name="Normal 18 4 2 3 3 4" xfId="24463" xr:uid="{00000000-0005-0000-0000-000001640000}"/>
    <cellStyle name="Normal 18 4 2 3 4" xfId="5786" xr:uid="{00000000-0005-0000-0000-000002640000}"/>
    <cellStyle name="Normal 18 4 2 3 4 2" xfId="53627" xr:uid="{00000000-0005-0000-0000-000003640000}"/>
    <cellStyle name="Normal 18 4 2 3 4 3" xfId="37527" xr:uid="{00000000-0005-0000-0000-000004640000}"/>
    <cellStyle name="Normal 18 4 2 3 4 4" xfId="18391" xr:uid="{00000000-0005-0000-0000-000005640000}"/>
    <cellStyle name="Normal 18 4 2 3 5" xfId="44060" xr:uid="{00000000-0005-0000-0000-000006640000}"/>
    <cellStyle name="Normal 18 4 2 3 6" xfId="27960" xr:uid="{00000000-0005-0000-0000-000007640000}"/>
    <cellStyle name="Normal 18 4 2 3 7" xfId="14896" xr:uid="{00000000-0005-0000-0000-000008640000}"/>
    <cellStyle name="Normal 18 4 2 4" xfId="1500" xr:uid="{00000000-0005-0000-0000-000009640000}"/>
    <cellStyle name="Normal 18 4 2 4 2" xfId="8034" xr:uid="{00000000-0005-0000-0000-00000A640000}"/>
    <cellStyle name="Normal 18 4 2 4 2 2" xfId="39775" xr:uid="{00000000-0005-0000-0000-00000B640000}"/>
    <cellStyle name="Normal 18 4 2 4 2 2 2" xfId="55875" xr:uid="{00000000-0005-0000-0000-00000C640000}"/>
    <cellStyle name="Normal 18 4 2 4 2 3" xfId="46308" xr:uid="{00000000-0005-0000-0000-00000D640000}"/>
    <cellStyle name="Normal 18 4 2 4 2 4" xfId="30208" xr:uid="{00000000-0005-0000-0000-00000E640000}"/>
    <cellStyle name="Normal 18 4 2 4 2 5" xfId="20639" xr:uid="{00000000-0005-0000-0000-00000F640000}"/>
    <cellStyle name="Normal 18 4 2 4 3" xfId="11070" xr:uid="{00000000-0005-0000-0000-000010640000}"/>
    <cellStyle name="Normal 18 4 2 4 3 2" xfId="49344" xr:uid="{00000000-0005-0000-0000-000011640000}"/>
    <cellStyle name="Normal 18 4 2 4 3 3" xfId="33244" xr:uid="{00000000-0005-0000-0000-000012640000}"/>
    <cellStyle name="Normal 18 4 2 4 3 4" xfId="23675" xr:uid="{00000000-0005-0000-0000-000013640000}"/>
    <cellStyle name="Normal 18 4 2 4 4" xfId="4998" xr:uid="{00000000-0005-0000-0000-000014640000}"/>
    <cellStyle name="Normal 18 4 2 4 4 2" xfId="52839" xr:uid="{00000000-0005-0000-0000-000015640000}"/>
    <cellStyle name="Normal 18 4 2 4 4 3" xfId="36739" xr:uid="{00000000-0005-0000-0000-000016640000}"/>
    <cellStyle name="Normal 18 4 2 4 4 4" xfId="17603" xr:uid="{00000000-0005-0000-0000-000017640000}"/>
    <cellStyle name="Normal 18 4 2 4 5" xfId="43272" xr:uid="{00000000-0005-0000-0000-000018640000}"/>
    <cellStyle name="Normal 18 4 2 4 6" xfId="27172" xr:uid="{00000000-0005-0000-0000-000019640000}"/>
    <cellStyle name="Normal 18 4 2 4 7" xfId="14108" xr:uid="{00000000-0005-0000-0000-00001A640000}"/>
    <cellStyle name="Normal 18 4 2 5" xfId="3988" xr:uid="{00000000-0005-0000-0000-00001B640000}"/>
    <cellStyle name="Normal 18 4 2 5 2" xfId="35729" xr:uid="{00000000-0005-0000-0000-00001C640000}"/>
    <cellStyle name="Normal 18 4 2 5 2 2" xfId="51829" xr:uid="{00000000-0005-0000-0000-00001D640000}"/>
    <cellStyle name="Normal 18 4 2 5 3" xfId="42262" xr:uid="{00000000-0005-0000-0000-00001E640000}"/>
    <cellStyle name="Normal 18 4 2 5 4" xfId="26162" xr:uid="{00000000-0005-0000-0000-00001F640000}"/>
    <cellStyle name="Normal 18 4 2 5 5" xfId="16593" xr:uid="{00000000-0005-0000-0000-000020640000}"/>
    <cellStyle name="Normal 18 4 2 6" xfId="7024" xr:uid="{00000000-0005-0000-0000-000021640000}"/>
    <cellStyle name="Normal 18 4 2 6 2" xfId="38765" xr:uid="{00000000-0005-0000-0000-000022640000}"/>
    <cellStyle name="Normal 18 4 2 6 2 2" xfId="54865" xr:uid="{00000000-0005-0000-0000-000023640000}"/>
    <cellStyle name="Normal 18 4 2 6 3" xfId="45298" xr:uid="{00000000-0005-0000-0000-000024640000}"/>
    <cellStyle name="Normal 18 4 2 6 4" xfId="29198" xr:uid="{00000000-0005-0000-0000-000025640000}"/>
    <cellStyle name="Normal 18 4 2 6 5" xfId="19629" xr:uid="{00000000-0005-0000-0000-000026640000}"/>
    <cellStyle name="Normal 18 4 2 7" xfId="10060" xr:uid="{00000000-0005-0000-0000-000027640000}"/>
    <cellStyle name="Normal 18 4 2 7 2" xfId="48334" xr:uid="{00000000-0005-0000-0000-000028640000}"/>
    <cellStyle name="Normal 18 4 2 7 3" xfId="32234" xr:uid="{00000000-0005-0000-0000-000029640000}"/>
    <cellStyle name="Normal 18 4 2 7 4" xfId="22665" xr:uid="{00000000-0005-0000-0000-00002A640000}"/>
    <cellStyle name="Normal 18 4 2 8" xfId="3430" xr:uid="{00000000-0005-0000-0000-00002B640000}"/>
    <cellStyle name="Normal 18 4 2 8 2" xfId="51271" xr:uid="{00000000-0005-0000-0000-00002C640000}"/>
    <cellStyle name="Normal 18 4 2 8 3" xfId="35171" xr:uid="{00000000-0005-0000-0000-00002D640000}"/>
    <cellStyle name="Normal 18 4 2 8 4" xfId="16035" xr:uid="{00000000-0005-0000-0000-00002E640000}"/>
    <cellStyle name="Normal 18 4 2 9" xfId="41704" xr:uid="{00000000-0005-0000-0000-00002F640000}"/>
    <cellStyle name="Normal 18 4 3" xfId="544" xr:uid="{00000000-0005-0000-0000-000030640000}"/>
    <cellStyle name="Normal 18 4 3 2" xfId="2574" xr:uid="{00000000-0005-0000-0000-000031640000}"/>
    <cellStyle name="Normal 18 4 3 2 2" xfId="9106" xr:uid="{00000000-0005-0000-0000-000032640000}"/>
    <cellStyle name="Normal 18 4 3 2 2 2" xfId="40847" xr:uid="{00000000-0005-0000-0000-000033640000}"/>
    <cellStyle name="Normal 18 4 3 2 2 2 2" xfId="56947" xr:uid="{00000000-0005-0000-0000-000034640000}"/>
    <cellStyle name="Normal 18 4 3 2 2 3" xfId="47380" xr:uid="{00000000-0005-0000-0000-000035640000}"/>
    <cellStyle name="Normal 18 4 3 2 2 4" xfId="31280" xr:uid="{00000000-0005-0000-0000-000036640000}"/>
    <cellStyle name="Normal 18 4 3 2 2 5" xfId="21711" xr:uid="{00000000-0005-0000-0000-000037640000}"/>
    <cellStyle name="Normal 18 4 3 2 3" xfId="12142" xr:uid="{00000000-0005-0000-0000-000038640000}"/>
    <cellStyle name="Normal 18 4 3 2 3 2" xfId="50416" xr:uid="{00000000-0005-0000-0000-000039640000}"/>
    <cellStyle name="Normal 18 4 3 2 3 3" xfId="34316" xr:uid="{00000000-0005-0000-0000-00003A640000}"/>
    <cellStyle name="Normal 18 4 3 2 3 4" xfId="24747" xr:uid="{00000000-0005-0000-0000-00003B640000}"/>
    <cellStyle name="Normal 18 4 3 2 4" xfId="6070" xr:uid="{00000000-0005-0000-0000-00003C640000}"/>
    <cellStyle name="Normal 18 4 3 2 4 2" xfId="53911" xr:uid="{00000000-0005-0000-0000-00003D640000}"/>
    <cellStyle name="Normal 18 4 3 2 4 3" xfId="37811" xr:uid="{00000000-0005-0000-0000-00003E640000}"/>
    <cellStyle name="Normal 18 4 3 2 4 4" xfId="18675" xr:uid="{00000000-0005-0000-0000-00003F640000}"/>
    <cellStyle name="Normal 18 4 3 2 5" xfId="44344" xr:uid="{00000000-0005-0000-0000-000040640000}"/>
    <cellStyle name="Normal 18 4 3 2 6" xfId="28244" xr:uid="{00000000-0005-0000-0000-000041640000}"/>
    <cellStyle name="Normal 18 4 3 2 7" xfId="15180" xr:uid="{00000000-0005-0000-0000-000042640000}"/>
    <cellStyle name="Normal 18 4 3 3" xfId="1323" xr:uid="{00000000-0005-0000-0000-000043640000}"/>
    <cellStyle name="Normal 18 4 3 3 2" xfId="7857" xr:uid="{00000000-0005-0000-0000-000044640000}"/>
    <cellStyle name="Normal 18 4 3 3 2 2" xfId="39598" xr:uid="{00000000-0005-0000-0000-000045640000}"/>
    <cellStyle name="Normal 18 4 3 3 2 2 2" xfId="55698" xr:uid="{00000000-0005-0000-0000-000046640000}"/>
    <cellStyle name="Normal 18 4 3 3 2 3" xfId="46131" xr:uid="{00000000-0005-0000-0000-000047640000}"/>
    <cellStyle name="Normal 18 4 3 3 2 4" xfId="30031" xr:uid="{00000000-0005-0000-0000-000048640000}"/>
    <cellStyle name="Normal 18 4 3 3 2 5" xfId="20462" xr:uid="{00000000-0005-0000-0000-000049640000}"/>
    <cellStyle name="Normal 18 4 3 3 3" xfId="10893" xr:uid="{00000000-0005-0000-0000-00004A640000}"/>
    <cellStyle name="Normal 18 4 3 3 3 2" xfId="49167" xr:uid="{00000000-0005-0000-0000-00004B640000}"/>
    <cellStyle name="Normal 18 4 3 3 3 3" xfId="33067" xr:uid="{00000000-0005-0000-0000-00004C640000}"/>
    <cellStyle name="Normal 18 4 3 3 3 4" xfId="23498" xr:uid="{00000000-0005-0000-0000-00004D640000}"/>
    <cellStyle name="Normal 18 4 3 3 4" xfId="4821" xr:uid="{00000000-0005-0000-0000-00004E640000}"/>
    <cellStyle name="Normal 18 4 3 3 4 2" xfId="52662" xr:uid="{00000000-0005-0000-0000-00004F640000}"/>
    <cellStyle name="Normal 18 4 3 3 4 3" xfId="36562" xr:uid="{00000000-0005-0000-0000-000050640000}"/>
    <cellStyle name="Normal 18 4 3 3 4 4" xfId="17426" xr:uid="{00000000-0005-0000-0000-000051640000}"/>
    <cellStyle name="Normal 18 4 3 3 5" xfId="43095" xr:uid="{00000000-0005-0000-0000-000052640000}"/>
    <cellStyle name="Normal 18 4 3 3 6" xfId="26995" xr:uid="{00000000-0005-0000-0000-000053640000}"/>
    <cellStyle name="Normal 18 4 3 3 7" xfId="13931" xr:uid="{00000000-0005-0000-0000-000054640000}"/>
    <cellStyle name="Normal 18 4 3 4" xfId="6847" xr:uid="{00000000-0005-0000-0000-000055640000}"/>
    <cellStyle name="Normal 18 4 3 4 2" xfId="38588" xr:uid="{00000000-0005-0000-0000-000056640000}"/>
    <cellStyle name="Normal 18 4 3 4 2 2" xfId="54688" xr:uid="{00000000-0005-0000-0000-000057640000}"/>
    <cellStyle name="Normal 18 4 3 4 3" xfId="45121" xr:uid="{00000000-0005-0000-0000-000058640000}"/>
    <cellStyle name="Normal 18 4 3 4 4" xfId="29021" xr:uid="{00000000-0005-0000-0000-000059640000}"/>
    <cellStyle name="Normal 18 4 3 4 5" xfId="19452" xr:uid="{00000000-0005-0000-0000-00005A640000}"/>
    <cellStyle name="Normal 18 4 3 5" xfId="9883" xr:uid="{00000000-0005-0000-0000-00005B640000}"/>
    <cellStyle name="Normal 18 4 3 5 2" xfId="48157" xr:uid="{00000000-0005-0000-0000-00005C640000}"/>
    <cellStyle name="Normal 18 4 3 5 3" xfId="32057" xr:uid="{00000000-0005-0000-0000-00005D640000}"/>
    <cellStyle name="Normal 18 4 3 5 4" xfId="22488" xr:uid="{00000000-0005-0000-0000-00005E640000}"/>
    <cellStyle name="Normal 18 4 3 6" xfId="3811" xr:uid="{00000000-0005-0000-0000-00005F640000}"/>
    <cellStyle name="Normal 18 4 3 6 2" xfId="51652" xr:uid="{00000000-0005-0000-0000-000060640000}"/>
    <cellStyle name="Normal 18 4 3 6 3" xfId="35552" xr:uid="{00000000-0005-0000-0000-000061640000}"/>
    <cellStyle name="Normal 18 4 3 6 4" xfId="16416" xr:uid="{00000000-0005-0000-0000-000062640000}"/>
    <cellStyle name="Normal 18 4 3 7" xfId="42085" xr:uid="{00000000-0005-0000-0000-000063640000}"/>
    <cellStyle name="Normal 18 4 3 8" xfId="25985" xr:uid="{00000000-0005-0000-0000-000064640000}"/>
    <cellStyle name="Normal 18 4 3 9" xfId="12921" xr:uid="{00000000-0005-0000-0000-000065640000}"/>
    <cellStyle name="Normal 18 4 4" xfId="837" xr:uid="{00000000-0005-0000-0000-000066640000}"/>
    <cellStyle name="Normal 18 4 4 2" xfId="2865" xr:uid="{00000000-0005-0000-0000-000067640000}"/>
    <cellStyle name="Normal 18 4 4 2 2" xfId="9397" xr:uid="{00000000-0005-0000-0000-000068640000}"/>
    <cellStyle name="Normal 18 4 4 2 2 2" xfId="41138" xr:uid="{00000000-0005-0000-0000-000069640000}"/>
    <cellStyle name="Normal 18 4 4 2 2 2 2" xfId="57238" xr:uid="{00000000-0005-0000-0000-00006A640000}"/>
    <cellStyle name="Normal 18 4 4 2 2 3" xfId="47671" xr:uid="{00000000-0005-0000-0000-00006B640000}"/>
    <cellStyle name="Normal 18 4 4 2 2 4" xfId="31571" xr:uid="{00000000-0005-0000-0000-00006C640000}"/>
    <cellStyle name="Normal 18 4 4 2 2 5" xfId="22002" xr:uid="{00000000-0005-0000-0000-00006D640000}"/>
    <cellStyle name="Normal 18 4 4 2 3" xfId="12433" xr:uid="{00000000-0005-0000-0000-00006E640000}"/>
    <cellStyle name="Normal 18 4 4 2 3 2" xfId="50707" xr:uid="{00000000-0005-0000-0000-00006F640000}"/>
    <cellStyle name="Normal 18 4 4 2 3 3" xfId="34607" xr:uid="{00000000-0005-0000-0000-000070640000}"/>
    <cellStyle name="Normal 18 4 4 2 3 4" xfId="25038" xr:uid="{00000000-0005-0000-0000-000071640000}"/>
    <cellStyle name="Normal 18 4 4 2 4" xfId="6361" xr:uid="{00000000-0005-0000-0000-000072640000}"/>
    <cellStyle name="Normal 18 4 4 2 4 2" xfId="54202" xr:uid="{00000000-0005-0000-0000-000073640000}"/>
    <cellStyle name="Normal 18 4 4 2 4 3" xfId="38102" xr:uid="{00000000-0005-0000-0000-000074640000}"/>
    <cellStyle name="Normal 18 4 4 2 4 4" xfId="18966" xr:uid="{00000000-0005-0000-0000-000075640000}"/>
    <cellStyle name="Normal 18 4 4 2 5" xfId="44635" xr:uid="{00000000-0005-0000-0000-000076640000}"/>
    <cellStyle name="Normal 18 4 4 2 6" xfId="28535" xr:uid="{00000000-0005-0000-0000-000077640000}"/>
    <cellStyle name="Normal 18 4 4 2 7" xfId="15471" xr:uid="{00000000-0005-0000-0000-000078640000}"/>
    <cellStyle name="Normal 18 4 4 3" xfId="1847" xr:uid="{00000000-0005-0000-0000-000079640000}"/>
    <cellStyle name="Normal 18 4 4 3 2" xfId="8381" xr:uid="{00000000-0005-0000-0000-00007A640000}"/>
    <cellStyle name="Normal 18 4 4 3 2 2" xfId="40122" xr:uid="{00000000-0005-0000-0000-00007B640000}"/>
    <cellStyle name="Normal 18 4 4 3 2 2 2" xfId="56222" xr:uid="{00000000-0005-0000-0000-00007C640000}"/>
    <cellStyle name="Normal 18 4 4 3 2 3" xfId="46655" xr:uid="{00000000-0005-0000-0000-00007D640000}"/>
    <cellStyle name="Normal 18 4 4 3 2 4" xfId="30555" xr:uid="{00000000-0005-0000-0000-00007E640000}"/>
    <cellStyle name="Normal 18 4 4 3 2 5" xfId="20986" xr:uid="{00000000-0005-0000-0000-00007F640000}"/>
    <cellStyle name="Normal 18 4 4 3 3" xfId="11417" xr:uid="{00000000-0005-0000-0000-000080640000}"/>
    <cellStyle name="Normal 18 4 4 3 3 2" xfId="49691" xr:uid="{00000000-0005-0000-0000-000081640000}"/>
    <cellStyle name="Normal 18 4 4 3 3 3" xfId="33591" xr:uid="{00000000-0005-0000-0000-000082640000}"/>
    <cellStyle name="Normal 18 4 4 3 3 4" xfId="24022" xr:uid="{00000000-0005-0000-0000-000083640000}"/>
    <cellStyle name="Normal 18 4 4 3 4" xfId="5345" xr:uid="{00000000-0005-0000-0000-000084640000}"/>
    <cellStyle name="Normal 18 4 4 3 4 2" xfId="53186" xr:uid="{00000000-0005-0000-0000-000085640000}"/>
    <cellStyle name="Normal 18 4 4 3 4 3" xfId="37086" xr:uid="{00000000-0005-0000-0000-000086640000}"/>
    <cellStyle name="Normal 18 4 4 3 4 4" xfId="17950" xr:uid="{00000000-0005-0000-0000-000087640000}"/>
    <cellStyle name="Normal 18 4 4 3 5" xfId="43619" xr:uid="{00000000-0005-0000-0000-000088640000}"/>
    <cellStyle name="Normal 18 4 4 3 6" xfId="27519" xr:uid="{00000000-0005-0000-0000-000089640000}"/>
    <cellStyle name="Normal 18 4 4 3 7" xfId="14455" xr:uid="{00000000-0005-0000-0000-00008A640000}"/>
    <cellStyle name="Normal 18 4 4 4" xfId="7371" xr:uid="{00000000-0005-0000-0000-00008B640000}"/>
    <cellStyle name="Normal 18 4 4 4 2" xfId="39112" xr:uid="{00000000-0005-0000-0000-00008C640000}"/>
    <cellStyle name="Normal 18 4 4 4 2 2" xfId="55212" xr:uid="{00000000-0005-0000-0000-00008D640000}"/>
    <cellStyle name="Normal 18 4 4 4 3" xfId="45645" xr:uid="{00000000-0005-0000-0000-00008E640000}"/>
    <cellStyle name="Normal 18 4 4 4 4" xfId="29545" xr:uid="{00000000-0005-0000-0000-00008F640000}"/>
    <cellStyle name="Normal 18 4 4 4 5" xfId="19976" xr:uid="{00000000-0005-0000-0000-000090640000}"/>
    <cellStyle name="Normal 18 4 4 5" xfId="10407" xr:uid="{00000000-0005-0000-0000-000091640000}"/>
    <cellStyle name="Normal 18 4 4 5 2" xfId="48681" xr:uid="{00000000-0005-0000-0000-000092640000}"/>
    <cellStyle name="Normal 18 4 4 5 3" xfId="32581" xr:uid="{00000000-0005-0000-0000-000093640000}"/>
    <cellStyle name="Normal 18 4 4 5 4" xfId="23012" xr:uid="{00000000-0005-0000-0000-000094640000}"/>
    <cellStyle name="Normal 18 4 4 6" xfId="4335" xr:uid="{00000000-0005-0000-0000-000095640000}"/>
    <cellStyle name="Normal 18 4 4 6 2" xfId="52176" xr:uid="{00000000-0005-0000-0000-000096640000}"/>
    <cellStyle name="Normal 18 4 4 6 3" xfId="36076" xr:uid="{00000000-0005-0000-0000-000097640000}"/>
    <cellStyle name="Normal 18 4 4 6 4" xfId="16940" xr:uid="{00000000-0005-0000-0000-000098640000}"/>
    <cellStyle name="Normal 18 4 4 7" xfId="42609" xr:uid="{00000000-0005-0000-0000-000099640000}"/>
    <cellStyle name="Normal 18 4 4 8" xfId="26509" xr:uid="{00000000-0005-0000-0000-00009A640000}"/>
    <cellStyle name="Normal 18 4 4 9" xfId="13445" xr:uid="{00000000-0005-0000-0000-00009B640000}"/>
    <cellStyle name="Normal 18 4 5" xfId="2111" xr:uid="{00000000-0005-0000-0000-00009C640000}"/>
    <cellStyle name="Normal 18 4 5 2" xfId="8645" xr:uid="{00000000-0005-0000-0000-00009D640000}"/>
    <cellStyle name="Normal 18 4 5 2 2" xfId="40386" xr:uid="{00000000-0005-0000-0000-00009E640000}"/>
    <cellStyle name="Normal 18 4 5 2 2 2" xfId="56486" xr:uid="{00000000-0005-0000-0000-00009F640000}"/>
    <cellStyle name="Normal 18 4 5 2 3" xfId="46919" xr:uid="{00000000-0005-0000-0000-0000A0640000}"/>
    <cellStyle name="Normal 18 4 5 2 4" xfId="30819" xr:uid="{00000000-0005-0000-0000-0000A1640000}"/>
    <cellStyle name="Normal 18 4 5 2 5" xfId="21250" xr:uid="{00000000-0005-0000-0000-0000A2640000}"/>
    <cellStyle name="Normal 18 4 5 3" xfId="11681" xr:uid="{00000000-0005-0000-0000-0000A3640000}"/>
    <cellStyle name="Normal 18 4 5 3 2" xfId="49955" xr:uid="{00000000-0005-0000-0000-0000A4640000}"/>
    <cellStyle name="Normal 18 4 5 3 3" xfId="33855" xr:uid="{00000000-0005-0000-0000-0000A5640000}"/>
    <cellStyle name="Normal 18 4 5 3 4" xfId="24286" xr:uid="{00000000-0005-0000-0000-0000A6640000}"/>
    <cellStyle name="Normal 18 4 5 4" xfId="5609" xr:uid="{00000000-0005-0000-0000-0000A7640000}"/>
    <cellStyle name="Normal 18 4 5 4 2" xfId="53450" xr:uid="{00000000-0005-0000-0000-0000A8640000}"/>
    <cellStyle name="Normal 18 4 5 4 3" xfId="37350" xr:uid="{00000000-0005-0000-0000-0000A9640000}"/>
    <cellStyle name="Normal 18 4 5 4 4" xfId="18214" xr:uid="{00000000-0005-0000-0000-0000AA640000}"/>
    <cellStyle name="Normal 18 4 5 5" xfId="43883" xr:uid="{00000000-0005-0000-0000-0000AB640000}"/>
    <cellStyle name="Normal 18 4 5 6" xfId="27783" xr:uid="{00000000-0005-0000-0000-0000AC640000}"/>
    <cellStyle name="Normal 18 4 5 7" xfId="14719" xr:uid="{00000000-0005-0000-0000-0000AD640000}"/>
    <cellStyle name="Normal 18 4 6" xfId="1164" xr:uid="{00000000-0005-0000-0000-0000AE640000}"/>
    <cellStyle name="Normal 18 4 6 2" xfId="7698" xr:uid="{00000000-0005-0000-0000-0000AF640000}"/>
    <cellStyle name="Normal 18 4 6 2 2" xfId="39439" xr:uid="{00000000-0005-0000-0000-0000B0640000}"/>
    <cellStyle name="Normal 18 4 6 2 2 2" xfId="55539" xr:uid="{00000000-0005-0000-0000-0000B1640000}"/>
    <cellStyle name="Normal 18 4 6 2 3" xfId="45972" xr:uid="{00000000-0005-0000-0000-0000B2640000}"/>
    <cellStyle name="Normal 18 4 6 2 4" xfId="29872" xr:uid="{00000000-0005-0000-0000-0000B3640000}"/>
    <cellStyle name="Normal 18 4 6 2 5" xfId="20303" xr:uid="{00000000-0005-0000-0000-0000B4640000}"/>
    <cellStyle name="Normal 18 4 6 3" xfId="10734" xr:uid="{00000000-0005-0000-0000-0000B5640000}"/>
    <cellStyle name="Normal 18 4 6 3 2" xfId="49008" xr:uid="{00000000-0005-0000-0000-0000B6640000}"/>
    <cellStyle name="Normal 18 4 6 3 3" xfId="32908" xr:uid="{00000000-0005-0000-0000-0000B7640000}"/>
    <cellStyle name="Normal 18 4 6 3 4" xfId="23339" xr:uid="{00000000-0005-0000-0000-0000B8640000}"/>
    <cellStyle name="Normal 18 4 6 4" xfId="4662" xr:uid="{00000000-0005-0000-0000-0000B9640000}"/>
    <cellStyle name="Normal 18 4 6 4 2" xfId="52503" xr:uid="{00000000-0005-0000-0000-0000BA640000}"/>
    <cellStyle name="Normal 18 4 6 4 3" xfId="36403" xr:uid="{00000000-0005-0000-0000-0000BB640000}"/>
    <cellStyle name="Normal 18 4 6 4 4" xfId="17267" xr:uid="{00000000-0005-0000-0000-0000BC640000}"/>
    <cellStyle name="Normal 18 4 6 5" xfId="42936" xr:uid="{00000000-0005-0000-0000-0000BD640000}"/>
    <cellStyle name="Normal 18 4 6 6" xfId="26836" xr:uid="{00000000-0005-0000-0000-0000BE640000}"/>
    <cellStyle name="Normal 18 4 6 7" xfId="13772" xr:uid="{00000000-0005-0000-0000-0000BF640000}"/>
    <cellStyle name="Normal 18 4 7" xfId="3652" xr:uid="{00000000-0005-0000-0000-0000C0640000}"/>
    <cellStyle name="Normal 18 4 7 2" xfId="35393" xr:uid="{00000000-0005-0000-0000-0000C1640000}"/>
    <cellStyle name="Normal 18 4 7 2 2" xfId="51493" xr:uid="{00000000-0005-0000-0000-0000C2640000}"/>
    <cellStyle name="Normal 18 4 7 3" xfId="41926" xr:uid="{00000000-0005-0000-0000-0000C3640000}"/>
    <cellStyle name="Normal 18 4 7 4" xfId="25826" xr:uid="{00000000-0005-0000-0000-0000C4640000}"/>
    <cellStyle name="Normal 18 4 7 5" xfId="16257" xr:uid="{00000000-0005-0000-0000-0000C5640000}"/>
    <cellStyle name="Normal 18 4 8" xfId="6688" xr:uid="{00000000-0005-0000-0000-0000C6640000}"/>
    <cellStyle name="Normal 18 4 8 2" xfId="38429" xr:uid="{00000000-0005-0000-0000-0000C7640000}"/>
    <cellStyle name="Normal 18 4 8 2 2" xfId="54529" xr:uid="{00000000-0005-0000-0000-0000C8640000}"/>
    <cellStyle name="Normal 18 4 8 3" xfId="44962" xr:uid="{00000000-0005-0000-0000-0000C9640000}"/>
    <cellStyle name="Normal 18 4 8 4" xfId="28862" xr:uid="{00000000-0005-0000-0000-0000CA640000}"/>
    <cellStyle name="Normal 18 4 8 5" xfId="19293" xr:uid="{00000000-0005-0000-0000-0000CB640000}"/>
    <cellStyle name="Normal 18 4 9" xfId="9724" xr:uid="{00000000-0005-0000-0000-0000CC640000}"/>
    <cellStyle name="Normal 18 4 9 2" xfId="47998" xr:uid="{00000000-0005-0000-0000-0000CD640000}"/>
    <cellStyle name="Normal 18 4 9 3" xfId="31898" xr:uid="{00000000-0005-0000-0000-0000CE640000}"/>
    <cellStyle name="Normal 18 4 9 4" xfId="22329" xr:uid="{00000000-0005-0000-0000-0000CF640000}"/>
    <cellStyle name="Normal 18 5" xfId="163" xr:uid="{00000000-0005-0000-0000-0000D0640000}"/>
    <cellStyle name="Normal 18 5 10" xfId="3209" xr:uid="{00000000-0005-0000-0000-0000D1640000}"/>
    <cellStyle name="Normal 18 5 10 2" xfId="51051" xr:uid="{00000000-0005-0000-0000-0000D2640000}"/>
    <cellStyle name="Normal 18 5 10 3" xfId="34951" xr:uid="{00000000-0005-0000-0000-0000D3640000}"/>
    <cellStyle name="Normal 18 5 10 4" xfId="15815" xr:uid="{00000000-0005-0000-0000-0000D4640000}"/>
    <cellStyle name="Normal 18 5 11" xfId="41484" xr:uid="{00000000-0005-0000-0000-0000D5640000}"/>
    <cellStyle name="Normal 18 5 12" xfId="25384" xr:uid="{00000000-0005-0000-0000-0000D6640000}"/>
    <cellStyle name="Normal 18 5 13" xfId="12779" xr:uid="{00000000-0005-0000-0000-0000D7640000}"/>
    <cellStyle name="Normal 18 5 2" xfId="340" xr:uid="{00000000-0005-0000-0000-0000D8640000}"/>
    <cellStyle name="Normal 18 5 2 10" xfId="13169" xr:uid="{00000000-0005-0000-0000-0000D9640000}"/>
    <cellStyle name="Normal 18 5 2 2" xfId="2359" xr:uid="{00000000-0005-0000-0000-0000DA640000}"/>
    <cellStyle name="Normal 18 5 2 2 2" xfId="8893" xr:uid="{00000000-0005-0000-0000-0000DB640000}"/>
    <cellStyle name="Normal 18 5 2 2 2 2" xfId="40634" xr:uid="{00000000-0005-0000-0000-0000DC640000}"/>
    <cellStyle name="Normal 18 5 2 2 2 2 2" xfId="56734" xr:uid="{00000000-0005-0000-0000-0000DD640000}"/>
    <cellStyle name="Normal 18 5 2 2 2 3" xfId="47167" xr:uid="{00000000-0005-0000-0000-0000DE640000}"/>
    <cellStyle name="Normal 18 5 2 2 2 4" xfId="31067" xr:uid="{00000000-0005-0000-0000-0000DF640000}"/>
    <cellStyle name="Normal 18 5 2 2 2 5" xfId="21498" xr:uid="{00000000-0005-0000-0000-0000E0640000}"/>
    <cellStyle name="Normal 18 5 2 2 3" xfId="11929" xr:uid="{00000000-0005-0000-0000-0000E1640000}"/>
    <cellStyle name="Normal 18 5 2 2 3 2" xfId="50203" xr:uid="{00000000-0005-0000-0000-0000E2640000}"/>
    <cellStyle name="Normal 18 5 2 2 3 3" xfId="34103" xr:uid="{00000000-0005-0000-0000-0000E3640000}"/>
    <cellStyle name="Normal 18 5 2 2 3 4" xfId="24534" xr:uid="{00000000-0005-0000-0000-0000E4640000}"/>
    <cellStyle name="Normal 18 5 2 2 4" xfId="5857" xr:uid="{00000000-0005-0000-0000-0000E5640000}"/>
    <cellStyle name="Normal 18 5 2 2 4 2" xfId="53698" xr:uid="{00000000-0005-0000-0000-0000E6640000}"/>
    <cellStyle name="Normal 18 5 2 2 4 3" xfId="37598" xr:uid="{00000000-0005-0000-0000-0000E7640000}"/>
    <cellStyle name="Normal 18 5 2 2 4 4" xfId="18462" xr:uid="{00000000-0005-0000-0000-0000E8640000}"/>
    <cellStyle name="Normal 18 5 2 2 5" xfId="44131" xr:uid="{00000000-0005-0000-0000-0000E9640000}"/>
    <cellStyle name="Normal 18 5 2 2 6" xfId="28031" xr:uid="{00000000-0005-0000-0000-0000EA640000}"/>
    <cellStyle name="Normal 18 5 2 2 7" xfId="14967" xr:uid="{00000000-0005-0000-0000-0000EB640000}"/>
    <cellStyle name="Normal 18 5 2 3" xfId="1571" xr:uid="{00000000-0005-0000-0000-0000EC640000}"/>
    <cellStyle name="Normal 18 5 2 3 2" xfId="8105" xr:uid="{00000000-0005-0000-0000-0000ED640000}"/>
    <cellStyle name="Normal 18 5 2 3 2 2" xfId="39846" xr:uid="{00000000-0005-0000-0000-0000EE640000}"/>
    <cellStyle name="Normal 18 5 2 3 2 2 2" xfId="55946" xr:uid="{00000000-0005-0000-0000-0000EF640000}"/>
    <cellStyle name="Normal 18 5 2 3 2 3" xfId="46379" xr:uid="{00000000-0005-0000-0000-0000F0640000}"/>
    <cellStyle name="Normal 18 5 2 3 2 4" xfId="30279" xr:uid="{00000000-0005-0000-0000-0000F1640000}"/>
    <cellStyle name="Normal 18 5 2 3 2 5" xfId="20710" xr:uid="{00000000-0005-0000-0000-0000F2640000}"/>
    <cellStyle name="Normal 18 5 2 3 3" xfId="11141" xr:uid="{00000000-0005-0000-0000-0000F3640000}"/>
    <cellStyle name="Normal 18 5 2 3 3 2" xfId="49415" xr:uid="{00000000-0005-0000-0000-0000F4640000}"/>
    <cellStyle name="Normal 18 5 2 3 3 3" xfId="33315" xr:uid="{00000000-0005-0000-0000-0000F5640000}"/>
    <cellStyle name="Normal 18 5 2 3 3 4" xfId="23746" xr:uid="{00000000-0005-0000-0000-0000F6640000}"/>
    <cellStyle name="Normal 18 5 2 3 4" xfId="5069" xr:uid="{00000000-0005-0000-0000-0000F7640000}"/>
    <cellStyle name="Normal 18 5 2 3 4 2" xfId="52910" xr:uid="{00000000-0005-0000-0000-0000F8640000}"/>
    <cellStyle name="Normal 18 5 2 3 4 3" xfId="36810" xr:uid="{00000000-0005-0000-0000-0000F9640000}"/>
    <cellStyle name="Normal 18 5 2 3 4 4" xfId="17674" xr:uid="{00000000-0005-0000-0000-0000FA640000}"/>
    <cellStyle name="Normal 18 5 2 3 5" xfId="43343" xr:uid="{00000000-0005-0000-0000-0000FB640000}"/>
    <cellStyle name="Normal 18 5 2 3 6" xfId="27243" xr:uid="{00000000-0005-0000-0000-0000FC640000}"/>
    <cellStyle name="Normal 18 5 2 3 7" xfId="14179" xr:uid="{00000000-0005-0000-0000-0000FD640000}"/>
    <cellStyle name="Normal 18 5 2 4" xfId="4059" xr:uid="{00000000-0005-0000-0000-0000FE640000}"/>
    <cellStyle name="Normal 18 5 2 4 2" xfId="35800" xr:uid="{00000000-0005-0000-0000-0000FF640000}"/>
    <cellStyle name="Normal 18 5 2 4 2 2" xfId="51900" xr:uid="{00000000-0005-0000-0000-000000650000}"/>
    <cellStyle name="Normal 18 5 2 4 3" xfId="42333" xr:uid="{00000000-0005-0000-0000-000001650000}"/>
    <cellStyle name="Normal 18 5 2 4 4" xfId="26233" xr:uid="{00000000-0005-0000-0000-000002650000}"/>
    <cellStyle name="Normal 18 5 2 4 5" xfId="16664" xr:uid="{00000000-0005-0000-0000-000003650000}"/>
    <cellStyle name="Normal 18 5 2 5" xfId="7095" xr:uid="{00000000-0005-0000-0000-000004650000}"/>
    <cellStyle name="Normal 18 5 2 5 2" xfId="38836" xr:uid="{00000000-0005-0000-0000-000005650000}"/>
    <cellStyle name="Normal 18 5 2 5 2 2" xfId="54936" xr:uid="{00000000-0005-0000-0000-000006650000}"/>
    <cellStyle name="Normal 18 5 2 5 3" xfId="45369" xr:uid="{00000000-0005-0000-0000-000007650000}"/>
    <cellStyle name="Normal 18 5 2 5 4" xfId="29269" xr:uid="{00000000-0005-0000-0000-000008650000}"/>
    <cellStyle name="Normal 18 5 2 5 5" xfId="19700" xr:uid="{00000000-0005-0000-0000-000009650000}"/>
    <cellStyle name="Normal 18 5 2 6" xfId="10131" xr:uid="{00000000-0005-0000-0000-00000A650000}"/>
    <cellStyle name="Normal 18 5 2 6 2" xfId="48405" xr:uid="{00000000-0005-0000-0000-00000B650000}"/>
    <cellStyle name="Normal 18 5 2 6 3" xfId="32305" xr:uid="{00000000-0005-0000-0000-00000C650000}"/>
    <cellStyle name="Normal 18 5 2 6 4" xfId="22736" xr:uid="{00000000-0005-0000-0000-00000D650000}"/>
    <cellStyle name="Normal 18 5 2 7" xfId="3447" xr:uid="{00000000-0005-0000-0000-00000E650000}"/>
    <cellStyle name="Normal 18 5 2 7 2" xfId="51288" xr:uid="{00000000-0005-0000-0000-00000F650000}"/>
    <cellStyle name="Normal 18 5 2 7 3" xfId="35188" xr:uid="{00000000-0005-0000-0000-000010650000}"/>
    <cellStyle name="Normal 18 5 2 7 4" xfId="16052" xr:uid="{00000000-0005-0000-0000-000011650000}"/>
    <cellStyle name="Normal 18 5 2 8" xfId="41721" xr:uid="{00000000-0005-0000-0000-000012650000}"/>
    <cellStyle name="Normal 18 5 2 9" xfId="25621" xr:uid="{00000000-0005-0000-0000-000013650000}"/>
    <cellStyle name="Normal 18 5 3" xfId="598" xr:uid="{00000000-0005-0000-0000-000014650000}"/>
    <cellStyle name="Normal 18 5 3 2" xfId="2626" xr:uid="{00000000-0005-0000-0000-000015650000}"/>
    <cellStyle name="Normal 18 5 3 2 2" xfId="9158" xr:uid="{00000000-0005-0000-0000-000016650000}"/>
    <cellStyle name="Normal 18 5 3 2 2 2" xfId="40899" xr:uid="{00000000-0005-0000-0000-000017650000}"/>
    <cellStyle name="Normal 18 5 3 2 2 2 2" xfId="56999" xr:uid="{00000000-0005-0000-0000-000018650000}"/>
    <cellStyle name="Normal 18 5 3 2 2 3" xfId="47432" xr:uid="{00000000-0005-0000-0000-000019650000}"/>
    <cellStyle name="Normal 18 5 3 2 2 4" xfId="31332" xr:uid="{00000000-0005-0000-0000-00001A650000}"/>
    <cellStyle name="Normal 18 5 3 2 2 5" xfId="21763" xr:uid="{00000000-0005-0000-0000-00001B650000}"/>
    <cellStyle name="Normal 18 5 3 2 3" xfId="12194" xr:uid="{00000000-0005-0000-0000-00001C650000}"/>
    <cellStyle name="Normal 18 5 3 2 3 2" xfId="50468" xr:uid="{00000000-0005-0000-0000-00001D650000}"/>
    <cellStyle name="Normal 18 5 3 2 3 3" xfId="34368" xr:uid="{00000000-0005-0000-0000-00001E650000}"/>
    <cellStyle name="Normal 18 5 3 2 3 4" xfId="24799" xr:uid="{00000000-0005-0000-0000-00001F650000}"/>
    <cellStyle name="Normal 18 5 3 2 4" xfId="6122" xr:uid="{00000000-0005-0000-0000-000020650000}"/>
    <cellStyle name="Normal 18 5 3 2 4 2" xfId="53963" xr:uid="{00000000-0005-0000-0000-000021650000}"/>
    <cellStyle name="Normal 18 5 3 2 4 3" xfId="37863" xr:uid="{00000000-0005-0000-0000-000022650000}"/>
    <cellStyle name="Normal 18 5 3 2 4 4" xfId="18727" xr:uid="{00000000-0005-0000-0000-000023650000}"/>
    <cellStyle name="Normal 18 5 3 2 5" xfId="44396" xr:uid="{00000000-0005-0000-0000-000024650000}"/>
    <cellStyle name="Normal 18 5 3 2 6" xfId="28296" xr:uid="{00000000-0005-0000-0000-000025650000}"/>
    <cellStyle name="Normal 18 5 3 2 7" xfId="15232" xr:uid="{00000000-0005-0000-0000-000026650000}"/>
    <cellStyle name="Normal 18 5 3 3" xfId="1394" xr:uid="{00000000-0005-0000-0000-000027650000}"/>
    <cellStyle name="Normal 18 5 3 3 2" xfId="7928" xr:uid="{00000000-0005-0000-0000-000028650000}"/>
    <cellStyle name="Normal 18 5 3 3 2 2" xfId="39669" xr:uid="{00000000-0005-0000-0000-000029650000}"/>
    <cellStyle name="Normal 18 5 3 3 2 2 2" xfId="55769" xr:uid="{00000000-0005-0000-0000-00002A650000}"/>
    <cellStyle name="Normal 18 5 3 3 2 3" xfId="46202" xr:uid="{00000000-0005-0000-0000-00002B650000}"/>
    <cellStyle name="Normal 18 5 3 3 2 4" xfId="30102" xr:uid="{00000000-0005-0000-0000-00002C650000}"/>
    <cellStyle name="Normal 18 5 3 3 2 5" xfId="20533" xr:uid="{00000000-0005-0000-0000-00002D650000}"/>
    <cellStyle name="Normal 18 5 3 3 3" xfId="10964" xr:uid="{00000000-0005-0000-0000-00002E650000}"/>
    <cellStyle name="Normal 18 5 3 3 3 2" xfId="49238" xr:uid="{00000000-0005-0000-0000-00002F650000}"/>
    <cellStyle name="Normal 18 5 3 3 3 3" xfId="33138" xr:uid="{00000000-0005-0000-0000-000030650000}"/>
    <cellStyle name="Normal 18 5 3 3 3 4" xfId="23569" xr:uid="{00000000-0005-0000-0000-000031650000}"/>
    <cellStyle name="Normal 18 5 3 3 4" xfId="4892" xr:uid="{00000000-0005-0000-0000-000032650000}"/>
    <cellStyle name="Normal 18 5 3 3 4 2" xfId="52733" xr:uid="{00000000-0005-0000-0000-000033650000}"/>
    <cellStyle name="Normal 18 5 3 3 4 3" xfId="36633" xr:uid="{00000000-0005-0000-0000-000034650000}"/>
    <cellStyle name="Normal 18 5 3 3 4 4" xfId="17497" xr:uid="{00000000-0005-0000-0000-000035650000}"/>
    <cellStyle name="Normal 18 5 3 3 5" xfId="43166" xr:uid="{00000000-0005-0000-0000-000036650000}"/>
    <cellStyle name="Normal 18 5 3 3 6" xfId="27066" xr:uid="{00000000-0005-0000-0000-000037650000}"/>
    <cellStyle name="Normal 18 5 3 3 7" xfId="14002" xr:uid="{00000000-0005-0000-0000-000038650000}"/>
    <cellStyle name="Normal 18 5 3 4" xfId="6918" xr:uid="{00000000-0005-0000-0000-000039650000}"/>
    <cellStyle name="Normal 18 5 3 4 2" xfId="38659" xr:uid="{00000000-0005-0000-0000-00003A650000}"/>
    <cellStyle name="Normal 18 5 3 4 2 2" xfId="54759" xr:uid="{00000000-0005-0000-0000-00003B650000}"/>
    <cellStyle name="Normal 18 5 3 4 3" xfId="45192" xr:uid="{00000000-0005-0000-0000-00003C650000}"/>
    <cellStyle name="Normal 18 5 3 4 4" xfId="29092" xr:uid="{00000000-0005-0000-0000-00003D650000}"/>
    <cellStyle name="Normal 18 5 3 4 5" xfId="19523" xr:uid="{00000000-0005-0000-0000-00003E650000}"/>
    <cellStyle name="Normal 18 5 3 5" xfId="9954" xr:uid="{00000000-0005-0000-0000-00003F650000}"/>
    <cellStyle name="Normal 18 5 3 5 2" xfId="48228" xr:uid="{00000000-0005-0000-0000-000040650000}"/>
    <cellStyle name="Normal 18 5 3 5 3" xfId="32128" xr:uid="{00000000-0005-0000-0000-000041650000}"/>
    <cellStyle name="Normal 18 5 3 5 4" xfId="22559" xr:uid="{00000000-0005-0000-0000-000042650000}"/>
    <cellStyle name="Normal 18 5 3 6" xfId="3882" xr:uid="{00000000-0005-0000-0000-000043650000}"/>
    <cellStyle name="Normal 18 5 3 6 2" xfId="51723" xr:uid="{00000000-0005-0000-0000-000044650000}"/>
    <cellStyle name="Normal 18 5 3 6 3" xfId="35623" xr:uid="{00000000-0005-0000-0000-000045650000}"/>
    <cellStyle name="Normal 18 5 3 6 4" xfId="16487" xr:uid="{00000000-0005-0000-0000-000046650000}"/>
    <cellStyle name="Normal 18 5 3 7" xfId="42156" xr:uid="{00000000-0005-0000-0000-000047650000}"/>
    <cellStyle name="Normal 18 5 3 8" xfId="26056" xr:uid="{00000000-0005-0000-0000-000048650000}"/>
    <cellStyle name="Normal 18 5 3 9" xfId="12992" xr:uid="{00000000-0005-0000-0000-000049650000}"/>
    <cellStyle name="Normal 18 5 4" xfId="854" xr:uid="{00000000-0005-0000-0000-00004A650000}"/>
    <cellStyle name="Normal 18 5 4 2" xfId="2882" xr:uid="{00000000-0005-0000-0000-00004B650000}"/>
    <cellStyle name="Normal 18 5 4 2 2" xfId="9414" xr:uid="{00000000-0005-0000-0000-00004C650000}"/>
    <cellStyle name="Normal 18 5 4 2 2 2" xfId="41155" xr:uid="{00000000-0005-0000-0000-00004D650000}"/>
    <cellStyle name="Normal 18 5 4 2 2 2 2" xfId="57255" xr:uid="{00000000-0005-0000-0000-00004E650000}"/>
    <cellStyle name="Normal 18 5 4 2 2 3" xfId="47688" xr:uid="{00000000-0005-0000-0000-00004F650000}"/>
    <cellStyle name="Normal 18 5 4 2 2 4" xfId="31588" xr:uid="{00000000-0005-0000-0000-000050650000}"/>
    <cellStyle name="Normal 18 5 4 2 2 5" xfId="22019" xr:uid="{00000000-0005-0000-0000-000051650000}"/>
    <cellStyle name="Normal 18 5 4 2 3" xfId="12450" xr:uid="{00000000-0005-0000-0000-000052650000}"/>
    <cellStyle name="Normal 18 5 4 2 3 2" xfId="50724" xr:uid="{00000000-0005-0000-0000-000053650000}"/>
    <cellStyle name="Normal 18 5 4 2 3 3" xfId="34624" xr:uid="{00000000-0005-0000-0000-000054650000}"/>
    <cellStyle name="Normal 18 5 4 2 3 4" xfId="25055" xr:uid="{00000000-0005-0000-0000-000055650000}"/>
    <cellStyle name="Normal 18 5 4 2 4" xfId="6378" xr:uid="{00000000-0005-0000-0000-000056650000}"/>
    <cellStyle name="Normal 18 5 4 2 4 2" xfId="54219" xr:uid="{00000000-0005-0000-0000-000057650000}"/>
    <cellStyle name="Normal 18 5 4 2 4 3" xfId="38119" xr:uid="{00000000-0005-0000-0000-000058650000}"/>
    <cellStyle name="Normal 18 5 4 2 4 4" xfId="18983" xr:uid="{00000000-0005-0000-0000-000059650000}"/>
    <cellStyle name="Normal 18 5 4 2 5" xfId="44652" xr:uid="{00000000-0005-0000-0000-00005A650000}"/>
    <cellStyle name="Normal 18 5 4 2 6" xfId="28552" xr:uid="{00000000-0005-0000-0000-00005B650000}"/>
    <cellStyle name="Normal 18 5 4 2 7" xfId="15488" xr:uid="{00000000-0005-0000-0000-00005C650000}"/>
    <cellStyle name="Normal 18 5 4 3" xfId="1864" xr:uid="{00000000-0005-0000-0000-00005D650000}"/>
    <cellStyle name="Normal 18 5 4 3 2" xfId="8398" xr:uid="{00000000-0005-0000-0000-00005E650000}"/>
    <cellStyle name="Normal 18 5 4 3 2 2" xfId="40139" xr:uid="{00000000-0005-0000-0000-00005F650000}"/>
    <cellStyle name="Normal 18 5 4 3 2 2 2" xfId="56239" xr:uid="{00000000-0005-0000-0000-000060650000}"/>
    <cellStyle name="Normal 18 5 4 3 2 3" xfId="46672" xr:uid="{00000000-0005-0000-0000-000061650000}"/>
    <cellStyle name="Normal 18 5 4 3 2 4" xfId="30572" xr:uid="{00000000-0005-0000-0000-000062650000}"/>
    <cellStyle name="Normal 18 5 4 3 2 5" xfId="21003" xr:uid="{00000000-0005-0000-0000-000063650000}"/>
    <cellStyle name="Normal 18 5 4 3 3" xfId="11434" xr:uid="{00000000-0005-0000-0000-000064650000}"/>
    <cellStyle name="Normal 18 5 4 3 3 2" xfId="49708" xr:uid="{00000000-0005-0000-0000-000065650000}"/>
    <cellStyle name="Normal 18 5 4 3 3 3" xfId="33608" xr:uid="{00000000-0005-0000-0000-000066650000}"/>
    <cellStyle name="Normal 18 5 4 3 3 4" xfId="24039" xr:uid="{00000000-0005-0000-0000-000067650000}"/>
    <cellStyle name="Normal 18 5 4 3 4" xfId="5362" xr:uid="{00000000-0005-0000-0000-000068650000}"/>
    <cellStyle name="Normal 18 5 4 3 4 2" xfId="53203" xr:uid="{00000000-0005-0000-0000-000069650000}"/>
    <cellStyle name="Normal 18 5 4 3 4 3" xfId="37103" xr:uid="{00000000-0005-0000-0000-00006A650000}"/>
    <cellStyle name="Normal 18 5 4 3 4 4" xfId="17967" xr:uid="{00000000-0005-0000-0000-00006B650000}"/>
    <cellStyle name="Normal 18 5 4 3 5" xfId="43636" xr:uid="{00000000-0005-0000-0000-00006C650000}"/>
    <cellStyle name="Normal 18 5 4 3 6" xfId="27536" xr:uid="{00000000-0005-0000-0000-00006D650000}"/>
    <cellStyle name="Normal 18 5 4 3 7" xfId="14472" xr:uid="{00000000-0005-0000-0000-00006E650000}"/>
    <cellStyle name="Normal 18 5 4 4" xfId="7388" xr:uid="{00000000-0005-0000-0000-00006F650000}"/>
    <cellStyle name="Normal 18 5 4 4 2" xfId="39129" xr:uid="{00000000-0005-0000-0000-000070650000}"/>
    <cellStyle name="Normal 18 5 4 4 2 2" xfId="55229" xr:uid="{00000000-0005-0000-0000-000071650000}"/>
    <cellStyle name="Normal 18 5 4 4 3" xfId="45662" xr:uid="{00000000-0005-0000-0000-000072650000}"/>
    <cellStyle name="Normal 18 5 4 4 4" xfId="29562" xr:uid="{00000000-0005-0000-0000-000073650000}"/>
    <cellStyle name="Normal 18 5 4 4 5" xfId="19993" xr:uid="{00000000-0005-0000-0000-000074650000}"/>
    <cellStyle name="Normal 18 5 4 5" xfId="10424" xr:uid="{00000000-0005-0000-0000-000075650000}"/>
    <cellStyle name="Normal 18 5 4 5 2" xfId="48698" xr:uid="{00000000-0005-0000-0000-000076650000}"/>
    <cellStyle name="Normal 18 5 4 5 3" xfId="32598" xr:uid="{00000000-0005-0000-0000-000077650000}"/>
    <cellStyle name="Normal 18 5 4 5 4" xfId="23029" xr:uid="{00000000-0005-0000-0000-000078650000}"/>
    <cellStyle name="Normal 18 5 4 6" xfId="4352" xr:uid="{00000000-0005-0000-0000-000079650000}"/>
    <cellStyle name="Normal 18 5 4 6 2" xfId="52193" xr:uid="{00000000-0005-0000-0000-00007A650000}"/>
    <cellStyle name="Normal 18 5 4 6 3" xfId="36093" xr:uid="{00000000-0005-0000-0000-00007B650000}"/>
    <cellStyle name="Normal 18 5 4 6 4" xfId="16957" xr:uid="{00000000-0005-0000-0000-00007C650000}"/>
    <cellStyle name="Normal 18 5 4 7" xfId="42626" xr:uid="{00000000-0005-0000-0000-00007D650000}"/>
    <cellStyle name="Normal 18 5 4 8" xfId="26526" xr:uid="{00000000-0005-0000-0000-00007E650000}"/>
    <cellStyle name="Normal 18 5 4 9" xfId="13462" xr:uid="{00000000-0005-0000-0000-00007F650000}"/>
    <cellStyle name="Normal 18 5 5" xfId="2182" xr:uid="{00000000-0005-0000-0000-000080650000}"/>
    <cellStyle name="Normal 18 5 5 2" xfId="8716" xr:uid="{00000000-0005-0000-0000-000081650000}"/>
    <cellStyle name="Normal 18 5 5 2 2" xfId="40457" xr:uid="{00000000-0005-0000-0000-000082650000}"/>
    <cellStyle name="Normal 18 5 5 2 2 2" xfId="56557" xr:uid="{00000000-0005-0000-0000-000083650000}"/>
    <cellStyle name="Normal 18 5 5 2 3" xfId="46990" xr:uid="{00000000-0005-0000-0000-000084650000}"/>
    <cellStyle name="Normal 18 5 5 2 4" xfId="30890" xr:uid="{00000000-0005-0000-0000-000085650000}"/>
    <cellStyle name="Normal 18 5 5 2 5" xfId="21321" xr:uid="{00000000-0005-0000-0000-000086650000}"/>
    <cellStyle name="Normal 18 5 5 3" xfId="11752" xr:uid="{00000000-0005-0000-0000-000087650000}"/>
    <cellStyle name="Normal 18 5 5 3 2" xfId="50026" xr:uid="{00000000-0005-0000-0000-000088650000}"/>
    <cellStyle name="Normal 18 5 5 3 3" xfId="33926" xr:uid="{00000000-0005-0000-0000-000089650000}"/>
    <cellStyle name="Normal 18 5 5 3 4" xfId="24357" xr:uid="{00000000-0005-0000-0000-00008A650000}"/>
    <cellStyle name="Normal 18 5 5 4" xfId="5680" xr:uid="{00000000-0005-0000-0000-00008B650000}"/>
    <cellStyle name="Normal 18 5 5 4 2" xfId="53521" xr:uid="{00000000-0005-0000-0000-00008C650000}"/>
    <cellStyle name="Normal 18 5 5 4 3" xfId="37421" xr:uid="{00000000-0005-0000-0000-00008D650000}"/>
    <cellStyle name="Normal 18 5 5 4 4" xfId="18285" xr:uid="{00000000-0005-0000-0000-00008E650000}"/>
    <cellStyle name="Normal 18 5 5 5" xfId="43954" xr:uid="{00000000-0005-0000-0000-00008F650000}"/>
    <cellStyle name="Normal 18 5 5 6" xfId="27854" xr:uid="{00000000-0005-0000-0000-000090650000}"/>
    <cellStyle name="Normal 18 5 5 7" xfId="14790" xr:uid="{00000000-0005-0000-0000-000091650000}"/>
    <cellStyle name="Normal 18 5 6" xfId="1181" xr:uid="{00000000-0005-0000-0000-000092650000}"/>
    <cellStyle name="Normal 18 5 6 2" xfId="7715" xr:uid="{00000000-0005-0000-0000-000093650000}"/>
    <cellStyle name="Normal 18 5 6 2 2" xfId="39456" xr:uid="{00000000-0005-0000-0000-000094650000}"/>
    <cellStyle name="Normal 18 5 6 2 2 2" xfId="55556" xr:uid="{00000000-0005-0000-0000-000095650000}"/>
    <cellStyle name="Normal 18 5 6 2 3" xfId="45989" xr:uid="{00000000-0005-0000-0000-000096650000}"/>
    <cellStyle name="Normal 18 5 6 2 4" xfId="29889" xr:uid="{00000000-0005-0000-0000-000097650000}"/>
    <cellStyle name="Normal 18 5 6 2 5" xfId="20320" xr:uid="{00000000-0005-0000-0000-000098650000}"/>
    <cellStyle name="Normal 18 5 6 3" xfId="10751" xr:uid="{00000000-0005-0000-0000-000099650000}"/>
    <cellStyle name="Normal 18 5 6 3 2" xfId="49025" xr:uid="{00000000-0005-0000-0000-00009A650000}"/>
    <cellStyle name="Normal 18 5 6 3 3" xfId="32925" xr:uid="{00000000-0005-0000-0000-00009B650000}"/>
    <cellStyle name="Normal 18 5 6 3 4" xfId="23356" xr:uid="{00000000-0005-0000-0000-00009C650000}"/>
    <cellStyle name="Normal 18 5 6 4" xfId="4679" xr:uid="{00000000-0005-0000-0000-00009D650000}"/>
    <cellStyle name="Normal 18 5 6 4 2" xfId="52520" xr:uid="{00000000-0005-0000-0000-00009E650000}"/>
    <cellStyle name="Normal 18 5 6 4 3" xfId="36420" xr:uid="{00000000-0005-0000-0000-00009F650000}"/>
    <cellStyle name="Normal 18 5 6 4 4" xfId="17284" xr:uid="{00000000-0005-0000-0000-0000A0650000}"/>
    <cellStyle name="Normal 18 5 6 5" xfId="42953" xr:uid="{00000000-0005-0000-0000-0000A1650000}"/>
    <cellStyle name="Normal 18 5 6 6" xfId="26853" xr:uid="{00000000-0005-0000-0000-0000A2650000}"/>
    <cellStyle name="Normal 18 5 6 7" xfId="13789" xr:uid="{00000000-0005-0000-0000-0000A3650000}"/>
    <cellStyle name="Normal 18 5 7" xfId="3669" xr:uid="{00000000-0005-0000-0000-0000A4650000}"/>
    <cellStyle name="Normal 18 5 7 2" xfId="35410" xr:uid="{00000000-0005-0000-0000-0000A5650000}"/>
    <cellStyle name="Normal 18 5 7 2 2" xfId="51510" xr:uid="{00000000-0005-0000-0000-0000A6650000}"/>
    <cellStyle name="Normal 18 5 7 3" xfId="41943" xr:uid="{00000000-0005-0000-0000-0000A7650000}"/>
    <cellStyle name="Normal 18 5 7 4" xfId="25843" xr:uid="{00000000-0005-0000-0000-0000A8650000}"/>
    <cellStyle name="Normal 18 5 7 5" xfId="16274" xr:uid="{00000000-0005-0000-0000-0000A9650000}"/>
    <cellStyle name="Normal 18 5 8" xfId="6705" xr:uid="{00000000-0005-0000-0000-0000AA650000}"/>
    <cellStyle name="Normal 18 5 8 2" xfId="38446" xr:uid="{00000000-0005-0000-0000-0000AB650000}"/>
    <cellStyle name="Normal 18 5 8 2 2" xfId="54546" xr:uid="{00000000-0005-0000-0000-0000AC650000}"/>
    <cellStyle name="Normal 18 5 8 3" xfId="44979" xr:uid="{00000000-0005-0000-0000-0000AD650000}"/>
    <cellStyle name="Normal 18 5 8 4" xfId="28879" xr:uid="{00000000-0005-0000-0000-0000AE650000}"/>
    <cellStyle name="Normal 18 5 8 5" xfId="19310" xr:uid="{00000000-0005-0000-0000-0000AF650000}"/>
    <cellStyle name="Normal 18 5 9" xfId="9741" xr:uid="{00000000-0005-0000-0000-0000B0650000}"/>
    <cellStyle name="Normal 18 5 9 2" xfId="48015" xr:uid="{00000000-0005-0000-0000-0000B1650000}"/>
    <cellStyle name="Normal 18 5 9 3" xfId="31915" xr:uid="{00000000-0005-0000-0000-0000B2650000}"/>
    <cellStyle name="Normal 18 5 9 4" xfId="22346" xr:uid="{00000000-0005-0000-0000-0000B3650000}"/>
    <cellStyle name="Normal 18 6" xfId="234" xr:uid="{00000000-0005-0000-0000-0000B4650000}"/>
    <cellStyle name="Normal 18 6 10" xfId="41501" xr:uid="{00000000-0005-0000-0000-0000B5650000}"/>
    <cellStyle name="Normal 18 6 11" xfId="25401" xr:uid="{00000000-0005-0000-0000-0000B6650000}"/>
    <cellStyle name="Normal 18 6 12" xfId="12796" xr:uid="{00000000-0005-0000-0000-0000B7650000}"/>
    <cellStyle name="Normal 18 6 2" xfId="615" xr:uid="{00000000-0005-0000-0000-0000B8650000}"/>
    <cellStyle name="Normal 18 6 2 10" xfId="13063" xr:uid="{00000000-0005-0000-0000-0000B9650000}"/>
    <cellStyle name="Normal 18 6 2 2" xfId="2643" xr:uid="{00000000-0005-0000-0000-0000BA650000}"/>
    <cellStyle name="Normal 18 6 2 2 2" xfId="9175" xr:uid="{00000000-0005-0000-0000-0000BB650000}"/>
    <cellStyle name="Normal 18 6 2 2 2 2" xfId="40916" xr:uid="{00000000-0005-0000-0000-0000BC650000}"/>
    <cellStyle name="Normal 18 6 2 2 2 2 2" xfId="57016" xr:uid="{00000000-0005-0000-0000-0000BD650000}"/>
    <cellStyle name="Normal 18 6 2 2 2 3" xfId="47449" xr:uid="{00000000-0005-0000-0000-0000BE650000}"/>
    <cellStyle name="Normal 18 6 2 2 2 4" xfId="31349" xr:uid="{00000000-0005-0000-0000-0000BF650000}"/>
    <cellStyle name="Normal 18 6 2 2 2 5" xfId="21780" xr:uid="{00000000-0005-0000-0000-0000C0650000}"/>
    <cellStyle name="Normal 18 6 2 2 3" xfId="12211" xr:uid="{00000000-0005-0000-0000-0000C1650000}"/>
    <cellStyle name="Normal 18 6 2 2 3 2" xfId="50485" xr:uid="{00000000-0005-0000-0000-0000C2650000}"/>
    <cellStyle name="Normal 18 6 2 2 3 3" xfId="34385" xr:uid="{00000000-0005-0000-0000-0000C3650000}"/>
    <cellStyle name="Normal 18 6 2 2 3 4" xfId="24816" xr:uid="{00000000-0005-0000-0000-0000C4650000}"/>
    <cellStyle name="Normal 18 6 2 2 4" xfId="6139" xr:uid="{00000000-0005-0000-0000-0000C5650000}"/>
    <cellStyle name="Normal 18 6 2 2 4 2" xfId="53980" xr:uid="{00000000-0005-0000-0000-0000C6650000}"/>
    <cellStyle name="Normal 18 6 2 2 4 3" xfId="37880" xr:uid="{00000000-0005-0000-0000-0000C7650000}"/>
    <cellStyle name="Normal 18 6 2 2 4 4" xfId="18744" xr:uid="{00000000-0005-0000-0000-0000C8650000}"/>
    <cellStyle name="Normal 18 6 2 2 5" xfId="44413" xr:uid="{00000000-0005-0000-0000-0000C9650000}"/>
    <cellStyle name="Normal 18 6 2 2 6" xfId="28313" xr:uid="{00000000-0005-0000-0000-0000CA650000}"/>
    <cellStyle name="Normal 18 6 2 2 7" xfId="15249" xr:uid="{00000000-0005-0000-0000-0000CB650000}"/>
    <cellStyle name="Normal 18 6 2 3" xfId="1465" xr:uid="{00000000-0005-0000-0000-0000CC650000}"/>
    <cellStyle name="Normal 18 6 2 3 2" xfId="7999" xr:uid="{00000000-0005-0000-0000-0000CD650000}"/>
    <cellStyle name="Normal 18 6 2 3 2 2" xfId="39740" xr:uid="{00000000-0005-0000-0000-0000CE650000}"/>
    <cellStyle name="Normal 18 6 2 3 2 2 2" xfId="55840" xr:uid="{00000000-0005-0000-0000-0000CF650000}"/>
    <cellStyle name="Normal 18 6 2 3 2 3" xfId="46273" xr:uid="{00000000-0005-0000-0000-0000D0650000}"/>
    <cellStyle name="Normal 18 6 2 3 2 4" xfId="30173" xr:uid="{00000000-0005-0000-0000-0000D1650000}"/>
    <cellStyle name="Normal 18 6 2 3 2 5" xfId="20604" xr:uid="{00000000-0005-0000-0000-0000D2650000}"/>
    <cellStyle name="Normal 18 6 2 3 3" xfId="11035" xr:uid="{00000000-0005-0000-0000-0000D3650000}"/>
    <cellStyle name="Normal 18 6 2 3 3 2" xfId="49309" xr:uid="{00000000-0005-0000-0000-0000D4650000}"/>
    <cellStyle name="Normal 18 6 2 3 3 3" xfId="33209" xr:uid="{00000000-0005-0000-0000-0000D5650000}"/>
    <cellStyle name="Normal 18 6 2 3 3 4" xfId="23640" xr:uid="{00000000-0005-0000-0000-0000D6650000}"/>
    <cellStyle name="Normal 18 6 2 3 4" xfId="4963" xr:uid="{00000000-0005-0000-0000-0000D7650000}"/>
    <cellStyle name="Normal 18 6 2 3 4 2" xfId="52804" xr:uid="{00000000-0005-0000-0000-0000D8650000}"/>
    <cellStyle name="Normal 18 6 2 3 4 3" xfId="36704" xr:uid="{00000000-0005-0000-0000-0000D9650000}"/>
    <cellStyle name="Normal 18 6 2 3 4 4" xfId="17568" xr:uid="{00000000-0005-0000-0000-0000DA650000}"/>
    <cellStyle name="Normal 18 6 2 3 5" xfId="43237" xr:uid="{00000000-0005-0000-0000-0000DB650000}"/>
    <cellStyle name="Normal 18 6 2 3 6" xfId="27137" xr:uid="{00000000-0005-0000-0000-0000DC650000}"/>
    <cellStyle name="Normal 18 6 2 3 7" xfId="14073" xr:uid="{00000000-0005-0000-0000-0000DD650000}"/>
    <cellStyle name="Normal 18 6 2 4" xfId="3953" xr:uid="{00000000-0005-0000-0000-0000DE650000}"/>
    <cellStyle name="Normal 18 6 2 4 2" xfId="35694" xr:uid="{00000000-0005-0000-0000-0000DF650000}"/>
    <cellStyle name="Normal 18 6 2 4 2 2" xfId="51794" xr:uid="{00000000-0005-0000-0000-0000E0650000}"/>
    <cellStyle name="Normal 18 6 2 4 3" xfId="42227" xr:uid="{00000000-0005-0000-0000-0000E1650000}"/>
    <cellStyle name="Normal 18 6 2 4 4" xfId="26127" xr:uid="{00000000-0005-0000-0000-0000E2650000}"/>
    <cellStyle name="Normal 18 6 2 4 5" xfId="16558" xr:uid="{00000000-0005-0000-0000-0000E3650000}"/>
    <cellStyle name="Normal 18 6 2 5" xfId="6989" xr:uid="{00000000-0005-0000-0000-0000E4650000}"/>
    <cellStyle name="Normal 18 6 2 5 2" xfId="38730" xr:uid="{00000000-0005-0000-0000-0000E5650000}"/>
    <cellStyle name="Normal 18 6 2 5 2 2" xfId="54830" xr:uid="{00000000-0005-0000-0000-0000E6650000}"/>
    <cellStyle name="Normal 18 6 2 5 3" xfId="45263" xr:uid="{00000000-0005-0000-0000-0000E7650000}"/>
    <cellStyle name="Normal 18 6 2 5 4" xfId="29163" xr:uid="{00000000-0005-0000-0000-0000E8650000}"/>
    <cellStyle name="Normal 18 6 2 5 5" xfId="19594" xr:uid="{00000000-0005-0000-0000-0000E9650000}"/>
    <cellStyle name="Normal 18 6 2 6" xfId="10025" xr:uid="{00000000-0005-0000-0000-0000EA650000}"/>
    <cellStyle name="Normal 18 6 2 6 2" xfId="48299" xr:uid="{00000000-0005-0000-0000-0000EB650000}"/>
    <cellStyle name="Normal 18 6 2 6 3" xfId="32199" xr:uid="{00000000-0005-0000-0000-0000EC650000}"/>
    <cellStyle name="Normal 18 6 2 6 4" xfId="22630" xr:uid="{00000000-0005-0000-0000-0000ED650000}"/>
    <cellStyle name="Normal 18 6 2 7" xfId="3464" xr:uid="{00000000-0005-0000-0000-0000EE650000}"/>
    <cellStyle name="Normal 18 6 2 7 2" xfId="51305" xr:uid="{00000000-0005-0000-0000-0000EF650000}"/>
    <cellStyle name="Normal 18 6 2 7 3" xfId="35205" xr:uid="{00000000-0005-0000-0000-0000F0650000}"/>
    <cellStyle name="Normal 18 6 2 7 4" xfId="16069" xr:uid="{00000000-0005-0000-0000-0000F1650000}"/>
    <cellStyle name="Normal 18 6 2 8" xfId="41738" xr:uid="{00000000-0005-0000-0000-0000F2650000}"/>
    <cellStyle name="Normal 18 6 2 9" xfId="25638" xr:uid="{00000000-0005-0000-0000-0000F3650000}"/>
    <cellStyle name="Normal 18 6 3" xfId="871" xr:uid="{00000000-0005-0000-0000-0000F4650000}"/>
    <cellStyle name="Normal 18 6 3 2" xfId="2899" xr:uid="{00000000-0005-0000-0000-0000F5650000}"/>
    <cellStyle name="Normal 18 6 3 2 2" xfId="9431" xr:uid="{00000000-0005-0000-0000-0000F6650000}"/>
    <cellStyle name="Normal 18 6 3 2 2 2" xfId="41172" xr:uid="{00000000-0005-0000-0000-0000F7650000}"/>
    <cellStyle name="Normal 18 6 3 2 2 2 2" xfId="57272" xr:uid="{00000000-0005-0000-0000-0000F8650000}"/>
    <cellStyle name="Normal 18 6 3 2 2 3" xfId="47705" xr:uid="{00000000-0005-0000-0000-0000F9650000}"/>
    <cellStyle name="Normal 18 6 3 2 2 4" xfId="31605" xr:uid="{00000000-0005-0000-0000-0000FA650000}"/>
    <cellStyle name="Normal 18 6 3 2 2 5" xfId="22036" xr:uid="{00000000-0005-0000-0000-0000FB650000}"/>
    <cellStyle name="Normal 18 6 3 2 3" xfId="12467" xr:uid="{00000000-0005-0000-0000-0000FC650000}"/>
    <cellStyle name="Normal 18 6 3 2 3 2" xfId="50741" xr:uid="{00000000-0005-0000-0000-0000FD650000}"/>
    <cellStyle name="Normal 18 6 3 2 3 3" xfId="34641" xr:uid="{00000000-0005-0000-0000-0000FE650000}"/>
    <cellStyle name="Normal 18 6 3 2 3 4" xfId="25072" xr:uid="{00000000-0005-0000-0000-0000FF650000}"/>
    <cellStyle name="Normal 18 6 3 2 4" xfId="6395" xr:uid="{00000000-0005-0000-0000-000000660000}"/>
    <cellStyle name="Normal 18 6 3 2 4 2" xfId="54236" xr:uid="{00000000-0005-0000-0000-000001660000}"/>
    <cellStyle name="Normal 18 6 3 2 4 3" xfId="38136" xr:uid="{00000000-0005-0000-0000-000002660000}"/>
    <cellStyle name="Normal 18 6 3 2 4 4" xfId="19000" xr:uid="{00000000-0005-0000-0000-000003660000}"/>
    <cellStyle name="Normal 18 6 3 2 5" xfId="44669" xr:uid="{00000000-0005-0000-0000-000004660000}"/>
    <cellStyle name="Normal 18 6 3 2 6" xfId="28569" xr:uid="{00000000-0005-0000-0000-000005660000}"/>
    <cellStyle name="Normal 18 6 3 2 7" xfId="15505" xr:uid="{00000000-0005-0000-0000-000006660000}"/>
    <cellStyle name="Normal 18 6 3 3" xfId="1881" xr:uid="{00000000-0005-0000-0000-000007660000}"/>
    <cellStyle name="Normal 18 6 3 3 2" xfId="8415" xr:uid="{00000000-0005-0000-0000-000008660000}"/>
    <cellStyle name="Normal 18 6 3 3 2 2" xfId="40156" xr:uid="{00000000-0005-0000-0000-000009660000}"/>
    <cellStyle name="Normal 18 6 3 3 2 2 2" xfId="56256" xr:uid="{00000000-0005-0000-0000-00000A660000}"/>
    <cellStyle name="Normal 18 6 3 3 2 3" xfId="46689" xr:uid="{00000000-0005-0000-0000-00000B660000}"/>
    <cellStyle name="Normal 18 6 3 3 2 4" xfId="30589" xr:uid="{00000000-0005-0000-0000-00000C660000}"/>
    <cellStyle name="Normal 18 6 3 3 2 5" xfId="21020" xr:uid="{00000000-0005-0000-0000-00000D660000}"/>
    <cellStyle name="Normal 18 6 3 3 3" xfId="11451" xr:uid="{00000000-0005-0000-0000-00000E660000}"/>
    <cellStyle name="Normal 18 6 3 3 3 2" xfId="49725" xr:uid="{00000000-0005-0000-0000-00000F660000}"/>
    <cellStyle name="Normal 18 6 3 3 3 3" xfId="33625" xr:uid="{00000000-0005-0000-0000-000010660000}"/>
    <cellStyle name="Normal 18 6 3 3 3 4" xfId="24056" xr:uid="{00000000-0005-0000-0000-000011660000}"/>
    <cellStyle name="Normal 18 6 3 3 4" xfId="5379" xr:uid="{00000000-0005-0000-0000-000012660000}"/>
    <cellStyle name="Normal 18 6 3 3 4 2" xfId="53220" xr:uid="{00000000-0005-0000-0000-000013660000}"/>
    <cellStyle name="Normal 18 6 3 3 4 3" xfId="37120" xr:uid="{00000000-0005-0000-0000-000014660000}"/>
    <cellStyle name="Normal 18 6 3 3 4 4" xfId="17984" xr:uid="{00000000-0005-0000-0000-000015660000}"/>
    <cellStyle name="Normal 18 6 3 3 5" xfId="43653" xr:uid="{00000000-0005-0000-0000-000016660000}"/>
    <cellStyle name="Normal 18 6 3 3 6" xfId="27553" xr:uid="{00000000-0005-0000-0000-000017660000}"/>
    <cellStyle name="Normal 18 6 3 3 7" xfId="14489" xr:uid="{00000000-0005-0000-0000-000018660000}"/>
    <cellStyle name="Normal 18 6 3 4" xfId="7405" xr:uid="{00000000-0005-0000-0000-000019660000}"/>
    <cellStyle name="Normal 18 6 3 4 2" xfId="39146" xr:uid="{00000000-0005-0000-0000-00001A660000}"/>
    <cellStyle name="Normal 18 6 3 4 2 2" xfId="55246" xr:uid="{00000000-0005-0000-0000-00001B660000}"/>
    <cellStyle name="Normal 18 6 3 4 3" xfId="45679" xr:uid="{00000000-0005-0000-0000-00001C660000}"/>
    <cellStyle name="Normal 18 6 3 4 4" xfId="29579" xr:uid="{00000000-0005-0000-0000-00001D660000}"/>
    <cellStyle name="Normal 18 6 3 4 5" xfId="20010" xr:uid="{00000000-0005-0000-0000-00001E660000}"/>
    <cellStyle name="Normal 18 6 3 5" xfId="10441" xr:uid="{00000000-0005-0000-0000-00001F660000}"/>
    <cellStyle name="Normal 18 6 3 5 2" xfId="48715" xr:uid="{00000000-0005-0000-0000-000020660000}"/>
    <cellStyle name="Normal 18 6 3 5 3" xfId="32615" xr:uid="{00000000-0005-0000-0000-000021660000}"/>
    <cellStyle name="Normal 18 6 3 5 4" xfId="23046" xr:uid="{00000000-0005-0000-0000-000022660000}"/>
    <cellStyle name="Normal 18 6 3 6" xfId="4369" xr:uid="{00000000-0005-0000-0000-000023660000}"/>
    <cellStyle name="Normal 18 6 3 6 2" xfId="52210" xr:uid="{00000000-0005-0000-0000-000024660000}"/>
    <cellStyle name="Normal 18 6 3 6 3" xfId="36110" xr:uid="{00000000-0005-0000-0000-000025660000}"/>
    <cellStyle name="Normal 18 6 3 6 4" xfId="16974" xr:uid="{00000000-0005-0000-0000-000026660000}"/>
    <cellStyle name="Normal 18 6 3 7" xfId="42643" xr:uid="{00000000-0005-0000-0000-000027660000}"/>
    <cellStyle name="Normal 18 6 3 8" xfId="26543" xr:uid="{00000000-0005-0000-0000-000028660000}"/>
    <cellStyle name="Normal 18 6 3 9" xfId="13479" xr:uid="{00000000-0005-0000-0000-000029660000}"/>
    <cellStyle name="Normal 18 6 4" xfId="2253" xr:uid="{00000000-0005-0000-0000-00002A660000}"/>
    <cellStyle name="Normal 18 6 4 2" xfId="8787" xr:uid="{00000000-0005-0000-0000-00002B660000}"/>
    <cellStyle name="Normal 18 6 4 2 2" xfId="40528" xr:uid="{00000000-0005-0000-0000-00002C660000}"/>
    <cellStyle name="Normal 18 6 4 2 2 2" xfId="56628" xr:uid="{00000000-0005-0000-0000-00002D660000}"/>
    <cellStyle name="Normal 18 6 4 2 3" xfId="47061" xr:uid="{00000000-0005-0000-0000-00002E660000}"/>
    <cellStyle name="Normal 18 6 4 2 4" xfId="30961" xr:uid="{00000000-0005-0000-0000-00002F660000}"/>
    <cellStyle name="Normal 18 6 4 2 5" xfId="21392" xr:uid="{00000000-0005-0000-0000-000030660000}"/>
    <cellStyle name="Normal 18 6 4 3" xfId="11823" xr:uid="{00000000-0005-0000-0000-000031660000}"/>
    <cellStyle name="Normal 18 6 4 3 2" xfId="50097" xr:uid="{00000000-0005-0000-0000-000032660000}"/>
    <cellStyle name="Normal 18 6 4 3 3" xfId="33997" xr:uid="{00000000-0005-0000-0000-000033660000}"/>
    <cellStyle name="Normal 18 6 4 3 4" xfId="24428" xr:uid="{00000000-0005-0000-0000-000034660000}"/>
    <cellStyle name="Normal 18 6 4 4" xfId="5751" xr:uid="{00000000-0005-0000-0000-000035660000}"/>
    <cellStyle name="Normal 18 6 4 4 2" xfId="53592" xr:uid="{00000000-0005-0000-0000-000036660000}"/>
    <cellStyle name="Normal 18 6 4 4 3" xfId="37492" xr:uid="{00000000-0005-0000-0000-000037660000}"/>
    <cellStyle name="Normal 18 6 4 4 4" xfId="18356" xr:uid="{00000000-0005-0000-0000-000038660000}"/>
    <cellStyle name="Normal 18 6 4 5" xfId="44025" xr:uid="{00000000-0005-0000-0000-000039660000}"/>
    <cellStyle name="Normal 18 6 4 6" xfId="27925" xr:uid="{00000000-0005-0000-0000-00003A660000}"/>
    <cellStyle name="Normal 18 6 4 7" xfId="14861" xr:uid="{00000000-0005-0000-0000-00003B660000}"/>
    <cellStyle name="Normal 18 6 5" xfId="1198" xr:uid="{00000000-0005-0000-0000-00003C660000}"/>
    <cellStyle name="Normal 18 6 5 2" xfId="7732" xr:uid="{00000000-0005-0000-0000-00003D660000}"/>
    <cellStyle name="Normal 18 6 5 2 2" xfId="39473" xr:uid="{00000000-0005-0000-0000-00003E660000}"/>
    <cellStyle name="Normal 18 6 5 2 2 2" xfId="55573" xr:uid="{00000000-0005-0000-0000-00003F660000}"/>
    <cellStyle name="Normal 18 6 5 2 3" xfId="46006" xr:uid="{00000000-0005-0000-0000-000040660000}"/>
    <cellStyle name="Normal 18 6 5 2 4" xfId="29906" xr:uid="{00000000-0005-0000-0000-000041660000}"/>
    <cellStyle name="Normal 18 6 5 2 5" xfId="20337" xr:uid="{00000000-0005-0000-0000-000042660000}"/>
    <cellStyle name="Normal 18 6 5 3" xfId="10768" xr:uid="{00000000-0005-0000-0000-000043660000}"/>
    <cellStyle name="Normal 18 6 5 3 2" xfId="49042" xr:uid="{00000000-0005-0000-0000-000044660000}"/>
    <cellStyle name="Normal 18 6 5 3 3" xfId="32942" xr:uid="{00000000-0005-0000-0000-000045660000}"/>
    <cellStyle name="Normal 18 6 5 3 4" xfId="23373" xr:uid="{00000000-0005-0000-0000-000046660000}"/>
    <cellStyle name="Normal 18 6 5 4" xfId="4696" xr:uid="{00000000-0005-0000-0000-000047660000}"/>
    <cellStyle name="Normal 18 6 5 4 2" xfId="52537" xr:uid="{00000000-0005-0000-0000-000048660000}"/>
    <cellStyle name="Normal 18 6 5 4 3" xfId="36437" xr:uid="{00000000-0005-0000-0000-000049660000}"/>
    <cellStyle name="Normal 18 6 5 4 4" xfId="17301" xr:uid="{00000000-0005-0000-0000-00004A660000}"/>
    <cellStyle name="Normal 18 6 5 5" xfId="42970" xr:uid="{00000000-0005-0000-0000-00004B660000}"/>
    <cellStyle name="Normal 18 6 5 6" xfId="26870" xr:uid="{00000000-0005-0000-0000-00004C660000}"/>
    <cellStyle name="Normal 18 6 5 7" xfId="13806" xr:uid="{00000000-0005-0000-0000-00004D660000}"/>
    <cellStyle name="Normal 18 6 6" xfId="3686" xr:uid="{00000000-0005-0000-0000-00004E660000}"/>
    <cellStyle name="Normal 18 6 6 2" xfId="35427" xr:uid="{00000000-0005-0000-0000-00004F660000}"/>
    <cellStyle name="Normal 18 6 6 2 2" xfId="51527" xr:uid="{00000000-0005-0000-0000-000050660000}"/>
    <cellStyle name="Normal 18 6 6 3" xfId="41960" xr:uid="{00000000-0005-0000-0000-000051660000}"/>
    <cellStyle name="Normal 18 6 6 4" xfId="25860" xr:uid="{00000000-0005-0000-0000-000052660000}"/>
    <cellStyle name="Normal 18 6 6 5" xfId="16291" xr:uid="{00000000-0005-0000-0000-000053660000}"/>
    <cellStyle name="Normal 18 6 7" xfId="6722" xr:uid="{00000000-0005-0000-0000-000054660000}"/>
    <cellStyle name="Normal 18 6 7 2" xfId="38463" xr:uid="{00000000-0005-0000-0000-000055660000}"/>
    <cellStyle name="Normal 18 6 7 2 2" xfId="54563" xr:uid="{00000000-0005-0000-0000-000056660000}"/>
    <cellStyle name="Normal 18 6 7 3" xfId="44996" xr:uid="{00000000-0005-0000-0000-000057660000}"/>
    <cellStyle name="Normal 18 6 7 4" xfId="28896" xr:uid="{00000000-0005-0000-0000-000058660000}"/>
    <cellStyle name="Normal 18 6 7 5" xfId="19327" xr:uid="{00000000-0005-0000-0000-000059660000}"/>
    <cellStyle name="Normal 18 6 8" xfId="9758" xr:uid="{00000000-0005-0000-0000-00005A660000}"/>
    <cellStyle name="Normal 18 6 8 2" xfId="48032" xr:uid="{00000000-0005-0000-0000-00005B660000}"/>
    <cellStyle name="Normal 18 6 8 3" xfId="31932" xr:uid="{00000000-0005-0000-0000-00005C660000}"/>
    <cellStyle name="Normal 18 6 8 4" xfId="22363" xr:uid="{00000000-0005-0000-0000-00005D660000}"/>
    <cellStyle name="Normal 18 6 9" xfId="3226" xr:uid="{00000000-0005-0000-0000-00005E660000}"/>
    <cellStyle name="Normal 18 6 9 2" xfId="51068" xr:uid="{00000000-0005-0000-0000-00005F660000}"/>
    <cellStyle name="Normal 18 6 9 3" xfId="34968" xr:uid="{00000000-0005-0000-0000-000060660000}"/>
    <cellStyle name="Normal 18 6 9 4" xfId="15832" xr:uid="{00000000-0005-0000-0000-000061660000}"/>
    <cellStyle name="Normal 18 7" xfId="51" xr:uid="{00000000-0005-0000-0000-000062660000}"/>
    <cellStyle name="Normal 18 7 10" xfId="41518" xr:uid="{00000000-0005-0000-0000-000063660000}"/>
    <cellStyle name="Normal 18 7 11" xfId="25418" xr:uid="{00000000-0005-0000-0000-000064660000}"/>
    <cellStyle name="Normal 18 7 12" xfId="12813" xr:uid="{00000000-0005-0000-0000-000065660000}"/>
    <cellStyle name="Normal 18 7 2" xfId="888" xr:uid="{00000000-0005-0000-0000-000066660000}"/>
    <cellStyle name="Normal 18 7 2 10" xfId="13496" xr:uid="{00000000-0005-0000-0000-000067660000}"/>
    <cellStyle name="Normal 18 7 2 2" xfId="2916" xr:uid="{00000000-0005-0000-0000-000068660000}"/>
    <cellStyle name="Normal 18 7 2 2 2" xfId="9448" xr:uid="{00000000-0005-0000-0000-000069660000}"/>
    <cellStyle name="Normal 18 7 2 2 2 2" xfId="41189" xr:uid="{00000000-0005-0000-0000-00006A660000}"/>
    <cellStyle name="Normal 18 7 2 2 2 2 2" xfId="57289" xr:uid="{00000000-0005-0000-0000-00006B660000}"/>
    <cellStyle name="Normal 18 7 2 2 2 3" xfId="47722" xr:uid="{00000000-0005-0000-0000-00006C660000}"/>
    <cellStyle name="Normal 18 7 2 2 2 4" xfId="31622" xr:uid="{00000000-0005-0000-0000-00006D660000}"/>
    <cellStyle name="Normal 18 7 2 2 2 5" xfId="22053" xr:uid="{00000000-0005-0000-0000-00006E660000}"/>
    <cellStyle name="Normal 18 7 2 2 3" xfId="12484" xr:uid="{00000000-0005-0000-0000-00006F660000}"/>
    <cellStyle name="Normal 18 7 2 2 3 2" xfId="50758" xr:uid="{00000000-0005-0000-0000-000070660000}"/>
    <cellStyle name="Normal 18 7 2 2 3 3" xfId="34658" xr:uid="{00000000-0005-0000-0000-000071660000}"/>
    <cellStyle name="Normal 18 7 2 2 3 4" xfId="25089" xr:uid="{00000000-0005-0000-0000-000072660000}"/>
    <cellStyle name="Normal 18 7 2 2 4" xfId="6412" xr:uid="{00000000-0005-0000-0000-000073660000}"/>
    <cellStyle name="Normal 18 7 2 2 4 2" xfId="54253" xr:uid="{00000000-0005-0000-0000-000074660000}"/>
    <cellStyle name="Normal 18 7 2 2 4 3" xfId="38153" xr:uid="{00000000-0005-0000-0000-000075660000}"/>
    <cellStyle name="Normal 18 7 2 2 4 4" xfId="19017" xr:uid="{00000000-0005-0000-0000-000076660000}"/>
    <cellStyle name="Normal 18 7 2 2 5" xfId="44686" xr:uid="{00000000-0005-0000-0000-000077660000}"/>
    <cellStyle name="Normal 18 7 2 2 6" xfId="28586" xr:uid="{00000000-0005-0000-0000-000078660000}"/>
    <cellStyle name="Normal 18 7 2 2 7" xfId="15522" xr:uid="{00000000-0005-0000-0000-000079660000}"/>
    <cellStyle name="Normal 18 7 2 3" xfId="1898" xr:uid="{00000000-0005-0000-0000-00007A660000}"/>
    <cellStyle name="Normal 18 7 2 3 2" xfId="8432" xr:uid="{00000000-0005-0000-0000-00007B660000}"/>
    <cellStyle name="Normal 18 7 2 3 2 2" xfId="40173" xr:uid="{00000000-0005-0000-0000-00007C660000}"/>
    <cellStyle name="Normal 18 7 2 3 2 2 2" xfId="56273" xr:uid="{00000000-0005-0000-0000-00007D660000}"/>
    <cellStyle name="Normal 18 7 2 3 2 3" xfId="46706" xr:uid="{00000000-0005-0000-0000-00007E660000}"/>
    <cellStyle name="Normal 18 7 2 3 2 4" xfId="30606" xr:uid="{00000000-0005-0000-0000-00007F660000}"/>
    <cellStyle name="Normal 18 7 2 3 2 5" xfId="21037" xr:uid="{00000000-0005-0000-0000-000080660000}"/>
    <cellStyle name="Normal 18 7 2 3 3" xfId="11468" xr:uid="{00000000-0005-0000-0000-000081660000}"/>
    <cellStyle name="Normal 18 7 2 3 3 2" xfId="49742" xr:uid="{00000000-0005-0000-0000-000082660000}"/>
    <cellStyle name="Normal 18 7 2 3 3 3" xfId="33642" xr:uid="{00000000-0005-0000-0000-000083660000}"/>
    <cellStyle name="Normal 18 7 2 3 3 4" xfId="24073" xr:uid="{00000000-0005-0000-0000-000084660000}"/>
    <cellStyle name="Normal 18 7 2 3 4" xfId="5396" xr:uid="{00000000-0005-0000-0000-000085660000}"/>
    <cellStyle name="Normal 18 7 2 3 4 2" xfId="53237" xr:uid="{00000000-0005-0000-0000-000086660000}"/>
    <cellStyle name="Normal 18 7 2 3 4 3" xfId="37137" xr:uid="{00000000-0005-0000-0000-000087660000}"/>
    <cellStyle name="Normal 18 7 2 3 4 4" xfId="18001" xr:uid="{00000000-0005-0000-0000-000088660000}"/>
    <cellStyle name="Normal 18 7 2 3 5" xfId="43670" xr:uid="{00000000-0005-0000-0000-000089660000}"/>
    <cellStyle name="Normal 18 7 2 3 6" xfId="27570" xr:uid="{00000000-0005-0000-0000-00008A660000}"/>
    <cellStyle name="Normal 18 7 2 3 7" xfId="14506" xr:uid="{00000000-0005-0000-0000-00008B660000}"/>
    <cellStyle name="Normal 18 7 2 4" xfId="4386" xr:uid="{00000000-0005-0000-0000-00008C660000}"/>
    <cellStyle name="Normal 18 7 2 4 2" xfId="36127" xr:uid="{00000000-0005-0000-0000-00008D660000}"/>
    <cellStyle name="Normal 18 7 2 4 2 2" xfId="52227" xr:uid="{00000000-0005-0000-0000-00008E660000}"/>
    <cellStyle name="Normal 18 7 2 4 3" xfId="42660" xr:uid="{00000000-0005-0000-0000-00008F660000}"/>
    <cellStyle name="Normal 18 7 2 4 4" xfId="26560" xr:uid="{00000000-0005-0000-0000-000090660000}"/>
    <cellStyle name="Normal 18 7 2 4 5" xfId="16991" xr:uid="{00000000-0005-0000-0000-000091660000}"/>
    <cellStyle name="Normal 18 7 2 5" xfId="7422" xr:uid="{00000000-0005-0000-0000-000092660000}"/>
    <cellStyle name="Normal 18 7 2 5 2" xfId="39163" xr:uid="{00000000-0005-0000-0000-000093660000}"/>
    <cellStyle name="Normal 18 7 2 5 2 2" xfId="55263" xr:uid="{00000000-0005-0000-0000-000094660000}"/>
    <cellStyle name="Normal 18 7 2 5 3" xfId="45696" xr:uid="{00000000-0005-0000-0000-000095660000}"/>
    <cellStyle name="Normal 18 7 2 5 4" xfId="29596" xr:uid="{00000000-0005-0000-0000-000096660000}"/>
    <cellStyle name="Normal 18 7 2 5 5" xfId="20027" xr:uid="{00000000-0005-0000-0000-000097660000}"/>
    <cellStyle name="Normal 18 7 2 6" xfId="10458" xr:uid="{00000000-0005-0000-0000-000098660000}"/>
    <cellStyle name="Normal 18 7 2 6 2" xfId="48732" xr:uid="{00000000-0005-0000-0000-000099660000}"/>
    <cellStyle name="Normal 18 7 2 6 3" xfId="32632" xr:uid="{00000000-0005-0000-0000-00009A660000}"/>
    <cellStyle name="Normal 18 7 2 6 4" xfId="23063" xr:uid="{00000000-0005-0000-0000-00009B660000}"/>
    <cellStyle name="Normal 18 7 2 7" xfId="3481" xr:uid="{00000000-0005-0000-0000-00009C660000}"/>
    <cellStyle name="Normal 18 7 2 7 2" xfId="51322" xr:uid="{00000000-0005-0000-0000-00009D660000}"/>
    <cellStyle name="Normal 18 7 2 7 3" xfId="35222" xr:uid="{00000000-0005-0000-0000-00009E660000}"/>
    <cellStyle name="Normal 18 7 2 7 4" xfId="16086" xr:uid="{00000000-0005-0000-0000-00009F660000}"/>
    <cellStyle name="Normal 18 7 2 8" xfId="41755" xr:uid="{00000000-0005-0000-0000-0000A0660000}"/>
    <cellStyle name="Normal 18 7 2 9" xfId="25655" xr:uid="{00000000-0005-0000-0000-0000A1660000}"/>
    <cellStyle name="Normal 18 7 3" xfId="666" xr:uid="{00000000-0005-0000-0000-0000A2660000}"/>
    <cellStyle name="Normal 18 7 3 2" xfId="2694" xr:uid="{00000000-0005-0000-0000-0000A3660000}"/>
    <cellStyle name="Normal 18 7 3 2 2" xfId="9226" xr:uid="{00000000-0005-0000-0000-0000A4660000}"/>
    <cellStyle name="Normal 18 7 3 2 2 2" xfId="40967" xr:uid="{00000000-0005-0000-0000-0000A5660000}"/>
    <cellStyle name="Normal 18 7 3 2 2 2 2" xfId="57067" xr:uid="{00000000-0005-0000-0000-0000A6660000}"/>
    <cellStyle name="Normal 18 7 3 2 2 3" xfId="47500" xr:uid="{00000000-0005-0000-0000-0000A7660000}"/>
    <cellStyle name="Normal 18 7 3 2 2 4" xfId="31400" xr:uid="{00000000-0005-0000-0000-0000A8660000}"/>
    <cellStyle name="Normal 18 7 3 2 2 5" xfId="21831" xr:uid="{00000000-0005-0000-0000-0000A9660000}"/>
    <cellStyle name="Normal 18 7 3 2 3" xfId="12262" xr:uid="{00000000-0005-0000-0000-0000AA660000}"/>
    <cellStyle name="Normal 18 7 3 2 3 2" xfId="50536" xr:uid="{00000000-0005-0000-0000-0000AB660000}"/>
    <cellStyle name="Normal 18 7 3 2 3 3" xfId="34436" xr:uid="{00000000-0005-0000-0000-0000AC660000}"/>
    <cellStyle name="Normal 18 7 3 2 3 4" xfId="24867" xr:uid="{00000000-0005-0000-0000-0000AD660000}"/>
    <cellStyle name="Normal 18 7 3 2 4" xfId="6190" xr:uid="{00000000-0005-0000-0000-0000AE660000}"/>
    <cellStyle name="Normal 18 7 3 2 4 2" xfId="54031" xr:uid="{00000000-0005-0000-0000-0000AF660000}"/>
    <cellStyle name="Normal 18 7 3 2 4 3" xfId="37931" xr:uid="{00000000-0005-0000-0000-0000B0660000}"/>
    <cellStyle name="Normal 18 7 3 2 4 4" xfId="18795" xr:uid="{00000000-0005-0000-0000-0000B1660000}"/>
    <cellStyle name="Normal 18 7 3 2 5" xfId="44464" xr:uid="{00000000-0005-0000-0000-0000B2660000}"/>
    <cellStyle name="Normal 18 7 3 2 6" xfId="28364" xr:uid="{00000000-0005-0000-0000-0000B3660000}"/>
    <cellStyle name="Normal 18 7 3 2 7" xfId="15300" xr:uid="{00000000-0005-0000-0000-0000B4660000}"/>
    <cellStyle name="Normal 18 7 3 3" xfId="1676" xr:uid="{00000000-0005-0000-0000-0000B5660000}"/>
    <cellStyle name="Normal 18 7 3 3 2" xfId="8210" xr:uid="{00000000-0005-0000-0000-0000B6660000}"/>
    <cellStyle name="Normal 18 7 3 3 2 2" xfId="39951" xr:uid="{00000000-0005-0000-0000-0000B7660000}"/>
    <cellStyle name="Normal 18 7 3 3 2 2 2" xfId="56051" xr:uid="{00000000-0005-0000-0000-0000B8660000}"/>
    <cellStyle name="Normal 18 7 3 3 2 3" xfId="46484" xr:uid="{00000000-0005-0000-0000-0000B9660000}"/>
    <cellStyle name="Normal 18 7 3 3 2 4" xfId="30384" xr:uid="{00000000-0005-0000-0000-0000BA660000}"/>
    <cellStyle name="Normal 18 7 3 3 2 5" xfId="20815" xr:uid="{00000000-0005-0000-0000-0000BB660000}"/>
    <cellStyle name="Normal 18 7 3 3 3" xfId="11246" xr:uid="{00000000-0005-0000-0000-0000BC660000}"/>
    <cellStyle name="Normal 18 7 3 3 3 2" xfId="49520" xr:uid="{00000000-0005-0000-0000-0000BD660000}"/>
    <cellStyle name="Normal 18 7 3 3 3 3" xfId="33420" xr:uid="{00000000-0005-0000-0000-0000BE660000}"/>
    <cellStyle name="Normal 18 7 3 3 3 4" xfId="23851" xr:uid="{00000000-0005-0000-0000-0000BF660000}"/>
    <cellStyle name="Normal 18 7 3 3 4" xfId="5174" xr:uid="{00000000-0005-0000-0000-0000C0660000}"/>
    <cellStyle name="Normal 18 7 3 3 4 2" xfId="53015" xr:uid="{00000000-0005-0000-0000-0000C1660000}"/>
    <cellStyle name="Normal 18 7 3 3 4 3" xfId="36915" xr:uid="{00000000-0005-0000-0000-0000C2660000}"/>
    <cellStyle name="Normal 18 7 3 3 4 4" xfId="17779" xr:uid="{00000000-0005-0000-0000-0000C3660000}"/>
    <cellStyle name="Normal 18 7 3 3 5" xfId="43448" xr:uid="{00000000-0005-0000-0000-0000C4660000}"/>
    <cellStyle name="Normal 18 7 3 3 6" xfId="27348" xr:uid="{00000000-0005-0000-0000-0000C5660000}"/>
    <cellStyle name="Normal 18 7 3 3 7" xfId="14284" xr:uid="{00000000-0005-0000-0000-0000C6660000}"/>
    <cellStyle name="Normal 18 7 3 4" xfId="7200" xr:uid="{00000000-0005-0000-0000-0000C7660000}"/>
    <cellStyle name="Normal 18 7 3 4 2" xfId="38941" xr:uid="{00000000-0005-0000-0000-0000C8660000}"/>
    <cellStyle name="Normal 18 7 3 4 2 2" xfId="55041" xr:uid="{00000000-0005-0000-0000-0000C9660000}"/>
    <cellStyle name="Normal 18 7 3 4 3" xfId="45474" xr:uid="{00000000-0005-0000-0000-0000CA660000}"/>
    <cellStyle name="Normal 18 7 3 4 4" xfId="29374" xr:uid="{00000000-0005-0000-0000-0000CB660000}"/>
    <cellStyle name="Normal 18 7 3 4 5" xfId="19805" xr:uid="{00000000-0005-0000-0000-0000CC660000}"/>
    <cellStyle name="Normal 18 7 3 5" xfId="10236" xr:uid="{00000000-0005-0000-0000-0000CD660000}"/>
    <cellStyle name="Normal 18 7 3 5 2" xfId="48510" xr:uid="{00000000-0005-0000-0000-0000CE660000}"/>
    <cellStyle name="Normal 18 7 3 5 3" xfId="32410" xr:uid="{00000000-0005-0000-0000-0000CF660000}"/>
    <cellStyle name="Normal 18 7 3 5 4" xfId="22841" xr:uid="{00000000-0005-0000-0000-0000D0660000}"/>
    <cellStyle name="Normal 18 7 3 6" xfId="4164" xr:uid="{00000000-0005-0000-0000-0000D1660000}"/>
    <cellStyle name="Normal 18 7 3 6 2" xfId="52005" xr:uid="{00000000-0005-0000-0000-0000D2660000}"/>
    <cellStyle name="Normal 18 7 3 6 3" xfId="35905" xr:uid="{00000000-0005-0000-0000-0000D3660000}"/>
    <cellStyle name="Normal 18 7 3 6 4" xfId="16769" xr:uid="{00000000-0005-0000-0000-0000D4660000}"/>
    <cellStyle name="Normal 18 7 3 7" xfId="42438" xr:uid="{00000000-0005-0000-0000-0000D5660000}"/>
    <cellStyle name="Normal 18 7 3 8" xfId="26338" xr:uid="{00000000-0005-0000-0000-0000D6660000}"/>
    <cellStyle name="Normal 18 7 3 9" xfId="13274" xr:uid="{00000000-0005-0000-0000-0000D7660000}"/>
    <cellStyle name="Normal 18 7 4" xfId="2466" xr:uid="{00000000-0005-0000-0000-0000D8660000}"/>
    <cellStyle name="Normal 18 7 4 2" xfId="8998" xr:uid="{00000000-0005-0000-0000-0000D9660000}"/>
    <cellStyle name="Normal 18 7 4 2 2" xfId="40739" xr:uid="{00000000-0005-0000-0000-0000DA660000}"/>
    <cellStyle name="Normal 18 7 4 2 2 2" xfId="56839" xr:uid="{00000000-0005-0000-0000-0000DB660000}"/>
    <cellStyle name="Normal 18 7 4 2 3" xfId="47272" xr:uid="{00000000-0005-0000-0000-0000DC660000}"/>
    <cellStyle name="Normal 18 7 4 2 4" xfId="31172" xr:uid="{00000000-0005-0000-0000-0000DD660000}"/>
    <cellStyle name="Normal 18 7 4 2 5" xfId="21603" xr:uid="{00000000-0005-0000-0000-0000DE660000}"/>
    <cellStyle name="Normal 18 7 4 3" xfId="12034" xr:uid="{00000000-0005-0000-0000-0000DF660000}"/>
    <cellStyle name="Normal 18 7 4 3 2" xfId="50308" xr:uid="{00000000-0005-0000-0000-0000E0660000}"/>
    <cellStyle name="Normal 18 7 4 3 3" xfId="34208" xr:uid="{00000000-0005-0000-0000-0000E1660000}"/>
    <cellStyle name="Normal 18 7 4 3 4" xfId="24639" xr:uid="{00000000-0005-0000-0000-0000E2660000}"/>
    <cellStyle name="Normal 18 7 4 4" xfId="5962" xr:uid="{00000000-0005-0000-0000-0000E3660000}"/>
    <cellStyle name="Normal 18 7 4 4 2" xfId="53803" xr:uid="{00000000-0005-0000-0000-0000E4660000}"/>
    <cellStyle name="Normal 18 7 4 4 3" xfId="37703" xr:uid="{00000000-0005-0000-0000-0000E5660000}"/>
    <cellStyle name="Normal 18 7 4 4 4" xfId="18567" xr:uid="{00000000-0005-0000-0000-0000E6660000}"/>
    <cellStyle name="Normal 18 7 4 5" xfId="44236" xr:uid="{00000000-0005-0000-0000-0000E7660000}"/>
    <cellStyle name="Normal 18 7 4 6" xfId="28136" xr:uid="{00000000-0005-0000-0000-0000E8660000}"/>
    <cellStyle name="Normal 18 7 4 7" xfId="15072" xr:uid="{00000000-0005-0000-0000-0000E9660000}"/>
    <cellStyle name="Normal 18 7 5" xfId="1215" xr:uid="{00000000-0005-0000-0000-0000EA660000}"/>
    <cellStyle name="Normal 18 7 5 2" xfId="7749" xr:uid="{00000000-0005-0000-0000-0000EB660000}"/>
    <cellStyle name="Normal 18 7 5 2 2" xfId="39490" xr:uid="{00000000-0005-0000-0000-0000EC660000}"/>
    <cellStyle name="Normal 18 7 5 2 2 2" xfId="55590" xr:uid="{00000000-0005-0000-0000-0000ED660000}"/>
    <cellStyle name="Normal 18 7 5 2 3" xfId="46023" xr:uid="{00000000-0005-0000-0000-0000EE660000}"/>
    <cellStyle name="Normal 18 7 5 2 4" xfId="29923" xr:uid="{00000000-0005-0000-0000-0000EF660000}"/>
    <cellStyle name="Normal 18 7 5 2 5" xfId="20354" xr:uid="{00000000-0005-0000-0000-0000F0660000}"/>
    <cellStyle name="Normal 18 7 5 3" xfId="10785" xr:uid="{00000000-0005-0000-0000-0000F1660000}"/>
    <cellStyle name="Normal 18 7 5 3 2" xfId="49059" xr:uid="{00000000-0005-0000-0000-0000F2660000}"/>
    <cellStyle name="Normal 18 7 5 3 3" xfId="32959" xr:uid="{00000000-0005-0000-0000-0000F3660000}"/>
    <cellStyle name="Normal 18 7 5 3 4" xfId="23390" xr:uid="{00000000-0005-0000-0000-0000F4660000}"/>
    <cellStyle name="Normal 18 7 5 4" xfId="4713" xr:uid="{00000000-0005-0000-0000-0000F5660000}"/>
    <cellStyle name="Normal 18 7 5 4 2" xfId="52554" xr:uid="{00000000-0005-0000-0000-0000F6660000}"/>
    <cellStyle name="Normal 18 7 5 4 3" xfId="36454" xr:uid="{00000000-0005-0000-0000-0000F7660000}"/>
    <cellStyle name="Normal 18 7 5 4 4" xfId="17318" xr:uid="{00000000-0005-0000-0000-0000F8660000}"/>
    <cellStyle name="Normal 18 7 5 5" xfId="42987" xr:uid="{00000000-0005-0000-0000-0000F9660000}"/>
    <cellStyle name="Normal 18 7 5 6" xfId="26887" xr:uid="{00000000-0005-0000-0000-0000FA660000}"/>
    <cellStyle name="Normal 18 7 5 7" xfId="13823" xr:uid="{00000000-0005-0000-0000-0000FB660000}"/>
    <cellStyle name="Normal 18 7 6" xfId="3703" xr:uid="{00000000-0005-0000-0000-0000FC660000}"/>
    <cellStyle name="Normal 18 7 6 2" xfId="35444" xr:uid="{00000000-0005-0000-0000-0000FD660000}"/>
    <cellStyle name="Normal 18 7 6 2 2" xfId="51544" xr:uid="{00000000-0005-0000-0000-0000FE660000}"/>
    <cellStyle name="Normal 18 7 6 3" xfId="41977" xr:uid="{00000000-0005-0000-0000-0000FF660000}"/>
    <cellStyle name="Normal 18 7 6 4" xfId="25877" xr:uid="{00000000-0005-0000-0000-000000670000}"/>
    <cellStyle name="Normal 18 7 6 5" xfId="16308" xr:uid="{00000000-0005-0000-0000-000001670000}"/>
    <cellStyle name="Normal 18 7 7" xfId="6739" xr:uid="{00000000-0005-0000-0000-000002670000}"/>
    <cellStyle name="Normal 18 7 7 2" xfId="38480" xr:uid="{00000000-0005-0000-0000-000003670000}"/>
    <cellStyle name="Normal 18 7 7 2 2" xfId="54580" xr:uid="{00000000-0005-0000-0000-000004670000}"/>
    <cellStyle name="Normal 18 7 7 3" xfId="45013" xr:uid="{00000000-0005-0000-0000-000005670000}"/>
    <cellStyle name="Normal 18 7 7 4" xfId="28913" xr:uid="{00000000-0005-0000-0000-000006670000}"/>
    <cellStyle name="Normal 18 7 7 5" xfId="19344" xr:uid="{00000000-0005-0000-0000-000007670000}"/>
    <cellStyle name="Normal 18 7 8" xfId="9775" xr:uid="{00000000-0005-0000-0000-000008670000}"/>
    <cellStyle name="Normal 18 7 8 2" xfId="48049" xr:uid="{00000000-0005-0000-0000-000009670000}"/>
    <cellStyle name="Normal 18 7 8 3" xfId="31949" xr:uid="{00000000-0005-0000-0000-00000A670000}"/>
    <cellStyle name="Normal 18 7 8 4" xfId="22380" xr:uid="{00000000-0005-0000-0000-00000B670000}"/>
    <cellStyle name="Normal 18 7 9" xfId="3243" xr:uid="{00000000-0005-0000-0000-00000C670000}"/>
    <cellStyle name="Normal 18 7 9 2" xfId="51085" xr:uid="{00000000-0005-0000-0000-00000D670000}"/>
    <cellStyle name="Normal 18 7 9 3" xfId="34985" xr:uid="{00000000-0005-0000-0000-00000E670000}"/>
    <cellStyle name="Normal 18 7 9 4" xfId="15849" xr:uid="{00000000-0005-0000-0000-00000F670000}"/>
    <cellStyle name="Normal 18 8" xfId="452" xr:uid="{00000000-0005-0000-0000-000010670000}"/>
    <cellStyle name="Normal 18 8 10" xfId="41535" xr:uid="{00000000-0005-0000-0000-000011670000}"/>
    <cellStyle name="Normal 18 8 11" xfId="25435" xr:uid="{00000000-0005-0000-0000-000012670000}"/>
    <cellStyle name="Normal 18 8 12" xfId="12830" xr:uid="{00000000-0005-0000-0000-000013670000}"/>
    <cellStyle name="Normal 18 8 2" xfId="905" xr:uid="{00000000-0005-0000-0000-000014670000}"/>
    <cellStyle name="Normal 18 8 2 10" xfId="13513" xr:uid="{00000000-0005-0000-0000-000015670000}"/>
    <cellStyle name="Normal 18 8 2 2" xfId="2933" xr:uid="{00000000-0005-0000-0000-000016670000}"/>
    <cellStyle name="Normal 18 8 2 2 2" xfId="9465" xr:uid="{00000000-0005-0000-0000-000017670000}"/>
    <cellStyle name="Normal 18 8 2 2 2 2" xfId="41206" xr:uid="{00000000-0005-0000-0000-000018670000}"/>
    <cellStyle name="Normal 18 8 2 2 2 2 2" xfId="57306" xr:uid="{00000000-0005-0000-0000-000019670000}"/>
    <cellStyle name="Normal 18 8 2 2 2 3" xfId="47739" xr:uid="{00000000-0005-0000-0000-00001A670000}"/>
    <cellStyle name="Normal 18 8 2 2 2 4" xfId="31639" xr:uid="{00000000-0005-0000-0000-00001B670000}"/>
    <cellStyle name="Normal 18 8 2 2 2 5" xfId="22070" xr:uid="{00000000-0005-0000-0000-00001C670000}"/>
    <cellStyle name="Normal 18 8 2 2 3" xfId="12501" xr:uid="{00000000-0005-0000-0000-00001D670000}"/>
    <cellStyle name="Normal 18 8 2 2 3 2" xfId="50775" xr:uid="{00000000-0005-0000-0000-00001E670000}"/>
    <cellStyle name="Normal 18 8 2 2 3 3" xfId="34675" xr:uid="{00000000-0005-0000-0000-00001F670000}"/>
    <cellStyle name="Normal 18 8 2 2 3 4" xfId="25106" xr:uid="{00000000-0005-0000-0000-000020670000}"/>
    <cellStyle name="Normal 18 8 2 2 4" xfId="6429" xr:uid="{00000000-0005-0000-0000-000021670000}"/>
    <cellStyle name="Normal 18 8 2 2 4 2" xfId="54270" xr:uid="{00000000-0005-0000-0000-000022670000}"/>
    <cellStyle name="Normal 18 8 2 2 4 3" xfId="38170" xr:uid="{00000000-0005-0000-0000-000023670000}"/>
    <cellStyle name="Normal 18 8 2 2 4 4" xfId="19034" xr:uid="{00000000-0005-0000-0000-000024670000}"/>
    <cellStyle name="Normal 18 8 2 2 5" xfId="44703" xr:uid="{00000000-0005-0000-0000-000025670000}"/>
    <cellStyle name="Normal 18 8 2 2 6" xfId="28603" xr:uid="{00000000-0005-0000-0000-000026670000}"/>
    <cellStyle name="Normal 18 8 2 2 7" xfId="15539" xr:uid="{00000000-0005-0000-0000-000027670000}"/>
    <cellStyle name="Normal 18 8 2 3" xfId="1915" xr:uid="{00000000-0005-0000-0000-000028670000}"/>
    <cellStyle name="Normal 18 8 2 3 2" xfId="8449" xr:uid="{00000000-0005-0000-0000-000029670000}"/>
    <cellStyle name="Normal 18 8 2 3 2 2" xfId="40190" xr:uid="{00000000-0005-0000-0000-00002A670000}"/>
    <cellStyle name="Normal 18 8 2 3 2 2 2" xfId="56290" xr:uid="{00000000-0005-0000-0000-00002B670000}"/>
    <cellStyle name="Normal 18 8 2 3 2 3" xfId="46723" xr:uid="{00000000-0005-0000-0000-00002C670000}"/>
    <cellStyle name="Normal 18 8 2 3 2 4" xfId="30623" xr:uid="{00000000-0005-0000-0000-00002D670000}"/>
    <cellStyle name="Normal 18 8 2 3 2 5" xfId="21054" xr:uid="{00000000-0005-0000-0000-00002E670000}"/>
    <cellStyle name="Normal 18 8 2 3 3" xfId="11485" xr:uid="{00000000-0005-0000-0000-00002F670000}"/>
    <cellStyle name="Normal 18 8 2 3 3 2" xfId="49759" xr:uid="{00000000-0005-0000-0000-000030670000}"/>
    <cellStyle name="Normal 18 8 2 3 3 3" xfId="33659" xr:uid="{00000000-0005-0000-0000-000031670000}"/>
    <cellStyle name="Normal 18 8 2 3 3 4" xfId="24090" xr:uid="{00000000-0005-0000-0000-000032670000}"/>
    <cellStyle name="Normal 18 8 2 3 4" xfId="5413" xr:uid="{00000000-0005-0000-0000-000033670000}"/>
    <cellStyle name="Normal 18 8 2 3 4 2" xfId="53254" xr:uid="{00000000-0005-0000-0000-000034670000}"/>
    <cellStyle name="Normal 18 8 2 3 4 3" xfId="37154" xr:uid="{00000000-0005-0000-0000-000035670000}"/>
    <cellStyle name="Normal 18 8 2 3 4 4" xfId="18018" xr:uid="{00000000-0005-0000-0000-000036670000}"/>
    <cellStyle name="Normal 18 8 2 3 5" xfId="43687" xr:uid="{00000000-0005-0000-0000-000037670000}"/>
    <cellStyle name="Normal 18 8 2 3 6" xfId="27587" xr:uid="{00000000-0005-0000-0000-000038670000}"/>
    <cellStyle name="Normal 18 8 2 3 7" xfId="14523" xr:uid="{00000000-0005-0000-0000-000039670000}"/>
    <cellStyle name="Normal 18 8 2 4" xfId="4403" xr:uid="{00000000-0005-0000-0000-00003A670000}"/>
    <cellStyle name="Normal 18 8 2 4 2" xfId="36144" xr:uid="{00000000-0005-0000-0000-00003B670000}"/>
    <cellStyle name="Normal 18 8 2 4 2 2" xfId="52244" xr:uid="{00000000-0005-0000-0000-00003C670000}"/>
    <cellStyle name="Normal 18 8 2 4 3" xfId="42677" xr:uid="{00000000-0005-0000-0000-00003D670000}"/>
    <cellStyle name="Normal 18 8 2 4 4" xfId="26577" xr:uid="{00000000-0005-0000-0000-00003E670000}"/>
    <cellStyle name="Normal 18 8 2 4 5" xfId="17008" xr:uid="{00000000-0005-0000-0000-00003F670000}"/>
    <cellStyle name="Normal 18 8 2 5" xfId="7439" xr:uid="{00000000-0005-0000-0000-000040670000}"/>
    <cellStyle name="Normal 18 8 2 5 2" xfId="39180" xr:uid="{00000000-0005-0000-0000-000041670000}"/>
    <cellStyle name="Normal 18 8 2 5 2 2" xfId="55280" xr:uid="{00000000-0005-0000-0000-000042670000}"/>
    <cellStyle name="Normal 18 8 2 5 3" xfId="45713" xr:uid="{00000000-0005-0000-0000-000043670000}"/>
    <cellStyle name="Normal 18 8 2 5 4" xfId="29613" xr:uid="{00000000-0005-0000-0000-000044670000}"/>
    <cellStyle name="Normal 18 8 2 5 5" xfId="20044" xr:uid="{00000000-0005-0000-0000-000045670000}"/>
    <cellStyle name="Normal 18 8 2 6" xfId="10475" xr:uid="{00000000-0005-0000-0000-000046670000}"/>
    <cellStyle name="Normal 18 8 2 6 2" xfId="48749" xr:uid="{00000000-0005-0000-0000-000047670000}"/>
    <cellStyle name="Normal 18 8 2 6 3" xfId="32649" xr:uid="{00000000-0005-0000-0000-000048670000}"/>
    <cellStyle name="Normal 18 8 2 6 4" xfId="23080" xr:uid="{00000000-0005-0000-0000-000049670000}"/>
    <cellStyle name="Normal 18 8 2 7" xfId="3498" xr:uid="{00000000-0005-0000-0000-00004A670000}"/>
    <cellStyle name="Normal 18 8 2 7 2" xfId="51339" xr:uid="{00000000-0005-0000-0000-00004B670000}"/>
    <cellStyle name="Normal 18 8 2 7 3" xfId="35239" xr:uid="{00000000-0005-0000-0000-00004C670000}"/>
    <cellStyle name="Normal 18 8 2 7 4" xfId="16103" xr:uid="{00000000-0005-0000-0000-00004D670000}"/>
    <cellStyle name="Normal 18 8 2 8" xfId="41772" xr:uid="{00000000-0005-0000-0000-00004E670000}"/>
    <cellStyle name="Normal 18 8 2 9" xfId="25672" xr:uid="{00000000-0005-0000-0000-00004F670000}"/>
    <cellStyle name="Normal 18 8 3" xfId="683" xr:uid="{00000000-0005-0000-0000-000050670000}"/>
    <cellStyle name="Normal 18 8 3 2" xfId="2711" xr:uid="{00000000-0005-0000-0000-000051670000}"/>
    <cellStyle name="Normal 18 8 3 2 2" xfId="9243" xr:uid="{00000000-0005-0000-0000-000052670000}"/>
    <cellStyle name="Normal 18 8 3 2 2 2" xfId="40984" xr:uid="{00000000-0005-0000-0000-000053670000}"/>
    <cellStyle name="Normal 18 8 3 2 2 2 2" xfId="57084" xr:uid="{00000000-0005-0000-0000-000054670000}"/>
    <cellStyle name="Normal 18 8 3 2 2 3" xfId="47517" xr:uid="{00000000-0005-0000-0000-000055670000}"/>
    <cellStyle name="Normal 18 8 3 2 2 4" xfId="31417" xr:uid="{00000000-0005-0000-0000-000056670000}"/>
    <cellStyle name="Normal 18 8 3 2 2 5" xfId="21848" xr:uid="{00000000-0005-0000-0000-000057670000}"/>
    <cellStyle name="Normal 18 8 3 2 3" xfId="12279" xr:uid="{00000000-0005-0000-0000-000058670000}"/>
    <cellStyle name="Normal 18 8 3 2 3 2" xfId="50553" xr:uid="{00000000-0005-0000-0000-000059670000}"/>
    <cellStyle name="Normal 18 8 3 2 3 3" xfId="34453" xr:uid="{00000000-0005-0000-0000-00005A670000}"/>
    <cellStyle name="Normal 18 8 3 2 3 4" xfId="24884" xr:uid="{00000000-0005-0000-0000-00005B670000}"/>
    <cellStyle name="Normal 18 8 3 2 4" xfId="6207" xr:uid="{00000000-0005-0000-0000-00005C670000}"/>
    <cellStyle name="Normal 18 8 3 2 4 2" xfId="54048" xr:uid="{00000000-0005-0000-0000-00005D670000}"/>
    <cellStyle name="Normal 18 8 3 2 4 3" xfId="37948" xr:uid="{00000000-0005-0000-0000-00005E670000}"/>
    <cellStyle name="Normal 18 8 3 2 4 4" xfId="18812" xr:uid="{00000000-0005-0000-0000-00005F670000}"/>
    <cellStyle name="Normal 18 8 3 2 5" xfId="44481" xr:uid="{00000000-0005-0000-0000-000060670000}"/>
    <cellStyle name="Normal 18 8 3 2 6" xfId="28381" xr:uid="{00000000-0005-0000-0000-000061670000}"/>
    <cellStyle name="Normal 18 8 3 2 7" xfId="15317" xr:uid="{00000000-0005-0000-0000-000062670000}"/>
    <cellStyle name="Normal 18 8 3 3" xfId="1693" xr:uid="{00000000-0005-0000-0000-000063670000}"/>
    <cellStyle name="Normal 18 8 3 3 2" xfId="8227" xr:uid="{00000000-0005-0000-0000-000064670000}"/>
    <cellStyle name="Normal 18 8 3 3 2 2" xfId="39968" xr:uid="{00000000-0005-0000-0000-000065670000}"/>
    <cellStyle name="Normal 18 8 3 3 2 2 2" xfId="56068" xr:uid="{00000000-0005-0000-0000-000066670000}"/>
    <cellStyle name="Normal 18 8 3 3 2 3" xfId="46501" xr:uid="{00000000-0005-0000-0000-000067670000}"/>
    <cellStyle name="Normal 18 8 3 3 2 4" xfId="30401" xr:uid="{00000000-0005-0000-0000-000068670000}"/>
    <cellStyle name="Normal 18 8 3 3 2 5" xfId="20832" xr:uid="{00000000-0005-0000-0000-000069670000}"/>
    <cellStyle name="Normal 18 8 3 3 3" xfId="11263" xr:uid="{00000000-0005-0000-0000-00006A670000}"/>
    <cellStyle name="Normal 18 8 3 3 3 2" xfId="49537" xr:uid="{00000000-0005-0000-0000-00006B670000}"/>
    <cellStyle name="Normal 18 8 3 3 3 3" xfId="33437" xr:uid="{00000000-0005-0000-0000-00006C670000}"/>
    <cellStyle name="Normal 18 8 3 3 3 4" xfId="23868" xr:uid="{00000000-0005-0000-0000-00006D670000}"/>
    <cellStyle name="Normal 18 8 3 3 4" xfId="5191" xr:uid="{00000000-0005-0000-0000-00006E670000}"/>
    <cellStyle name="Normal 18 8 3 3 4 2" xfId="53032" xr:uid="{00000000-0005-0000-0000-00006F670000}"/>
    <cellStyle name="Normal 18 8 3 3 4 3" xfId="36932" xr:uid="{00000000-0005-0000-0000-000070670000}"/>
    <cellStyle name="Normal 18 8 3 3 4 4" xfId="17796" xr:uid="{00000000-0005-0000-0000-000071670000}"/>
    <cellStyle name="Normal 18 8 3 3 5" xfId="43465" xr:uid="{00000000-0005-0000-0000-000072670000}"/>
    <cellStyle name="Normal 18 8 3 3 6" xfId="27365" xr:uid="{00000000-0005-0000-0000-000073670000}"/>
    <cellStyle name="Normal 18 8 3 3 7" xfId="14301" xr:uid="{00000000-0005-0000-0000-000074670000}"/>
    <cellStyle name="Normal 18 8 3 4" xfId="7217" xr:uid="{00000000-0005-0000-0000-000075670000}"/>
    <cellStyle name="Normal 18 8 3 4 2" xfId="38958" xr:uid="{00000000-0005-0000-0000-000076670000}"/>
    <cellStyle name="Normal 18 8 3 4 2 2" xfId="55058" xr:uid="{00000000-0005-0000-0000-000077670000}"/>
    <cellStyle name="Normal 18 8 3 4 3" xfId="45491" xr:uid="{00000000-0005-0000-0000-000078670000}"/>
    <cellStyle name="Normal 18 8 3 4 4" xfId="29391" xr:uid="{00000000-0005-0000-0000-000079670000}"/>
    <cellStyle name="Normal 18 8 3 4 5" xfId="19822" xr:uid="{00000000-0005-0000-0000-00007A670000}"/>
    <cellStyle name="Normal 18 8 3 5" xfId="10253" xr:uid="{00000000-0005-0000-0000-00007B670000}"/>
    <cellStyle name="Normal 18 8 3 5 2" xfId="48527" xr:uid="{00000000-0005-0000-0000-00007C670000}"/>
    <cellStyle name="Normal 18 8 3 5 3" xfId="32427" xr:uid="{00000000-0005-0000-0000-00007D670000}"/>
    <cellStyle name="Normal 18 8 3 5 4" xfId="22858" xr:uid="{00000000-0005-0000-0000-00007E670000}"/>
    <cellStyle name="Normal 18 8 3 6" xfId="4181" xr:uid="{00000000-0005-0000-0000-00007F670000}"/>
    <cellStyle name="Normal 18 8 3 6 2" xfId="52022" xr:uid="{00000000-0005-0000-0000-000080670000}"/>
    <cellStyle name="Normal 18 8 3 6 3" xfId="35922" xr:uid="{00000000-0005-0000-0000-000081670000}"/>
    <cellStyle name="Normal 18 8 3 6 4" xfId="16786" xr:uid="{00000000-0005-0000-0000-000082670000}"/>
    <cellStyle name="Normal 18 8 3 7" xfId="42455" xr:uid="{00000000-0005-0000-0000-000083670000}"/>
    <cellStyle name="Normal 18 8 3 8" xfId="26355" xr:uid="{00000000-0005-0000-0000-000084670000}"/>
    <cellStyle name="Normal 18 8 3 9" xfId="13291" xr:uid="{00000000-0005-0000-0000-000085670000}"/>
    <cellStyle name="Normal 18 8 4" xfId="2483" xr:uid="{00000000-0005-0000-0000-000086670000}"/>
    <cellStyle name="Normal 18 8 4 2" xfId="9015" xr:uid="{00000000-0005-0000-0000-000087670000}"/>
    <cellStyle name="Normal 18 8 4 2 2" xfId="40756" xr:uid="{00000000-0005-0000-0000-000088670000}"/>
    <cellStyle name="Normal 18 8 4 2 2 2" xfId="56856" xr:uid="{00000000-0005-0000-0000-000089670000}"/>
    <cellStyle name="Normal 18 8 4 2 3" xfId="47289" xr:uid="{00000000-0005-0000-0000-00008A670000}"/>
    <cellStyle name="Normal 18 8 4 2 4" xfId="31189" xr:uid="{00000000-0005-0000-0000-00008B670000}"/>
    <cellStyle name="Normal 18 8 4 2 5" xfId="21620" xr:uid="{00000000-0005-0000-0000-00008C670000}"/>
    <cellStyle name="Normal 18 8 4 3" xfId="12051" xr:uid="{00000000-0005-0000-0000-00008D670000}"/>
    <cellStyle name="Normal 18 8 4 3 2" xfId="50325" xr:uid="{00000000-0005-0000-0000-00008E670000}"/>
    <cellStyle name="Normal 18 8 4 3 3" xfId="34225" xr:uid="{00000000-0005-0000-0000-00008F670000}"/>
    <cellStyle name="Normal 18 8 4 3 4" xfId="24656" xr:uid="{00000000-0005-0000-0000-000090670000}"/>
    <cellStyle name="Normal 18 8 4 4" xfId="5979" xr:uid="{00000000-0005-0000-0000-000091670000}"/>
    <cellStyle name="Normal 18 8 4 4 2" xfId="53820" xr:uid="{00000000-0005-0000-0000-000092670000}"/>
    <cellStyle name="Normal 18 8 4 4 3" xfId="37720" xr:uid="{00000000-0005-0000-0000-000093670000}"/>
    <cellStyle name="Normal 18 8 4 4 4" xfId="18584" xr:uid="{00000000-0005-0000-0000-000094670000}"/>
    <cellStyle name="Normal 18 8 4 5" xfId="44253" xr:uid="{00000000-0005-0000-0000-000095670000}"/>
    <cellStyle name="Normal 18 8 4 6" xfId="28153" xr:uid="{00000000-0005-0000-0000-000096670000}"/>
    <cellStyle name="Normal 18 8 4 7" xfId="15089" xr:uid="{00000000-0005-0000-0000-000097670000}"/>
    <cellStyle name="Normal 18 8 5" xfId="1232" xr:uid="{00000000-0005-0000-0000-000098670000}"/>
    <cellStyle name="Normal 18 8 5 2" xfId="7766" xr:uid="{00000000-0005-0000-0000-000099670000}"/>
    <cellStyle name="Normal 18 8 5 2 2" xfId="39507" xr:uid="{00000000-0005-0000-0000-00009A670000}"/>
    <cellStyle name="Normal 18 8 5 2 2 2" xfId="55607" xr:uid="{00000000-0005-0000-0000-00009B670000}"/>
    <cellStyle name="Normal 18 8 5 2 3" xfId="46040" xr:uid="{00000000-0005-0000-0000-00009C670000}"/>
    <cellStyle name="Normal 18 8 5 2 4" xfId="29940" xr:uid="{00000000-0005-0000-0000-00009D670000}"/>
    <cellStyle name="Normal 18 8 5 2 5" xfId="20371" xr:uid="{00000000-0005-0000-0000-00009E670000}"/>
    <cellStyle name="Normal 18 8 5 3" xfId="10802" xr:uid="{00000000-0005-0000-0000-00009F670000}"/>
    <cellStyle name="Normal 18 8 5 3 2" xfId="49076" xr:uid="{00000000-0005-0000-0000-0000A0670000}"/>
    <cellStyle name="Normal 18 8 5 3 3" xfId="32976" xr:uid="{00000000-0005-0000-0000-0000A1670000}"/>
    <cellStyle name="Normal 18 8 5 3 4" xfId="23407" xr:uid="{00000000-0005-0000-0000-0000A2670000}"/>
    <cellStyle name="Normal 18 8 5 4" xfId="4730" xr:uid="{00000000-0005-0000-0000-0000A3670000}"/>
    <cellStyle name="Normal 18 8 5 4 2" xfId="52571" xr:uid="{00000000-0005-0000-0000-0000A4670000}"/>
    <cellStyle name="Normal 18 8 5 4 3" xfId="36471" xr:uid="{00000000-0005-0000-0000-0000A5670000}"/>
    <cellStyle name="Normal 18 8 5 4 4" xfId="17335" xr:uid="{00000000-0005-0000-0000-0000A6670000}"/>
    <cellStyle name="Normal 18 8 5 5" xfId="43004" xr:uid="{00000000-0005-0000-0000-0000A7670000}"/>
    <cellStyle name="Normal 18 8 5 6" xfId="26904" xr:uid="{00000000-0005-0000-0000-0000A8670000}"/>
    <cellStyle name="Normal 18 8 5 7" xfId="13840" xr:uid="{00000000-0005-0000-0000-0000A9670000}"/>
    <cellStyle name="Normal 18 8 6" xfId="3720" xr:uid="{00000000-0005-0000-0000-0000AA670000}"/>
    <cellStyle name="Normal 18 8 6 2" xfId="35461" xr:uid="{00000000-0005-0000-0000-0000AB670000}"/>
    <cellStyle name="Normal 18 8 6 2 2" xfId="51561" xr:uid="{00000000-0005-0000-0000-0000AC670000}"/>
    <cellStyle name="Normal 18 8 6 3" xfId="41994" xr:uid="{00000000-0005-0000-0000-0000AD670000}"/>
    <cellStyle name="Normal 18 8 6 4" xfId="25894" xr:uid="{00000000-0005-0000-0000-0000AE670000}"/>
    <cellStyle name="Normal 18 8 6 5" xfId="16325" xr:uid="{00000000-0005-0000-0000-0000AF670000}"/>
    <cellStyle name="Normal 18 8 7" xfId="6756" xr:uid="{00000000-0005-0000-0000-0000B0670000}"/>
    <cellStyle name="Normal 18 8 7 2" xfId="38497" xr:uid="{00000000-0005-0000-0000-0000B1670000}"/>
    <cellStyle name="Normal 18 8 7 2 2" xfId="54597" xr:uid="{00000000-0005-0000-0000-0000B2670000}"/>
    <cellStyle name="Normal 18 8 7 3" xfId="45030" xr:uid="{00000000-0005-0000-0000-0000B3670000}"/>
    <cellStyle name="Normal 18 8 7 4" xfId="28930" xr:uid="{00000000-0005-0000-0000-0000B4670000}"/>
    <cellStyle name="Normal 18 8 7 5" xfId="19361" xr:uid="{00000000-0005-0000-0000-0000B5670000}"/>
    <cellStyle name="Normal 18 8 8" xfId="9792" xr:uid="{00000000-0005-0000-0000-0000B6670000}"/>
    <cellStyle name="Normal 18 8 8 2" xfId="48066" xr:uid="{00000000-0005-0000-0000-0000B7670000}"/>
    <cellStyle name="Normal 18 8 8 3" xfId="31966" xr:uid="{00000000-0005-0000-0000-0000B8670000}"/>
    <cellStyle name="Normal 18 8 8 4" xfId="22397" xr:uid="{00000000-0005-0000-0000-0000B9670000}"/>
    <cellStyle name="Normal 18 8 9" xfId="3260" xr:uid="{00000000-0005-0000-0000-0000BA670000}"/>
    <cellStyle name="Normal 18 8 9 2" xfId="51102" xr:uid="{00000000-0005-0000-0000-0000BB670000}"/>
    <cellStyle name="Normal 18 8 9 3" xfId="35002" xr:uid="{00000000-0005-0000-0000-0000BC670000}"/>
    <cellStyle name="Normal 18 8 9 4" xfId="15866" xr:uid="{00000000-0005-0000-0000-0000BD670000}"/>
    <cellStyle name="Normal 18 9" xfId="469" xr:uid="{00000000-0005-0000-0000-0000BE670000}"/>
    <cellStyle name="Normal 18 9 10" xfId="41552" xr:uid="{00000000-0005-0000-0000-0000BF670000}"/>
    <cellStyle name="Normal 18 9 11" xfId="25452" xr:uid="{00000000-0005-0000-0000-0000C0670000}"/>
    <cellStyle name="Normal 18 9 12" xfId="12847" xr:uid="{00000000-0005-0000-0000-0000C1670000}"/>
    <cellStyle name="Normal 18 9 2" xfId="922" xr:uid="{00000000-0005-0000-0000-0000C2670000}"/>
    <cellStyle name="Normal 18 9 2 10" xfId="13530" xr:uid="{00000000-0005-0000-0000-0000C3670000}"/>
    <cellStyle name="Normal 18 9 2 2" xfId="2950" xr:uid="{00000000-0005-0000-0000-0000C4670000}"/>
    <cellStyle name="Normal 18 9 2 2 2" xfId="9482" xr:uid="{00000000-0005-0000-0000-0000C5670000}"/>
    <cellStyle name="Normal 18 9 2 2 2 2" xfId="41223" xr:uid="{00000000-0005-0000-0000-0000C6670000}"/>
    <cellStyle name="Normal 18 9 2 2 2 2 2" xfId="57323" xr:uid="{00000000-0005-0000-0000-0000C7670000}"/>
    <cellStyle name="Normal 18 9 2 2 2 3" xfId="47756" xr:uid="{00000000-0005-0000-0000-0000C8670000}"/>
    <cellStyle name="Normal 18 9 2 2 2 4" xfId="31656" xr:uid="{00000000-0005-0000-0000-0000C9670000}"/>
    <cellStyle name="Normal 18 9 2 2 2 5" xfId="22087" xr:uid="{00000000-0005-0000-0000-0000CA670000}"/>
    <cellStyle name="Normal 18 9 2 2 3" xfId="12518" xr:uid="{00000000-0005-0000-0000-0000CB670000}"/>
    <cellStyle name="Normal 18 9 2 2 3 2" xfId="50792" xr:uid="{00000000-0005-0000-0000-0000CC670000}"/>
    <cellStyle name="Normal 18 9 2 2 3 3" xfId="34692" xr:uid="{00000000-0005-0000-0000-0000CD670000}"/>
    <cellStyle name="Normal 18 9 2 2 3 4" xfId="25123" xr:uid="{00000000-0005-0000-0000-0000CE670000}"/>
    <cellStyle name="Normal 18 9 2 2 4" xfId="6446" xr:uid="{00000000-0005-0000-0000-0000CF670000}"/>
    <cellStyle name="Normal 18 9 2 2 4 2" xfId="54287" xr:uid="{00000000-0005-0000-0000-0000D0670000}"/>
    <cellStyle name="Normal 18 9 2 2 4 3" xfId="38187" xr:uid="{00000000-0005-0000-0000-0000D1670000}"/>
    <cellStyle name="Normal 18 9 2 2 4 4" xfId="19051" xr:uid="{00000000-0005-0000-0000-0000D2670000}"/>
    <cellStyle name="Normal 18 9 2 2 5" xfId="44720" xr:uid="{00000000-0005-0000-0000-0000D3670000}"/>
    <cellStyle name="Normal 18 9 2 2 6" xfId="28620" xr:uid="{00000000-0005-0000-0000-0000D4670000}"/>
    <cellStyle name="Normal 18 9 2 2 7" xfId="15556" xr:uid="{00000000-0005-0000-0000-0000D5670000}"/>
    <cellStyle name="Normal 18 9 2 3" xfId="1932" xr:uid="{00000000-0005-0000-0000-0000D6670000}"/>
    <cellStyle name="Normal 18 9 2 3 2" xfId="8466" xr:uid="{00000000-0005-0000-0000-0000D7670000}"/>
    <cellStyle name="Normal 18 9 2 3 2 2" xfId="40207" xr:uid="{00000000-0005-0000-0000-0000D8670000}"/>
    <cellStyle name="Normal 18 9 2 3 2 2 2" xfId="56307" xr:uid="{00000000-0005-0000-0000-0000D9670000}"/>
    <cellStyle name="Normal 18 9 2 3 2 3" xfId="46740" xr:uid="{00000000-0005-0000-0000-0000DA670000}"/>
    <cellStyle name="Normal 18 9 2 3 2 4" xfId="30640" xr:uid="{00000000-0005-0000-0000-0000DB670000}"/>
    <cellStyle name="Normal 18 9 2 3 2 5" xfId="21071" xr:uid="{00000000-0005-0000-0000-0000DC670000}"/>
    <cellStyle name="Normal 18 9 2 3 3" xfId="11502" xr:uid="{00000000-0005-0000-0000-0000DD670000}"/>
    <cellStyle name="Normal 18 9 2 3 3 2" xfId="49776" xr:uid="{00000000-0005-0000-0000-0000DE670000}"/>
    <cellStyle name="Normal 18 9 2 3 3 3" xfId="33676" xr:uid="{00000000-0005-0000-0000-0000DF670000}"/>
    <cellStyle name="Normal 18 9 2 3 3 4" xfId="24107" xr:uid="{00000000-0005-0000-0000-0000E0670000}"/>
    <cellStyle name="Normal 18 9 2 3 4" xfId="5430" xr:uid="{00000000-0005-0000-0000-0000E1670000}"/>
    <cellStyle name="Normal 18 9 2 3 4 2" xfId="53271" xr:uid="{00000000-0005-0000-0000-0000E2670000}"/>
    <cellStyle name="Normal 18 9 2 3 4 3" xfId="37171" xr:uid="{00000000-0005-0000-0000-0000E3670000}"/>
    <cellStyle name="Normal 18 9 2 3 4 4" xfId="18035" xr:uid="{00000000-0005-0000-0000-0000E4670000}"/>
    <cellStyle name="Normal 18 9 2 3 5" xfId="43704" xr:uid="{00000000-0005-0000-0000-0000E5670000}"/>
    <cellStyle name="Normal 18 9 2 3 6" xfId="27604" xr:uid="{00000000-0005-0000-0000-0000E6670000}"/>
    <cellStyle name="Normal 18 9 2 3 7" xfId="14540" xr:uid="{00000000-0005-0000-0000-0000E7670000}"/>
    <cellStyle name="Normal 18 9 2 4" xfId="4420" xr:uid="{00000000-0005-0000-0000-0000E8670000}"/>
    <cellStyle name="Normal 18 9 2 4 2" xfId="36161" xr:uid="{00000000-0005-0000-0000-0000E9670000}"/>
    <cellStyle name="Normal 18 9 2 4 2 2" xfId="52261" xr:uid="{00000000-0005-0000-0000-0000EA670000}"/>
    <cellStyle name="Normal 18 9 2 4 3" xfId="42694" xr:uid="{00000000-0005-0000-0000-0000EB670000}"/>
    <cellStyle name="Normal 18 9 2 4 4" xfId="26594" xr:uid="{00000000-0005-0000-0000-0000EC670000}"/>
    <cellStyle name="Normal 18 9 2 4 5" xfId="17025" xr:uid="{00000000-0005-0000-0000-0000ED670000}"/>
    <cellStyle name="Normal 18 9 2 5" xfId="7456" xr:uid="{00000000-0005-0000-0000-0000EE670000}"/>
    <cellStyle name="Normal 18 9 2 5 2" xfId="39197" xr:uid="{00000000-0005-0000-0000-0000EF670000}"/>
    <cellStyle name="Normal 18 9 2 5 2 2" xfId="55297" xr:uid="{00000000-0005-0000-0000-0000F0670000}"/>
    <cellStyle name="Normal 18 9 2 5 3" xfId="45730" xr:uid="{00000000-0005-0000-0000-0000F1670000}"/>
    <cellStyle name="Normal 18 9 2 5 4" xfId="29630" xr:uid="{00000000-0005-0000-0000-0000F2670000}"/>
    <cellStyle name="Normal 18 9 2 5 5" xfId="20061" xr:uid="{00000000-0005-0000-0000-0000F3670000}"/>
    <cellStyle name="Normal 18 9 2 6" xfId="10492" xr:uid="{00000000-0005-0000-0000-0000F4670000}"/>
    <cellStyle name="Normal 18 9 2 6 2" xfId="48766" xr:uid="{00000000-0005-0000-0000-0000F5670000}"/>
    <cellStyle name="Normal 18 9 2 6 3" xfId="32666" xr:uid="{00000000-0005-0000-0000-0000F6670000}"/>
    <cellStyle name="Normal 18 9 2 6 4" xfId="23097" xr:uid="{00000000-0005-0000-0000-0000F7670000}"/>
    <cellStyle name="Normal 18 9 2 7" xfId="3515" xr:uid="{00000000-0005-0000-0000-0000F8670000}"/>
    <cellStyle name="Normal 18 9 2 7 2" xfId="51356" xr:uid="{00000000-0005-0000-0000-0000F9670000}"/>
    <cellStyle name="Normal 18 9 2 7 3" xfId="35256" xr:uid="{00000000-0005-0000-0000-0000FA670000}"/>
    <cellStyle name="Normal 18 9 2 7 4" xfId="16120" xr:uid="{00000000-0005-0000-0000-0000FB670000}"/>
    <cellStyle name="Normal 18 9 2 8" xfId="41789" xr:uid="{00000000-0005-0000-0000-0000FC670000}"/>
    <cellStyle name="Normal 18 9 2 9" xfId="25689" xr:uid="{00000000-0005-0000-0000-0000FD670000}"/>
    <cellStyle name="Normal 18 9 3" xfId="700" xr:uid="{00000000-0005-0000-0000-0000FE670000}"/>
    <cellStyle name="Normal 18 9 3 2" xfId="2728" xr:uid="{00000000-0005-0000-0000-0000FF670000}"/>
    <cellStyle name="Normal 18 9 3 2 2" xfId="9260" xr:uid="{00000000-0005-0000-0000-000000680000}"/>
    <cellStyle name="Normal 18 9 3 2 2 2" xfId="41001" xr:uid="{00000000-0005-0000-0000-000001680000}"/>
    <cellStyle name="Normal 18 9 3 2 2 2 2" xfId="57101" xr:uid="{00000000-0005-0000-0000-000002680000}"/>
    <cellStyle name="Normal 18 9 3 2 2 3" xfId="47534" xr:uid="{00000000-0005-0000-0000-000003680000}"/>
    <cellStyle name="Normal 18 9 3 2 2 4" xfId="31434" xr:uid="{00000000-0005-0000-0000-000004680000}"/>
    <cellStyle name="Normal 18 9 3 2 2 5" xfId="21865" xr:uid="{00000000-0005-0000-0000-000005680000}"/>
    <cellStyle name="Normal 18 9 3 2 3" xfId="12296" xr:uid="{00000000-0005-0000-0000-000006680000}"/>
    <cellStyle name="Normal 18 9 3 2 3 2" xfId="50570" xr:uid="{00000000-0005-0000-0000-000007680000}"/>
    <cellStyle name="Normal 18 9 3 2 3 3" xfId="34470" xr:uid="{00000000-0005-0000-0000-000008680000}"/>
    <cellStyle name="Normal 18 9 3 2 3 4" xfId="24901" xr:uid="{00000000-0005-0000-0000-000009680000}"/>
    <cellStyle name="Normal 18 9 3 2 4" xfId="6224" xr:uid="{00000000-0005-0000-0000-00000A680000}"/>
    <cellStyle name="Normal 18 9 3 2 4 2" xfId="54065" xr:uid="{00000000-0005-0000-0000-00000B680000}"/>
    <cellStyle name="Normal 18 9 3 2 4 3" xfId="37965" xr:uid="{00000000-0005-0000-0000-00000C680000}"/>
    <cellStyle name="Normal 18 9 3 2 4 4" xfId="18829" xr:uid="{00000000-0005-0000-0000-00000D680000}"/>
    <cellStyle name="Normal 18 9 3 2 5" xfId="44498" xr:uid="{00000000-0005-0000-0000-00000E680000}"/>
    <cellStyle name="Normal 18 9 3 2 6" xfId="28398" xr:uid="{00000000-0005-0000-0000-00000F680000}"/>
    <cellStyle name="Normal 18 9 3 2 7" xfId="15334" xr:uid="{00000000-0005-0000-0000-000010680000}"/>
    <cellStyle name="Normal 18 9 3 3" xfId="1710" xr:uid="{00000000-0005-0000-0000-000011680000}"/>
    <cellStyle name="Normal 18 9 3 3 2" xfId="8244" xr:uid="{00000000-0005-0000-0000-000012680000}"/>
    <cellStyle name="Normal 18 9 3 3 2 2" xfId="39985" xr:uid="{00000000-0005-0000-0000-000013680000}"/>
    <cellStyle name="Normal 18 9 3 3 2 2 2" xfId="56085" xr:uid="{00000000-0005-0000-0000-000014680000}"/>
    <cellStyle name="Normal 18 9 3 3 2 3" xfId="46518" xr:uid="{00000000-0005-0000-0000-000015680000}"/>
    <cellStyle name="Normal 18 9 3 3 2 4" xfId="30418" xr:uid="{00000000-0005-0000-0000-000016680000}"/>
    <cellStyle name="Normal 18 9 3 3 2 5" xfId="20849" xr:uid="{00000000-0005-0000-0000-000017680000}"/>
    <cellStyle name="Normal 18 9 3 3 3" xfId="11280" xr:uid="{00000000-0005-0000-0000-000018680000}"/>
    <cellStyle name="Normal 18 9 3 3 3 2" xfId="49554" xr:uid="{00000000-0005-0000-0000-000019680000}"/>
    <cellStyle name="Normal 18 9 3 3 3 3" xfId="33454" xr:uid="{00000000-0005-0000-0000-00001A680000}"/>
    <cellStyle name="Normal 18 9 3 3 3 4" xfId="23885" xr:uid="{00000000-0005-0000-0000-00001B680000}"/>
    <cellStyle name="Normal 18 9 3 3 4" xfId="5208" xr:uid="{00000000-0005-0000-0000-00001C680000}"/>
    <cellStyle name="Normal 18 9 3 3 4 2" xfId="53049" xr:uid="{00000000-0005-0000-0000-00001D680000}"/>
    <cellStyle name="Normal 18 9 3 3 4 3" xfId="36949" xr:uid="{00000000-0005-0000-0000-00001E680000}"/>
    <cellStyle name="Normal 18 9 3 3 4 4" xfId="17813" xr:uid="{00000000-0005-0000-0000-00001F680000}"/>
    <cellStyle name="Normal 18 9 3 3 5" xfId="43482" xr:uid="{00000000-0005-0000-0000-000020680000}"/>
    <cellStyle name="Normal 18 9 3 3 6" xfId="27382" xr:uid="{00000000-0005-0000-0000-000021680000}"/>
    <cellStyle name="Normal 18 9 3 3 7" xfId="14318" xr:uid="{00000000-0005-0000-0000-000022680000}"/>
    <cellStyle name="Normal 18 9 3 4" xfId="7234" xr:uid="{00000000-0005-0000-0000-000023680000}"/>
    <cellStyle name="Normal 18 9 3 4 2" xfId="38975" xr:uid="{00000000-0005-0000-0000-000024680000}"/>
    <cellStyle name="Normal 18 9 3 4 2 2" xfId="55075" xr:uid="{00000000-0005-0000-0000-000025680000}"/>
    <cellStyle name="Normal 18 9 3 4 3" xfId="45508" xr:uid="{00000000-0005-0000-0000-000026680000}"/>
    <cellStyle name="Normal 18 9 3 4 4" xfId="29408" xr:uid="{00000000-0005-0000-0000-000027680000}"/>
    <cellStyle name="Normal 18 9 3 4 5" xfId="19839" xr:uid="{00000000-0005-0000-0000-000028680000}"/>
    <cellStyle name="Normal 18 9 3 5" xfId="10270" xr:uid="{00000000-0005-0000-0000-000029680000}"/>
    <cellStyle name="Normal 18 9 3 5 2" xfId="48544" xr:uid="{00000000-0005-0000-0000-00002A680000}"/>
    <cellStyle name="Normal 18 9 3 5 3" xfId="32444" xr:uid="{00000000-0005-0000-0000-00002B680000}"/>
    <cellStyle name="Normal 18 9 3 5 4" xfId="22875" xr:uid="{00000000-0005-0000-0000-00002C680000}"/>
    <cellStyle name="Normal 18 9 3 6" xfId="4198" xr:uid="{00000000-0005-0000-0000-00002D680000}"/>
    <cellStyle name="Normal 18 9 3 6 2" xfId="52039" xr:uid="{00000000-0005-0000-0000-00002E680000}"/>
    <cellStyle name="Normal 18 9 3 6 3" xfId="35939" xr:uid="{00000000-0005-0000-0000-00002F680000}"/>
    <cellStyle name="Normal 18 9 3 6 4" xfId="16803" xr:uid="{00000000-0005-0000-0000-000030680000}"/>
    <cellStyle name="Normal 18 9 3 7" xfId="42472" xr:uid="{00000000-0005-0000-0000-000031680000}"/>
    <cellStyle name="Normal 18 9 3 8" xfId="26372" xr:uid="{00000000-0005-0000-0000-000032680000}"/>
    <cellStyle name="Normal 18 9 3 9" xfId="13308" xr:uid="{00000000-0005-0000-0000-000033680000}"/>
    <cellStyle name="Normal 18 9 4" xfId="2500" xr:uid="{00000000-0005-0000-0000-000034680000}"/>
    <cellStyle name="Normal 18 9 4 2" xfId="9032" xr:uid="{00000000-0005-0000-0000-000035680000}"/>
    <cellStyle name="Normal 18 9 4 2 2" xfId="40773" xr:uid="{00000000-0005-0000-0000-000036680000}"/>
    <cellStyle name="Normal 18 9 4 2 2 2" xfId="56873" xr:uid="{00000000-0005-0000-0000-000037680000}"/>
    <cellStyle name="Normal 18 9 4 2 3" xfId="47306" xr:uid="{00000000-0005-0000-0000-000038680000}"/>
    <cellStyle name="Normal 18 9 4 2 4" xfId="31206" xr:uid="{00000000-0005-0000-0000-000039680000}"/>
    <cellStyle name="Normal 18 9 4 2 5" xfId="21637" xr:uid="{00000000-0005-0000-0000-00003A680000}"/>
    <cellStyle name="Normal 18 9 4 3" xfId="12068" xr:uid="{00000000-0005-0000-0000-00003B680000}"/>
    <cellStyle name="Normal 18 9 4 3 2" xfId="50342" xr:uid="{00000000-0005-0000-0000-00003C680000}"/>
    <cellStyle name="Normal 18 9 4 3 3" xfId="34242" xr:uid="{00000000-0005-0000-0000-00003D680000}"/>
    <cellStyle name="Normal 18 9 4 3 4" xfId="24673" xr:uid="{00000000-0005-0000-0000-00003E680000}"/>
    <cellStyle name="Normal 18 9 4 4" xfId="5996" xr:uid="{00000000-0005-0000-0000-00003F680000}"/>
    <cellStyle name="Normal 18 9 4 4 2" xfId="53837" xr:uid="{00000000-0005-0000-0000-000040680000}"/>
    <cellStyle name="Normal 18 9 4 4 3" xfId="37737" xr:uid="{00000000-0005-0000-0000-000041680000}"/>
    <cellStyle name="Normal 18 9 4 4 4" xfId="18601" xr:uid="{00000000-0005-0000-0000-000042680000}"/>
    <cellStyle name="Normal 18 9 4 5" xfId="44270" xr:uid="{00000000-0005-0000-0000-000043680000}"/>
    <cellStyle name="Normal 18 9 4 6" xfId="28170" xr:uid="{00000000-0005-0000-0000-000044680000}"/>
    <cellStyle name="Normal 18 9 4 7" xfId="15106" xr:uid="{00000000-0005-0000-0000-000045680000}"/>
    <cellStyle name="Normal 18 9 5" xfId="1249" xr:uid="{00000000-0005-0000-0000-000046680000}"/>
    <cellStyle name="Normal 18 9 5 2" xfId="7783" xr:uid="{00000000-0005-0000-0000-000047680000}"/>
    <cellStyle name="Normal 18 9 5 2 2" xfId="39524" xr:uid="{00000000-0005-0000-0000-000048680000}"/>
    <cellStyle name="Normal 18 9 5 2 2 2" xfId="55624" xr:uid="{00000000-0005-0000-0000-000049680000}"/>
    <cellStyle name="Normal 18 9 5 2 3" xfId="46057" xr:uid="{00000000-0005-0000-0000-00004A680000}"/>
    <cellStyle name="Normal 18 9 5 2 4" xfId="29957" xr:uid="{00000000-0005-0000-0000-00004B680000}"/>
    <cellStyle name="Normal 18 9 5 2 5" xfId="20388" xr:uid="{00000000-0005-0000-0000-00004C680000}"/>
    <cellStyle name="Normal 18 9 5 3" xfId="10819" xr:uid="{00000000-0005-0000-0000-00004D680000}"/>
    <cellStyle name="Normal 18 9 5 3 2" xfId="49093" xr:uid="{00000000-0005-0000-0000-00004E680000}"/>
    <cellStyle name="Normal 18 9 5 3 3" xfId="32993" xr:uid="{00000000-0005-0000-0000-00004F680000}"/>
    <cellStyle name="Normal 18 9 5 3 4" xfId="23424" xr:uid="{00000000-0005-0000-0000-000050680000}"/>
    <cellStyle name="Normal 18 9 5 4" xfId="4747" xr:uid="{00000000-0005-0000-0000-000051680000}"/>
    <cellStyle name="Normal 18 9 5 4 2" xfId="52588" xr:uid="{00000000-0005-0000-0000-000052680000}"/>
    <cellStyle name="Normal 18 9 5 4 3" xfId="36488" xr:uid="{00000000-0005-0000-0000-000053680000}"/>
    <cellStyle name="Normal 18 9 5 4 4" xfId="17352" xr:uid="{00000000-0005-0000-0000-000054680000}"/>
    <cellStyle name="Normal 18 9 5 5" xfId="43021" xr:uid="{00000000-0005-0000-0000-000055680000}"/>
    <cellStyle name="Normal 18 9 5 6" xfId="26921" xr:uid="{00000000-0005-0000-0000-000056680000}"/>
    <cellStyle name="Normal 18 9 5 7" xfId="13857" xr:uid="{00000000-0005-0000-0000-000057680000}"/>
    <cellStyle name="Normal 18 9 6" xfId="3737" xr:uid="{00000000-0005-0000-0000-000058680000}"/>
    <cellStyle name="Normal 18 9 6 2" xfId="35478" xr:uid="{00000000-0005-0000-0000-000059680000}"/>
    <cellStyle name="Normal 18 9 6 2 2" xfId="51578" xr:uid="{00000000-0005-0000-0000-00005A680000}"/>
    <cellStyle name="Normal 18 9 6 3" xfId="42011" xr:uid="{00000000-0005-0000-0000-00005B680000}"/>
    <cellStyle name="Normal 18 9 6 4" xfId="25911" xr:uid="{00000000-0005-0000-0000-00005C680000}"/>
    <cellStyle name="Normal 18 9 6 5" xfId="16342" xr:uid="{00000000-0005-0000-0000-00005D680000}"/>
    <cellStyle name="Normal 18 9 7" xfId="6773" xr:uid="{00000000-0005-0000-0000-00005E680000}"/>
    <cellStyle name="Normal 18 9 7 2" xfId="38514" xr:uid="{00000000-0005-0000-0000-00005F680000}"/>
    <cellStyle name="Normal 18 9 7 2 2" xfId="54614" xr:uid="{00000000-0005-0000-0000-000060680000}"/>
    <cellStyle name="Normal 18 9 7 3" xfId="45047" xr:uid="{00000000-0005-0000-0000-000061680000}"/>
    <cellStyle name="Normal 18 9 7 4" xfId="28947" xr:uid="{00000000-0005-0000-0000-000062680000}"/>
    <cellStyle name="Normal 18 9 7 5" xfId="19378" xr:uid="{00000000-0005-0000-0000-000063680000}"/>
    <cellStyle name="Normal 18 9 8" xfId="9809" xr:uid="{00000000-0005-0000-0000-000064680000}"/>
    <cellStyle name="Normal 18 9 8 2" xfId="48083" xr:uid="{00000000-0005-0000-0000-000065680000}"/>
    <cellStyle name="Normal 18 9 8 3" xfId="31983" xr:uid="{00000000-0005-0000-0000-000066680000}"/>
    <cellStyle name="Normal 18 9 8 4" xfId="22414" xr:uid="{00000000-0005-0000-0000-000067680000}"/>
    <cellStyle name="Normal 18 9 9" xfId="3277" xr:uid="{00000000-0005-0000-0000-000068680000}"/>
    <cellStyle name="Normal 18 9 9 2" xfId="51119" xr:uid="{00000000-0005-0000-0000-000069680000}"/>
    <cellStyle name="Normal 18 9 9 3" xfId="35019" xr:uid="{00000000-0005-0000-0000-00006A680000}"/>
    <cellStyle name="Normal 18 9 9 4" xfId="15883" xr:uid="{00000000-0005-0000-0000-00006B680000}"/>
    <cellStyle name="Normal 19" xfId="25" xr:uid="{00000000-0005-0000-0000-00006C680000}"/>
    <cellStyle name="Normal 19 10" xfId="487" xr:uid="{00000000-0005-0000-0000-00006D680000}"/>
    <cellStyle name="Normal 19 10 10" xfId="41570" xr:uid="{00000000-0005-0000-0000-00006E680000}"/>
    <cellStyle name="Normal 19 10 11" xfId="25470" xr:uid="{00000000-0005-0000-0000-00006F680000}"/>
    <cellStyle name="Normal 19 10 12" xfId="12865" xr:uid="{00000000-0005-0000-0000-000070680000}"/>
    <cellStyle name="Normal 19 10 2" xfId="940" xr:uid="{00000000-0005-0000-0000-000071680000}"/>
    <cellStyle name="Normal 19 10 2 10" xfId="13548" xr:uid="{00000000-0005-0000-0000-000072680000}"/>
    <cellStyle name="Normal 19 10 2 2" xfId="2968" xr:uid="{00000000-0005-0000-0000-000073680000}"/>
    <cellStyle name="Normal 19 10 2 2 2" xfId="9500" xr:uid="{00000000-0005-0000-0000-000074680000}"/>
    <cellStyle name="Normal 19 10 2 2 2 2" xfId="41241" xr:uid="{00000000-0005-0000-0000-000075680000}"/>
    <cellStyle name="Normal 19 10 2 2 2 2 2" xfId="57341" xr:uid="{00000000-0005-0000-0000-000076680000}"/>
    <cellStyle name="Normal 19 10 2 2 2 3" xfId="47774" xr:uid="{00000000-0005-0000-0000-000077680000}"/>
    <cellStyle name="Normal 19 10 2 2 2 4" xfId="31674" xr:uid="{00000000-0005-0000-0000-000078680000}"/>
    <cellStyle name="Normal 19 10 2 2 2 5" xfId="22105" xr:uid="{00000000-0005-0000-0000-000079680000}"/>
    <cellStyle name="Normal 19 10 2 2 3" xfId="12536" xr:uid="{00000000-0005-0000-0000-00007A680000}"/>
    <cellStyle name="Normal 19 10 2 2 3 2" xfId="50810" xr:uid="{00000000-0005-0000-0000-00007B680000}"/>
    <cellStyle name="Normal 19 10 2 2 3 3" xfId="34710" xr:uid="{00000000-0005-0000-0000-00007C680000}"/>
    <cellStyle name="Normal 19 10 2 2 3 4" xfId="25141" xr:uid="{00000000-0005-0000-0000-00007D680000}"/>
    <cellStyle name="Normal 19 10 2 2 4" xfId="6464" xr:uid="{00000000-0005-0000-0000-00007E680000}"/>
    <cellStyle name="Normal 19 10 2 2 4 2" xfId="54305" xr:uid="{00000000-0005-0000-0000-00007F680000}"/>
    <cellStyle name="Normal 19 10 2 2 4 3" xfId="38205" xr:uid="{00000000-0005-0000-0000-000080680000}"/>
    <cellStyle name="Normal 19 10 2 2 4 4" xfId="19069" xr:uid="{00000000-0005-0000-0000-000081680000}"/>
    <cellStyle name="Normal 19 10 2 2 5" xfId="44738" xr:uid="{00000000-0005-0000-0000-000082680000}"/>
    <cellStyle name="Normal 19 10 2 2 6" xfId="28638" xr:uid="{00000000-0005-0000-0000-000083680000}"/>
    <cellStyle name="Normal 19 10 2 2 7" xfId="15574" xr:uid="{00000000-0005-0000-0000-000084680000}"/>
    <cellStyle name="Normal 19 10 2 3" xfId="1950" xr:uid="{00000000-0005-0000-0000-000085680000}"/>
    <cellStyle name="Normal 19 10 2 3 2" xfId="8484" xr:uid="{00000000-0005-0000-0000-000086680000}"/>
    <cellStyle name="Normal 19 10 2 3 2 2" xfId="40225" xr:uid="{00000000-0005-0000-0000-000087680000}"/>
    <cellStyle name="Normal 19 10 2 3 2 2 2" xfId="56325" xr:uid="{00000000-0005-0000-0000-000088680000}"/>
    <cellStyle name="Normal 19 10 2 3 2 3" xfId="46758" xr:uid="{00000000-0005-0000-0000-000089680000}"/>
    <cellStyle name="Normal 19 10 2 3 2 4" xfId="30658" xr:uid="{00000000-0005-0000-0000-00008A680000}"/>
    <cellStyle name="Normal 19 10 2 3 2 5" xfId="21089" xr:uid="{00000000-0005-0000-0000-00008B680000}"/>
    <cellStyle name="Normal 19 10 2 3 3" xfId="11520" xr:uid="{00000000-0005-0000-0000-00008C680000}"/>
    <cellStyle name="Normal 19 10 2 3 3 2" xfId="49794" xr:uid="{00000000-0005-0000-0000-00008D680000}"/>
    <cellStyle name="Normal 19 10 2 3 3 3" xfId="33694" xr:uid="{00000000-0005-0000-0000-00008E680000}"/>
    <cellStyle name="Normal 19 10 2 3 3 4" xfId="24125" xr:uid="{00000000-0005-0000-0000-00008F680000}"/>
    <cellStyle name="Normal 19 10 2 3 4" xfId="5448" xr:uid="{00000000-0005-0000-0000-000090680000}"/>
    <cellStyle name="Normal 19 10 2 3 4 2" xfId="53289" xr:uid="{00000000-0005-0000-0000-000091680000}"/>
    <cellStyle name="Normal 19 10 2 3 4 3" xfId="37189" xr:uid="{00000000-0005-0000-0000-000092680000}"/>
    <cellStyle name="Normal 19 10 2 3 4 4" xfId="18053" xr:uid="{00000000-0005-0000-0000-000093680000}"/>
    <cellStyle name="Normal 19 10 2 3 5" xfId="43722" xr:uid="{00000000-0005-0000-0000-000094680000}"/>
    <cellStyle name="Normal 19 10 2 3 6" xfId="27622" xr:uid="{00000000-0005-0000-0000-000095680000}"/>
    <cellStyle name="Normal 19 10 2 3 7" xfId="14558" xr:uid="{00000000-0005-0000-0000-000096680000}"/>
    <cellStyle name="Normal 19 10 2 4" xfId="4438" xr:uid="{00000000-0005-0000-0000-000097680000}"/>
    <cellStyle name="Normal 19 10 2 4 2" xfId="36179" xr:uid="{00000000-0005-0000-0000-000098680000}"/>
    <cellStyle name="Normal 19 10 2 4 2 2" xfId="52279" xr:uid="{00000000-0005-0000-0000-000099680000}"/>
    <cellStyle name="Normal 19 10 2 4 3" xfId="42712" xr:uid="{00000000-0005-0000-0000-00009A680000}"/>
    <cellStyle name="Normal 19 10 2 4 4" xfId="26612" xr:uid="{00000000-0005-0000-0000-00009B680000}"/>
    <cellStyle name="Normal 19 10 2 4 5" xfId="17043" xr:uid="{00000000-0005-0000-0000-00009C680000}"/>
    <cellStyle name="Normal 19 10 2 5" xfId="7474" xr:uid="{00000000-0005-0000-0000-00009D680000}"/>
    <cellStyle name="Normal 19 10 2 5 2" xfId="39215" xr:uid="{00000000-0005-0000-0000-00009E680000}"/>
    <cellStyle name="Normal 19 10 2 5 2 2" xfId="55315" xr:uid="{00000000-0005-0000-0000-00009F680000}"/>
    <cellStyle name="Normal 19 10 2 5 3" xfId="45748" xr:uid="{00000000-0005-0000-0000-0000A0680000}"/>
    <cellStyle name="Normal 19 10 2 5 4" xfId="29648" xr:uid="{00000000-0005-0000-0000-0000A1680000}"/>
    <cellStyle name="Normal 19 10 2 5 5" xfId="20079" xr:uid="{00000000-0005-0000-0000-0000A2680000}"/>
    <cellStyle name="Normal 19 10 2 6" xfId="10510" xr:uid="{00000000-0005-0000-0000-0000A3680000}"/>
    <cellStyle name="Normal 19 10 2 6 2" xfId="48784" xr:uid="{00000000-0005-0000-0000-0000A4680000}"/>
    <cellStyle name="Normal 19 10 2 6 3" xfId="32684" xr:uid="{00000000-0005-0000-0000-0000A5680000}"/>
    <cellStyle name="Normal 19 10 2 6 4" xfId="23115" xr:uid="{00000000-0005-0000-0000-0000A6680000}"/>
    <cellStyle name="Normal 19 10 2 7" xfId="3533" xr:uid="{00000000-0005-0000-0000-0000A7680000}"/>
    <cellStyle name="Normal 19 10 2 7 2" xfId="51374" xr:uid="{00000000-0005-0000-0000-0000A8680000}"/>
    <cellStyle name="Normal 19 10 2 7 3" xfId="35274" xr:uid="{00000000-0005-0000-0000-0000A9680000}"/>
    <cellStyle name="Normal 19 10 2 7 4" xfId="16138" xr:uid="{00000000-0005-0000-0000-0000AA680000}"/>
    <cellStyle name="Normal 19 10 2 8" xfId="41807" xr:uid="{00000000-0005-0000-0000-0000AB680000}"/>
    <cellStyle name="Normal 19 10 2 9" xfId="25707" xr:uid="{00000000-0005-0000-0000-0000AC680000}"/>
    <cellStyle name="Normal 19 10 3" xfId="718" xr:uid="{00000000-0005-0000-0000-0000AD680000}"/>
    <cellStyle name="Normal 19 10 3 2" xfId="2746" xr:uid="{00000000-0005-0000-0000-0000AE680000}"/>
    <cellStyle name="Normal 19 10 3 2 2" xfId="9278" xr:uid="{00000000-0005-0000-0000-0000AF680000}"/>
    <cellStyle name="Normal 19 10 3 2 2 2" xfId="41019" xr:uid="{00000000-0005-0000-0000-0000B0680000}"/>
    <cellStyle name="Normal 19 10 3 2 2 2 2" xfId="57119" xr:uid="{00000000-0005-0000-0000-0000B1680000}"/>
    <cellStyle name="Normal 19 10 3 2 2 3" xfId="47552" xr:uid="{00000000-0005-0000-0000-0000B2680000}"/>
    <cellStyle name="Normal 19 10 3 2 2 4" xfId="31452" xr:uid="{00000000-0005-0000-0000-0000B3680000}"/>
    <cellStyle name="Normal 19 10 3 2 2 5" xfId="21883" xr:uid="{00000000-0005-0000-0000-0000B4680000}"/>
    <cellStyle name="Normal 19 10 3 2 3" xfId="12314" xr:uid="{00000000-0005-0000-0000-0000B5680000}"/>
    <cellStyle name="Normal 19 10 3 2 3 2" xfId="50588" xr:uid="{00000000-0005-0000-0000-0000B6680000}"/>
    <cellStyle name="Normal 19 10 3 2 3 3" xfId="34488" xr:uid="{00000000-0005-0000-0000-0000B7680000}"/>
    <cellStyle name="Normal 19 10 3 2 3 4" xfId="24919" xr:uid="{00000000-0005-0000-0000-0000B8680000}"/>
    <cellStyle name="Normal 19 10 3 2 4" xfId="6242" xr:uid="{00000000-0005-0000-0000-0000B9680000}"/>
    <cellStyle name="Normal 19 10 3 2 4 2" xfId="54083" xr:uid="{00000000-0005-0000-0000-0000BA680000}"/>
    <cellStyle name="Normal 19 10 3 2 4 3" xfId="37983" xr:uid="{00000000-0005-0000-0000-0000BB680000}"/>
    <cellStyle name="Normal 19 10 3 2 4 4" xfId="18847" xr:uid="{00000000-0005-0000-0000-0000BC680000}"/>
    <cellStyle name="Normal 19 10 3 2 5" xfId="44516" xr:uid="{00000000-0005-0000-0000-0000BD680000}"/>
    <cellStyle name="Normal 19 10 3 2 6" xfId="28416" xr:uid="{00000000-0005-0000-0000-0000BE680000}"/>
    <cellStyle name="Normal 19 10 3 2 7" xfId="15352" xr:uid="{00000000-0005-0000-0000-0000BF680000}"/>
    <cellStyle name="Normal 19 10 3 3" xfId="1728" xr:uid="{00000000-0005-0000-0000-0000C0680000}"/>
    <cellStyle name="Normal 19 10 3 3 2" xfId="8262" xr:uid="{00000000-0005-0000-0000-0000C1680000}"/>
    <cellStyle name="Normal 19 10 3 3 2 2" xfId="40003" xr:uid="{00000000-0005-0000-0000-0000C2680000}"/>
    <cellStyle name="Normal 19 10 3 3 2 2 2" xfId="56103" xr:uid="{00000000-0005-0000-0000-0000C3680000}"/>
    <cellStyle name="Normal 19 10 3 3 2 3" xfId="46536" xr:uid="{00000000-0005-0000-0000-0000C4680000}"/>
    <cellStyle name="Normal 19 10 3 3 2 4" xfId="30436" xr:uid="{00000000-0005-0000-0000-0000C5680000}"/>
    <cellStyle name="Normal 19 10 3 3 2 5" xfId="20867" xr:uid="{00000000-0005-0000-0000-0000C6680000}"/>
    <cellStyle name="Normal 19 10 3 3 3" xfId="11298" xr:uid="{00000000-0005-0000-0000-0000C7680000}"/>
    <cellStyle name="Normal 19 10 3 3 3 2" xfId="49572" xr:uid="{00000000-0005-0000-0000-0000C8680000}"/>
    <cellStyle name="Normal 19 10 3 3 3 3" xfId="33472" xr:uid="{00000000-0005-0000-0000-0000C9680000}"/>
    <cellStyle name="Normal 19 10 3 3 3 4" xfId="23903" xr:uid="{00000000-0005-0000-0000-0000CA680000}"/>
    <cellStyle name="Normal 19 10 3 3 4" xfId="5226" xr:uid="{00000000-0005-0000-0000-0000CB680000}"/>
    <cellStyle name="Normal 19 10 3 3 4 2" xfId="53067" xr:uid="{00000000-0005-0000-0000-0000CC680000}"/>
    <cellStyle name="Normal 19 10 3 3 4 3" xfId="36967" xr:uid="{00000000-0005-0000-0000-0000CD680000}"/>
    <cellStyle name="Normal 19 10 3 3 4 4" xfId="17831" xr:uid="{00000000-0005-0000-0000-0000CE680000}"/>
    <cellStyle name="Normal 19 10 3 3 5" xfId="43500" xr:uid="{00000000-0005-0000-0000-0000CF680000}"/>
    <cellStyle name="Normal 19 10 3 3 6" xfId="27400" xr:uid="{00000000-0005-0000-0000-0000D0680000}"/>
    <cellStyle name="Normal 19 10 3 3 7" xfId="14336" xr:uid="{00000000-0005-0000-0000-0000D1680000}"/>
    <cellStyle name="Normal 19 10 3 4" xfId="7252" xr:uid="{00000000-0005-0000-0000-0000D2680000}"/>
    <cellStyle name="Normal 19 10 3 4 2" xfId="38993" xr:uid="{00000000-0005-0000-0000-0000D3680000}"/>
    <cellStyle name="Normal 19 10 3 4 2 2" xfId="55093" xr:uid="{00000000-0005-0000-0000-0000D4680000}"/>
    <cellStyle name="Normal 19 10 3 4 3" xfId="45526" xr:uid="{00000000-0005-0000-0000-0000D5680000}"/>
    <cellStyle name="Normal 19 10 3 4 4" xfId="29426" xr:uid="{00000000-0005-0000-0000-0000D6680000}"/>
    <cellStyle name="Normal 19 10 3 4 5" xfId="19857" xr:uid="{00000000-0005-0000-0000-0000D7680000}"/>
    <cellStyle name="Normal 19 10 3 5" xfId="10288" xr:uid="{00000000-0005-0000-0000-0000D8680000}"/>
    <cellStyle name="Normal 19 10 3 5 2" xfId="48562" xr:uid="{00000000-0005-0000-0000-0000D9680000}"/>
    <cellStyle name="Normal 19 10 3 5 3" xfId="32462" xr:uid="{00000000-0005-0000-0000-0000DA680000}"/>
    <cellStyle name="Normal 19 10 3 5 4" xfId="22893" xr:uid="{00000000-0005-0000-0000-0000DB680000}"/>
    <cellStyle name="Normal 19 10 3 6" xfId="4216" xr:uid="{00000000-0005-0000-0000-0000DC680000}"/>
    <cellStyle name="Normal 19 10 3 6 2" xfId="52057" xr:uid="{00000000-0005-0000-0000-0000DD680000}"/>
    <cellStyle name="Normal 19 10 3 6 3" xfId="35957" xr:uid="{00000000-0005-0000-0000-0000DE680000}"/>
    <cellStyle name="Normal 19 10 3 6 4" xfId="16821" xr:uid="{00000000-0005-0000-0000-0000DF680000}"/>
    <cellStyle name="Normal 19 10 3 7" xfId="42490" xr:uid="{00000000-0005-0000-0000-0000E0680000}"/>
    <cellStyle name="Normal 19 10 3 8" xfId="26390" xr:uid="{00000000-0005-0000-0000-0000E1680000}"/>
    <cellStyle name="Normal 19 10 3 9" xfId="13326" xr:uid="{00000000-0005-0000-0000-0000E2680000}"/>
    <cellStyle name="Normal 19 10 4" xfId="2518" xr:uid="{00000000-0005-0000-0000-0000E3680000}"/>
    <cellStyle name="Normal 19 10 4 2" xfId="9050" xr:uid="{00000000-0005-0000-0000-0000E4680000}"/>
    <cellStyle name="Normal 19 10 4 2 2" xfId="40791" xr:uid="{00000000-0005-0000-0000-0000E5680000}"/>
    <cellStyle name="Normal 19 10 4 2 2 2" xfId="56891" xr:uid="{00000000-0005-0000-0000-0000E6680000}"/>
    <cellStyle name="Normal 19 10 4 2 3" xfId="47324" xr:uid="{00000000-0005-0000-0000-0000E7680000}"/>
    <cellStyle name="Normal 19 10 4 2 4" xfId="31224" xr:uid="{00000000-0005-0000-0000-0000E8680000}"/>
    <cellStyle name="Normal 19 10 4 2 5" xfId="21655" xr:uid="{00000000-0005-0000-0000-0000E9680000}"/>
    <cellStyle name="Normal 19 10 4 3" xfId="12086" xr:uid="{00000000-0005-0000-0000-0000EA680000}"/>
    <cellStyle name="Normal 19 10 4 3 2" xfId="50360" xr:uid="{00000000-0005-0000-0000-0000EB680000}"/>
    <cellStyle name="Normal 19 10 4 3 3" xfId="34260" xr:uid="{00000000-0005-0000-0000-0000EC680000}"/>
    <cellStyle name="Normal 19 10 4 3 4" xfId="24691" xr:uid="{00000000-0005-0000-0000-0000ED680000}"/>
    <cellStyle name="Normal 19 10 4 4" xfId="6014" xr:uid="{00000000-0005-0000-0000-0000EE680000}"/>
    <cellStyle name="Normal 19 10 4 4 2" xfId="53855" xr:uid="{00000000-0005-0000-0000-0000EF680000}"/>
    <cellStyle name="Normal 19 10 4 4 3" xfId="37755" xr:uid="{00000000-0005-0000-0000-0000F0680000}"/>
    <cellStyle name="Normal 19 10 4 4 4" xfId="18619" xr:uid="{00000000-0005-0000-0000-0000F1680000}"/>
    <cellStyle name="Normal 19 10 4 5" xfId="44288" xr:uid="{00000000-0005-0000-0000-0000F2680000}"/>
    <cellStyle name="Normal 19 10 4 6" xfId="28188" xr:uid="{00000000-0005-0000-0000-0000F3680000}"/>
    <cellStyle name="Normal 19 10 4 7" xfId="15124" xr:uid="{00000000-0005-0000-0000-0000F4680000}"/>
    <cellStyle name="Normal 19 10 5" xfId="1267" xr:uid="{00000000-0005-0000-0000-0000F5680000}"/>
    <cellStyle name="Normal 19 10 5 2" xfId="7801" xr:uid="{00000000-0005-0000-0000-0000F6680000}"/>
    <cellStyle name="Normal 19 10 5 2 2" xfId="39542" xr:uid="{00000000-0005-0000-0000-0000F7680000}"/>
    <cellStyle name="Normal 19 10 5 2 2 2" xfId="55642" xr:uid="{00000000-0005-0000-0000-0000F8680000}"/>
    <cellStyle name="Normal 19 10 5 2 3" xfId="46075" xr:uid="{00000000-0005-0000-0000-0000F9680000}"/>
    <cellStyle name="Normal 19 10 5 2 4" xfId="29975" xr:uid="{00000000-0005-0000-0000-0000FA680000}"/>
    <cellStyle name="Normal 19 10 5 2 5" xfId="20406" xr:uid="{00000000-0005-0000-0000-0000FB680000}"/>
    <cellStyle name="Normal 19 10 5 3" xfId="10837" xr:uid="{00000000-0005-0000-0000-0000FC680000}"/>
    <cellStyle name="Normal 19 10 5 3 2" xfId="49111" xr:uid="{00000000-0005-0000-0000-0000FD680000}"/>
    <cellStyle name="Normal 19 10 5 3 3" xfId="33011" xr:uid="{00000000-0005-0000-0000-0000FE680000}"/>
    <cellStyle name="Normal 19 10 5 3 4" xfId="23442" xr:uid="{00000000-0005-0000-0000-0000FF680000}"/>
    <cellStyle name="Normal 19 10 5 4" xfId="4765" xr:uid="{00000000-0005-0000-0000-000000690000}"/>
    <cellStyle name="Normal 19 10 5 4 2" xfId="52606" xr:uid="{00000000-0005-0000-0000-000001690000}"/>
    <cellStyle name="Normal 19 10 5 4 3" xfId="36506" xr:uid="{00000000-0005-0000-0000-000002690000}"/>
    <cellStyle name="Normal 19 10 5 4 4" xfId="17370" xr:uid="{00000000-0005-0000-0000-000003690000}"/>
    <cellStyle name="Normal 19 10 5 5" xfId="43039" xr:uid="{00000000-0005-0000-0000-000004690000}"/>
    <cellStyle name="Normal 19 10 5 6" xfId="26939" xr:uid="{00000000-0005-0000-0000-000005690000}"/>
    <cellStyle name="Normal 19 10 5 7" xfId="13875" xr:uid="{00000000-0005-0000-0000-000006690000}"/>
    <cellStyle name="Normal 19 10 6" xfId="3755" xr:uid="{00000000-0005-0000-0000-000007690000}"/>
    <cellStyle name="Normal 19 10 6 2" xfId="35496" xr:uid="{00000000-0005-0000-0000-000008690000}"/>
    <cellStyle name="Normal 19 10 6 2 2" xfId="51596" xr:uid="{00000000-0005-0000-0000-000009690000}"/>
    <cellStyle name="Normal 19 10 6 3" xfId="42029" xr:uid="{00000000-0005-0000-0000-00000A690000}"/>
    <cellStyle name="Normal 19 10 6 4" xfId="25929" xr:uid="{00000000-0005-0000-0000-00000B690000}"/>
    <cellStyle name="Normal 19 10 6 5" xfId="16360" xr:uid="{00000000-0005-0000-0000-00000C690000}"/>
    <cellStyle name="Normal 19 10 7" xfId="6791" xr:uid="{00000000-0005-0000-0000-00000D690000}"/>
    <cellStyle name="Normal 19 10 7 2" xfId="38532" xr:uid="{00000000-0005-0000-0000-00000E690000}"/>
    <cellStyle name="Normal 19 10 7 2 2" xfId="54632" xr:uid="{00000000-0005-0000-0000-00000F690000}"/>
    <cellStyle name="Normal 19 10 7 3" xfId="45065" xr:uid="{00000000-0005-0000-0000-000010690000}"/>
    <cellStyle name="Normal 19 10 7 4" xfId="28965" xr:uid="{00000000-0005-0000-0000-000011690000}"/>
    <cellStyle name="Normal 19 10 7 5" xfId="19396" xr:uid="{00000000-0005-0000-0000-000012690000}"/>
    <cellStyle name="Normal 19 10 8" xfId="9827" xr:uid="{00000000-0005-0000-0000-000013690000}"/>
    <cellStyle name="Normal 19 10 8 2" xfId="48101" xr:uid="{00000000-0005-0000-0000-000014690000}"/>
    <cellStyle name="Normal 19 10 8 3" xfId="32001" xr:uid="{00000000-0005-0000-0000-000015690000}"/>
    <cellStyle name="Normal 19 10 8 4" xfId="22432" xr:uid="{00000000-0005-0000-0000-000016690000}"/>
    <cellStyle name="Normal 19 10 9" xfId="3295" xr:uid="{00000000-0005-0000-0000-000017690000}"/>
    <cellStyle name="Normal 19 10 9 2" xfId="51137" xr:uid="{00000000-0005-0000-0000-000018690000}"/>
    <cellStyle name="Normal 19 10 9 3" xfId="35037" xr:uid="{00000000-0005-0000-0000-000019690000}"/>
    <cellStyle name="Normal 19 10 9 4" xfId="15901" xr:uid="{00000000-0005-0000-0000-00001A690000}"/>
    <cellStyle name="Normal 19 11" xfId="430" xr:uid="{00000000-0005-0000-0000-00001B690000}"/>
    <cellStyle name="Normal 19 11 10" xfId="41417" xr:uid="{00000000-0005-0000-0000-00001C690000}"/>
    <cellStyle name="Normal 19 11 11" xfId="25317" xr:uid="{00000000-0005-0000-0000-00001D690000}"/>
    <cellStyle name="Normal 19 11 12" xfId="12712" xr:uid="{00000000-0005-0000-0000-00001E690000}"/>
    <cellStyle name="Normal 19 11 2" xfId="787" xr:uid="{00000000-0005-0000-0000-00001F690000}"/>
    <cellStyle name="Normal 19 11 2 10" xfId="13395" xr:uid="{00000000-0005-0000-0000-000020690000}"/>
    <cellStyle name="Normal 19 11 2 2" xfId="2815" xr:uid="{00000000-0005-0000-0000-000021690000}"/>
    <cellStyle name="Normal 19 11 2 2 2" xfId="9347" xr:uid="{00000000-0005-0000-0000-000022690000}"/>
    <cellStyle name="Normal 19 11 2 2 2 2" xfId="41088" xr:uid="{00000000-0005-0000-0000-000023690000}"/>
    <cellStyle name="Normal 19 11 2 2 2 2 2" xfId="57188" xr:uid="{00000000-0005-0000-0000-000024690000}"/>
    <cellStyle name="Normal 19 11 2 2 2 3" xfId="47621" xr:uid="{00000000-0005-0000-0000-000025690000}"/>
    <cellStyle name="Normal 19 11 2 2 2 4" xfId="31521" xr:uid="{00000000-0005-0000-0000-000026690000}"/>
    <cellStyle name="Normal 19 11 2 2 2 5" xfId="21952" xr:uid="{00000000-0005-0000-0000-000027690000}"/>
    <cellStyle name="Normal 19 11 2 2 3" xfId="12383" xr:uid="{00000000-0005-0000-0000-000028690000}"/>
    <cellStyle name="Normal 19 11 2 2 3 2" xfId="50657" xr:uid="{00000000-0005-0000-0000-000029690000}"/>
    <cellStyle name="Normal 19 11 2 2 3 3" xfId="34557" xr:uid="{00000000-0005-0000-0000-00002A690000}"/>
    <cellStyle name="Normal 19 11 2 2 3 4" xfId="24988" xr:uid="{00000000-0005-0000-0000-00002B690000}"/>
    <cellStyle name="Normal 19 11 2 2 4" xfId="6311" xr:uid="{00000000-0005-0000-0000-00002C690000}"/>
    <cellStyle name="Normal 19 11 2 2 4 2" xfId="54152" xr:uid="{00000000-0005-0000-0000-00002D690000}"/>
    <cellStyle name="Normal 19 11 2 2 4 3" xfId="38052" xr:uid="{00000000-0005-0000-0000-00002E690000}"/>
    <cellStyle name="Normal 19 11 2 2 4 4" xfId="18916" xr:uid="{00000000-0005-0000-0000-00002F690000}"/>
    <cellStyle name="Normal 19 11 2 2 5" xfId="44585" xr:uid="{00000000-0005-0000-0000-000030690000}"/>
    <cellStyle name="Normal 19 11 2 2 6" xfId="28485" xr:uid="{00000000-0005-0000-0000-000031690000}"/>
    <cellStyle name="Normal 19 11 2 2 7" xfId="15421" xr:uid="{00000000-0005-0000-0000-000032690000}"/>
    <cellStyle name="Normal 19 11 2 3" xfId="1797" xr:uid="{00000000-0005-0000-0000-000033690000}"/>
    <cellStyle name="Normal 19 11 2 3 2" xfId="8331" xr:uid="{00000000-0005-0000-0000-000034690000}"/>
    <cellStyle name="Normal 19 11 2 3 2 2" xfId="40072" xr:uid="{00000000-0005-0000-0000-000035690000}"/>
    <cellStyle name="Normal 19 11 2 3 2 2 2" xfId="56172" xr:uid="{00000000-0005-0000-0000-000036690000}"/>
    <cellStyle name="Normal 19 11 2 3 2 3" xfId="46605" xr:uid="{00000000-0005-0000-0000-000037690000}"/>
    <cellStyle name="Normal 19 11 2 3 2 4" xfId="30505" xr:uid="{00000000-0005-0000-0000-000038690000}"/>
    <cellStyle name="Normal 19 11 2 3 2 5" xfId="20936" xr:uid="{00000000-0005-0000-0000-000039690000}"/>
    <cellStyle name="Normal 19 11 2 3 3" xfId="11367" xr:uid="{00000000-0005-0000-0000-00003A690000}"/>
    <cellStyle name="Normal 19 11 2 3 3 2" xfId="49641" xr:uid="{00000000-0005-0000-0000-00003B690000}"/>
    <cellStyle name="Normal 19 11 2 3 3 3" xfId="33541" xr:uid="{00000000-0005-0000-0000-00003C690000}"/>
    <cellStyle name="Normal 19 11 2 3 3 4" xfId="23972" xr:uid="{00000000-0005-0000-0000-00003D690000}"/>
    <cellStyle name="Normal 19 11 2 3 4" xfId="5295" xr:uid="{00000000-0005-0000-0000-00003E690000}"/>
    <cellStyle name="Normal 19 11 2 3 4 2" xfId="53136" xr:uid="{00000000-0005-0000-0000-00003F690000}"/>
    <cellStyle name="Normal 19 11 2 3 4 3" xfId="37036" xr:uid="{00000000-0005-0000-0000-000040690000}"/>
    <cellStyle name="Normal 19 11 2 3 4 4" xfId="17900" xr:uid="{00000000-0005-0000-0000-000041690000}"/>
    <cellStyle name="Normal 19 11 2 3 5" xfId="43569" xr:uid="{00000000-0005-0000-0000-000042690000}"/>
    <cellStyle name="Normal 19 11 2 3 6" xfId="27469" xr:uid="{00000000-0005-0000-0000-000043690000}"/>
    <cellStyle name="Normal 19 11 2 3 7" xfId="14405" xr:uid="{00000000-0005-0000-0000-000044690000}"/>
    <cellStyle name="Normal 19 11 2 4" xfId="4285" xr:uid="{00000000-0005-0000-0000-000045690000}"/>
    <cellStyle name="Normal 19 11 2 4 2" xfId="36026" xr:uid="{00000000-0005-0000-0000-000046690000}"/>
    <cellStyle name="Normal 19 11 2 4 2 2" xfId="52126" xr:uid="{00000000-0005-0000-0000-000047690000}"/>
    <cellStyle name="Normal 19 11 2 4 3" xfId="42559" xr:uid="{00000000-0005-0000-0000-000048690000}"/>
    <cellStyle name="Normal 19 11 2 4 4" xfId="26459" xr:uid="{00000000-0005-0000-0000-000049690000}"/>
    <cellStyle name="Normal 19 11 2 4 5" xfId="16890" xr:uid="{00000000-0005-0000-0000-00004A690000}"/>
    <cellStyle name="Normal 19 11 2 5" xfId="7321" xr:uid="{00000000-0005-0000-0000-00004B690000}"/>
    <cellStyle name="Normal 19 11 2 5 2" xfId="39062" xr:uid="{00000000-0005-0000-0000-00004C690000}"/>
    <cellStyle name="Normal 19 11 2 5 2 2" xfId="55162" xr:uid="{00000000-0005-0000-0000-00004D690000}"/>
    <cellStyle name="Normal 19 11 2 5 3" xfId="45595" xr:uid="{00000000-0005-0000-0000-00004E690000}"/>
    <cellStyle name="Normal 19 11 2 5 4" xfId="29495" xr:uid="{00000000-0005-0000-0000-00004F690000}"/>
    <cellStyle name="Normal 19 11 2 5 5" xfId="19926" xr:uid="{00000000-0005-0000-0000-000050690000}"/>
    <cellStyle name="Normal 19 11 2 6" xfId="10357" xr:uid="{00000000-0005-0000-0000-000051690000}"/>
    <cellStyle name="Normal 19 11 2 6 2" xfId="48631" xr:uid="{00000000-0005-0000-0000-000052690000}"/>
    <cellStyle name="Normal 19 11 2 6 3" xfId="32531" xr:uid="{00000000-0005-0000-0000-000053690000}"/>
    <cellStyle name="Normal 19 11 2 6 4" xfId="22962" xr:uid="{00000000-0005-0000-0000-000054690000}"/>
    <cellStyle name="Normal 19 11 2 7" xfId="3380" xr:uid="{00000000-0005-0000-0000-000055690000}"/>
    <cellStyle name="Normal 19 11 2 7 2" xfId="51221" xr:uid="{00000000-0005-0000-0000-000056690000}"/>
    <cellStyle name="Normal 19 11 2 7 3" xfId="35121" xr:uid="{00000000-0005-0000-0000-000057690000}"/>
    <cellStyle name="Normal 19 11 2 7 4" xfId="15985" xr:uid="{00000000-0005-0000-0000-000058690000}"/>
    <cellStyle name="Normal 19 11 2 8" xfId="41654" xr:uid="{00000000-0005-0000-0000-000059690000}"/>
    <cellStyle name="Normal 19 11 2 9" xfId="25554" xr:uid="{00000000-0005-0000-0000-00005A690000}"/>
    <cellStyle name="Normal 19 11 3" xfId="645" xr:uid="{00000000-0005-0000-0000-00005B690000}"/>
    <cellStyle name="Normal 19 11 3 2" xfId="2673" xr:uid="{00000000-0005-0000-0000-00005C690000}"/>
    <cellStyle name="Normal 19 11 3 2 2" xfId="9205" xr:uid="{00000000-0005-0000-0000-00005D690000}"/>
    <cellStyle name="Normal 19 11 3 2 2 2" xfId="40946" xr:uid="{00000000-0005-0000-0000-00005E690000}"/>
    <cellStyle name="Normal 19 11 3 2 2 2 2" xfId="57046" xr:uid="{00000000-0005-0000-0000-00005F690000}"/>
    <cellStyle name="Normal 19 11 3 2 2 3" xfId="47479" xr:uid="{00000000-0005-0000-0000-000060690000}"/>
    <cellStyle name="Normal 19 11 3 2 2 4" xfId="31379" xr:uid="{00000000-0005-0000-0000-000061690000}"/>
    <cellStyle name="Normal 19 11 3 2 2 5" xfId="21810" xr:uid="{00000000-0005-0000-0000-000062690000}"/>
    <cellStyle name="Normal 19 11 3 2 3" xfId="12241" xr:uid="{00000000-0005-0000-0000-000063690000}"/>
    <cellStyle name="Normal 19 11 3 2 3 2" xfId="50515" xr:uid="{00000000-0005-0000-0000-000064690000}"/>
    <cellStyle name="Normal 19 11 3 2 3 3" xfId="34415" xr:uid="{00000000-0005-0000-0000-000065690000}"/>
    <cellStyle name="Normal 19 11 3 2 3 4" xfId="24846" xr:uid="{00000000-0005-0000-0000-000066690000}"/>
    <cellStyle name="Normal 19 11 3 2 4" xfId="6169" xr:uid="{00000000-0005-0000-0000-000067690000}"/>
    <cellStyle name="Normal 19 11 3 2 4 2" xfId="54010" xr:uid="{00000000-0005-0000-0000-000068690000}"/>
    <cellStyle name="Normal 19 11 3 2 4 3" xfId="37910" xr:uid="{00000000-0005-0000-0000-000069690000}"/>
    <cellStyle name="Normal 19 11 3 2 4 4" xfId="18774" xr:uid="{00000000-0005-0000-0000-00006A690000}"/>
    <cellStyle name="Normal 19 11 3 2 5" xfId="44443" xr:uid="{00000000-0005-0000-0000-00006B690000}"/>
    <cellStyle name="Normal 19 11 3 2 6" xfId="28343" xr:uid="{00000000-0005-0000-0000-00006C690000}"/>
    <cellStyle name="Normal 19 11 3 2 7" xfId="15279" xr:uid="{00000000-0005-0000-0000-00006D690000}"/>
    <cellStyle name="Normal 19 11 3 3" xfId="1655" xr:uid="{00000000-0005-0000-0000-00006E690000}"/>
    <cellStyle name="Normal 19 11 3 3 2" xfId="8189" xr:uid="{00000000-0005-0000-0000-00006F690000}"/>
    <cellStyle name="Normal 19 11 3 3 2 2" xfId="39930" xr:uid="{00000000-0005-0000-0000-000070690000}"/>
    <cellStyle name="Normal 19 11 3 3 2 2 2" xfId="56030" xr:uid="{00000000-0005-0000-0000-000071690000}"/>
    <cellStyle name="Normal 19 11 3 3 2 3" xfId="46463" xr:uid="{00000000-0005-0000-0000-000072690000}"/>
    <cellStyle name="Normal 19 11 3 3 2 4" xfId="30363" xr:uid="{00000000-0005-0000-0000-000073690000}"/>
    <cellStyle name="Normal 19 11 3 3 2 5" xfId="20794" xr:uid="{00000000-0005-0000-0000-000074690000}"/>
    <cellStyle name="Normal 19 11 3 3 3" xfId="11225" xr:uid="{00000000-0005-0000-0000-000075690000}"/>
    <cellStyle name="Normal 19 11 3 3 3 2" xfId="49499" xr:uid="{00000000-0005-0000-0000-000076690000}"/>
    <cellStyle name="Normal 19 11 3 3 3 3" xfId="33399" xr:uid="{00000000-0005-0000-0000-000077690000}"/>
    <cellStyle name="Normal 19 11 3 3 3 4" xfId="23830" xr:uid="{00000000-0005-0000-0000-000078690000}"/>
    <cellStyle name="Normal 19 11 3 3 4" xfId="5153" xr:uid="{00000000-0005-0000-0000-000079690000}"/>
    <cellStyle name="Normal 19 11 3 3 4 2" xfId="52994" xr:uid="{00000000-0005-0000-0000-00007A690000}"/>
    <cellStyle name="Normal 19 11 3 3 4 3" xfId="36894" xr:uid="{00000000-0005-0000-0000-00007B690000}"/>
    <cellStyle name="Normal 19 11 3 3 4 4" xfId="17758" xr:uid="{00000000-0005-0000-0000-00007C690000}"/>
    <cellStyle name="Normal 19 11 3 3 5" xfId="43427" xr:uid="{00000000-0005-0000-0000-00007D690000}"/>
    <cellStyle name="Normal 19 11 3 3 6" xfId="27327" xr:uid="{00000000-0005-0000-0000-00007E690000}"/>
    <cellStyle name="Normal 19 11 3 3 7" xfId="14263" xr:uid="{00000000-0005-0000-0000-00007F690000}"/>
    <cellStyle name="Normal 19 11 3 4" xfId="7179" xr:uid="{00000000-0005-0000-0000-000080690000}"/>
    <cellStyle name="Normal 19 11 3 4 2" xfId="38920" xr:uid="{00000000-0005-0000-0000-000081690000}"/>
    <cellStyle name="Normal 19 11 3 4 2 2" xfId="55020" xr:uid="{00000000-0005-0000-0000-000082690000}"/>
    <cellStyle name="Normal 19 11 3 4 3" xfId="45453" xr:uid="{00000000-0005-0000-0000-000083690000}"/>
    <cellStyle name="Normal 19 11 3 4 4" xfId="29353" xr:uid="{00000000-0005-0000-0000-000084690000}"/>
    <cellStyle name="Normal 19 11 3 4 5" xfId="19784" xr:uid="{00000000-0005-0000-0000-000085690000}"/>
    <cellStyle name="Normal 19 11 3 5" xfId="10215" xr:uid="{00000000-0005-0000-0000-000086690000}"/>
    <cellStyle name="Normal 19 11 3 5 2" xfId="48489" xr:uid="{00000000-0005-0000-0000-000087690000}"/>
    <cellStyle name="Normal 19 11 3 5 3" xfId="32389" xr:uid="{00000000-0005-0000-0000-000088690000}"/>
    <cellStyle name="Normal 19 11 3 5 4" xfId="22820" xr:uid="{00000000-0005-0000-0000-000089690000}"/>
    <cellStyle name="Normal 19 11 3 6" xfId="4143" xr:uid="{00000000-0005-0000-0000-00008A690000}"/>
    <cellStyle name="Normal 19 11 3 6 2" xfId="51984" xr:uid="{00000000-0005-0000-0000-00008B690000}"/>
    <cellStyle name="Normal 19 11 3 6 3" xfId="35884" xr:uid="{00000000-0005-0000-0000-00008C690000}"/>
    <cellStyle name="Normal 19 11 3 6 4" xfId="16748" xr:uid="{00000000-0005-0000-0000-00008D690000}"/>
    <cellStyle name="Normal 19 11 3 7" xfId="42417" xr:uid="{00000000-0005-0000-0000-00008E690000}"/>
    <cellStyle name="Normal 19 11 3 8" xfId="26317" xr:uid="{00000000-0005-0000-0000-00008F690000}"/>
    <cellStyle name="Normal 19 11 3 9" xfId="13253" xr:uid="{00000000-0005-0000-0000-000090690000}"/>
    <cellStyle name="Normal 19 11 4" xfId="2445" xr:uid="{00000000-0005-0000-0000-000091690000}"/>
    <cellStyle name="Normal 19 11 4 2" xfId="8977" xr:uid="{00000000-0005-0000-0000-000092690000}"/>
    <cellStyle name="Normal 19 11 4 2 2" xfId="40718" xr:uid="{00000000-0005-0000-0000-000093690000}"/>
    <cellStyle name="Normal 19 11 4 2 2 2" xfId="56818" xr:uid="{00000000-0005-0000-0000-000094690000}"/>
    <cellStyle name="Normal 19 11 4 2 3" xfId="47251" xr:uid="{00000000-0005-0000-0000-000095690000}"/>
    <cellStyle name="Normal 19 11 4 2 4" xfId="31151" xr:uid="{00000000-0005-0000-0000-000096690000}"/>
    <cellStyle name="Normal 19 11 4 2 5" xfId="21582" xr:uid="{00000000-0005-0000-0000-000097690000}"/>
    <cellStyle name="Normal 19 11 4 3" xfId="12013" xr:uid="{00000000-0005-0000-0000-000098690000}"/>
    <cellStyle name="Normal 19 11 4 3 2" xfId="50287" xr:uid="{00000000-0005-0000-0000-000099690000}"/>
    <cellStyle name="Normal 19 11 4 3 3" xfId="34187" xr:uid="{00000000-0005-0000-0000-00009A690000}"/>
    <cellStyle name="Normal 19 11 4 3 4" xfId="24618" xr:uid="{00000000-0005-0000-0000-00009B690000}"/>
    <cellStyle name="Normal 19 11 4 4" xfId="5941" xr:uid="{00000000-0005-0000-0000-00009C690000}"/>
    <cellStyle name="Normal 19 11 4 4 2" xfId="53782" xr:uid="{00000000-0005-0000-0000-00009D690000}"/>
    <cellStyle name="Normal 19 11 4 4 3" xfId="37682" xr:uid="{00000000-0005-0000-0000-00009E690000}"/>
    <cellStyle name="Normal 19 11 4 4 4" xfId="18546" xr:uid="{00000000-0005-0000-0000-00009F690000}"/>
    <cellStyle name="Normal 19 11 4 5" xfId="44215" xr:uid="{00000000-0005-0000-0000-0000A0690000}"/>
    <cellStyle name="Normal 19 11 4 6" xfId="28115" xr:uid="{00000000-0005-0000-0000-0000A1690000}"/>
    <cellStyle name="Normal 19 11 4 7" xfId="15051" xr:uid="{00000000-0005-0000-0000-0000A2690000}"/>
    <cellStyle name="Normal 19 11 5" xfId="1114" xr:uid="{00000000-0005-0000-0000-0000A3690000}"/>
    <cellStyle name="Normal 19 11 5 2" xfId="7648" xr:uid="{00000000-0005-0000-0000-0000A4690000}"/>
    <cellStyle name="Normal 19 11 5 2 2" xfId="39389" xr:uid="{00000000-0005-0000-0000-0000A5690000}"/>
    <cellStyle name="Normal 19 11 5 2 2 2" xfId="55489" xr:uid="{00000000-0005-0000-0000-0000A6690000}"/>
    <cellStyle name="Normal 19 11 5 2 3" xfId="45922" xr:uid="{00000000-0005-0000-0000-0000A7690000}"/>
    <cellStyle name="Normal 19 11 5 2 4" xfId="29822" xr:uid="{00000000-0005-0000-0000-0000A8690000}"/>
    <cellStyle name="Normal 19 11 5 2 5" xfId="20253" xr:uid="{00000000-0005-0000-0000-0000A9690000}"/>
    <cellStyle name="Normal 19 11 5 3" xfId="10684" xr:uid="{00000000-0005-0000-0000-0000AA690000}"/>
    <cellStyle name="Normal 19 11 5 3 2" xfId="48958" xr:uid="{00000000-0005-0000-0000-0000AB690000}"/>
    <cellStyle name="Normal 19 11 5 3 3" xfId="32858" xr:uid="{00000000-0005-0000-0000-0000AC690000}"/>
    <cellStyle name="Normal 19 11 5 3 4" xfId="23289" xr:uid="{00000000-0005-0000-0000-0000AD690000}"/>
    <cellStyle name="Normal 19 11 5 4" xfId="4612" xr:uid="{00000000-0005-0000-0000-0000AE690000}"/>
    <cellStyle name="Normal 19 11 5 4 2" xfId="52453" xr:uid="{00000000-0005-0000-0000-0000AF690000}"/>
    <cellStyle name="Normal 19 11 5 4 3" xfId="36353" xr:uid="{00000000-0005-0000-0000-0000B0690000}"/>
    <cellStyle name="Normal 19 11 5 4 4" xfId="17217" xr:uid="{00000000-0005-0000-0000-0000B1690000}"/>
    <cellStyle name="Normal 19 11 5 5" xfId="42886" xr:uid="{00000000-0005-0000-0000-0000B2690000}"/>
    <cellStyle name="Normal 19 11 5 6" xfId="26786" xr:uid="{00000000-0005-0000-0000-0000B3690000}"/>
    <cellStyle name="Normal 19 11 5 7" xfId="13722" xr:uid="{00000000-0005-0000-0000-0000B4690000}"/>
    <cellStyle name="Normal 19 11 6" xfId="3602" xr:uid="{00000000-0005-0000-0000-0000B5690000}"/>
    <cellStyle name="Normal 19 11 6 2" xfId="35343" xr:uid="{00000000-0005-0000-0000-0000B6690000}"/>
    <cellStyle name="Normal 19 11 6 2 2" xfId="51443" xr:uid="{00000000-0005-0000-0000-0000B7690000}"/>
    <cellStyle name="Normal 19 11 6 3" xfId="41876" xr:uid="{00000000-0005-0000-0000-0000B8690000}"/>
    <cellStyle name="Normal 19 11 6 4" xfId="25776" xr:uid="{00000000-0005-0000-0000-0000B9690000}"/>
    <cellStyle name="Normal 19 11 6 5" xfId="16207" xr:uid="{00000000-0005-0000-0000-0000BA690000}"/>
    <cellStyle name="Normal 19 11 7" xfId="6638" xr:uid="{00000000-0005-0000-0000-0000BB690000}"/>
    <cellStyle name="Normal 19 11 7 2" xfId="38379" xr:uid="{00000000-0005-0000-0000-0000BC690000}"/>
    <cellStyle name="Normal 19 11 7 2 2" xfId="54479" xr:uid="{00000000-0005-0000-0000-0000BD690000}"/>
    <cellStyle name="Normal 19 11 7 3" xfId="44912" xr:uid="{00000000-0005-0000-0000-0000BE690000}"/>
    <cellStyle name="Normal 19 11 7 4" xfId="28812" xr:uid="{00000000-0005-0000-0000-0000BF690000}"/>
    <cellStyle name="Normal 19 11 7 5" xfId="19243" xr:uid="{00000000-0005-0000-0000-0000C0690000}"/>
    <cellStyle name="Normal 19 11 8" xfId="9674" xr:uid="{00000000-0005-0000-0000-0000C1690000}"/>
    <cellStyle name="Normal 19 11 8 2" xfId="47948" xr:uid="{00000000-0005-0000-0000-0000C2690000}"/>
    <cellStyle name="Normal 19 11 8 3" xfId="31848" xr:uid="{00000000-0005-0000-0000-0000C3690000}"/>
    <cellStyle name="Normal 19 11 8 4" xfId="22279" xr:uid="{00000000-0005-0000-0000-0000C4690000}"/>
    <cellStyle name="Normal 19 11 9" xfId="3142" xr:uid="{00000000-0005-0000-0000-0000C5690000}"/>
    <cellStyle name="Normal 19 11 9 2" xfId="50984" xr:uid="{00000000-0005-0000-0000-0000C6690000}"/>
    <cellStyle name="Normal 19 11 9 3" xfId="34884" xr:uid="{00000000-0005-0000-0000-0000C7690000}"/>
    <cellStyle name="Normal 19 11 9 4" xfId="15748" xr:uid="{00000000-0005-0000-0000-0000C8690000}"/>
    <cellStyle name="Normal 19 12" xfId="410" xr:uid="{00000000-0005-0000-0000-0000C9690000}"/>
    <cellStyle name="Normal 19 12 10" xfId="41400" xr:uid="{00000000-0005-0000-0000-0000CA690000}"/>
    <cellStyle name="Normal 19 12 11" xfId="25300" xr:uid="{00000000-0005-0000-0000-0000CB690000}"/>
    <cellStyle name="Normal 19 12 12" xfId="12695" xr:uid="{00000000-0005-0000-0000-0000CC690000}"/>
    <cellStyle name="Normal 19 12 2" xfId="770" xr:uid="{00000000-0005-0000-0000-0000CD690000}"/>
    <cellStyle name="Normal 19 12 2 10" xfId="13378" xr:uid="{00000000-0005-0000-0000-0000CE690000}"/>
    <cellStyle name="Normal 19 12 2 2" xfId="2798" xr:uid="{00000000-0005-0000-0000-0000CF690000}"/>
    <cellStyle name="Normal 19 12 2 2 2" xfId="9330" xr:uid="{00000000-0005-0000-0000-0000D0690000}"/>
    <cellStyle name="Normal 19 12 2 2 2 2" xfId="41071" xr:uid="{00000000-0005-0000-0000-0000D1690000}"/>
    <cellStyle name="Normal 19 12 2 2 2 2 2" xfId="57171" xr:uid="{00000000-0005-0000-0000-0000D2690000}"/>
    <cellStyle name="Normal 19 12 2 2 2 3" xfId="47604" xr:uid="{00000000-0005-0000-0000-0000D3690000}"/>
    <cellStyle name="Normal 19 12 2 2 2 4" xfId="31504" xr:uid="{00000000-0005-0000-0000-0000D4690000}"/>
    <cellStyle name="Normal 19 12 2 2 2 5" xfId="21935" xr:uid="{00000000-0005-0000-0000-0000D5690000}"/>
    <cellStyle name="Normal 19 12 2 2 3" xfId="12366" xr:uid="{00000000-0005-0000-0000-0000D6690000}"/>
    <cellStyle name="Normal 19 12 2 2 3 2" xfId="50640" xr:uid="{00000000-0005-0000-0000-0000D7690000}"/>
    <cellStyle name="Normal 19 12 2 2 3 3" xfId="34540" xr:uid="{00000000-0005-0000-0000-0000D8690000}"/>
    <cellStyle name="Normal 19 12 2 2 3 4" xfId="24971" xr:uid="{00000000-0005-0000-0000-0000D9690000}"/>
    <cellStyle name="Normal 19 12 2 2 4" xfId="6294" xr:uid="{00000000-0005-0000-0000-0000DA690000}"/>
    <cellStyle name="Normal 19 12 2 2 4 2" xfId="54135" xr:uid="{00000000-0005-0000-0000-0000DB690000}"/>
    <cellStyle name="Normal 19 12 2 2 4 3" xfId="38035" xr:uid="{00000000-0005-0000-0000-0000DC690000}"/>
    <cellStyle name="Normal 19 12 2 2 4 4" xfId="18899" xr:uid="{00000000-0005-0000-0000-0000DD690000}"/>
    <cellStyle name="Normal 19 12 2 2 5" xfId="44568" xr:uid="{00000000-0005-0000-0000-0000DE690000}"/>
    <cellStyle name="Normal 19 12 2 2 6" xfId="28468" xr:uid="{00000000-0005-0000-0000-0000DF690000}"/>
    <cellStyle name="Normal 19 12 2 2 7" xfId="15404" xr:uid="{00000000-0005-0000-0000-0000E0690000}"/>
    <cellStyle name="Normal 19 12 2 3" xfId="1780" xr:uid="{00000000-0005-0000-0000-0000E1690000}"/>
    <cellStyle name="Normal 19 12 2 3 2" xfId="8314" xr:uid="{00000000-0005-0000-0000-0000E2690000}"/>
    <cellStyle name="Normal 19 12 2 3 2 2" xfId="40055" xr:uid="{00000000-0005-0000-0000-0000E3690000}"/>
    <cellStyle name="Normal 19 12 2 3 2 2 2" xfId="56155" xr:uid="{00000000-0005-0000-0000-0000E4690000}"/>
    <cellStyle name="Normal 19 12 2 3 2 3" xfId="46588" xr:uid="{00000000-0005-0000-0000-0000E5690000}"/>
    <cellStyle name="Normal 19 12 2 3 2 4" xfId="30488" xr:uid="{00000000-0005-0000-0000-0000E6690000}"/>
    <cellStyle name="Normal 19 12 2 3 2 5" xfId="20919" xr:uid="{00000000-0005-0000-0000-0000E7690000}"/>
    <cellStyle name="Normal 19 12 2 3 3" xfId="11350" xr:uid="{00000000-0005-0000-0000-0000E8690000}"/>
    <cellStyle name="Normal 19 12 2 3 3 2" xfId="49624" xr:uid="{00000000-0005-0000-0000-0000E9690000}"/>
    <cellStyle name="Normal 19 12 2 3 3 3" xfId="33524" xr:uid="{00000000-0005-0000-0000-0000EA690000}"/>
    <cellStyle name="Normal 19 12 2 3 3 4" xfId="23955" xr:uid="{00000000-0005-0000-0000-0000EB690000}"/>
    <cellStyle name="Normal 19 12 2 3 4" xfId="5278" xr:uid="{00000000-0005-0000-0000-0000EC690000}"/>
    <cellStyle name="Normal 19 12 2 3 4 2" xfId="53119" xr:uid="{00000000-0005-0000-0000-0000ED690000}"/>
    <cellStyle name="Normal 19 12 2 3 4 3" xfId="37019" xr:uid="{00000000-0005-0000-0000-0000EE690000}"/>
    <cellStyle name="Normal 19 12 2 3 4 4" xfId="17883" xr:uid="{00000000-0005-0000-0000-0000EF690000}"/>
    <cellStyle name="Normal 19 12 2 3 5" xfId="43552" xr:uid="{00000000-0005-0000-0000-0000F0690000}"/>
    <cellStyle name="Normal 19 12 2 3 6" xfId="27452" xr:uid="{00000000-0005-0000-0000-0000F1690000}"/>
    <cellStyle name="Normal 19 12 2 3 7" xfId="14388" xr:uid="{00000000-0005-0000-0000-0000F2690000}"/>
    <cellStyle name="Normal 19 12 2 4" xfId="4268" xr:uid="{00000000-0005-0000-0000-0000F3690000}"/>
    <cellStyle name="Normal 19 12 2 4 2" xfId="36009" xr:uid="{00000000-0005-0000-0000-0000F4690000}"/>
    <cellStyle name="Normal 19 12 2 4 2 2" xfId="52109" xr:uid="{00000000-0005-0000-0000-0000F5690000}"/>
    <cellStyle name="Normal 19 12 2 4 3" xfId="42542" xr:uid="{00000000-0005-0000-0000-0000F6690000}"/>
    <cellStyle name="Normal 19 12 2 4 4" xfId="26442" xr:uid="{00000000-0005-0000-0000-0000F7690000}"/>
    <cellStyle name="Normal 19 12 2 4 5" xfId="16873" xr:uid="{00000000-0005-0000-0000-0000F8690000}"/>
    <cellStyle name="Normal 19 12 2 5" xfId="7304" xr:uid="{00000000-0005-0000-0000-0000F9690000}"/>
    <cellStyle name="Normal 19 12 2 5 2" xfId="39045" xr:uid="{00000000-0005-0000-0000-0000FA690000}"/>
    <cellStyle name="Normal 19 12 2 5 2 2" xfId="55145" xr:uid="{00000000-0005-0000-0000-0000FB690000}"/>
    <cellStyle name="Normal 19 12 2 5 3" xfId="45578" xr:uid="{00000000-0005-0000-0000-0000FC690000}"/>
    <cellStyle name="Normal 19 12 2 5 4" xfId="29478" xr:uid="{00000000-0005-0000-0000-0000FD690000}"/>
    <cellStyle name="Normal 19 12 2 5 5" xfId="19909" xr:uid="{00000000-0005-0000-0000-0000FE690000}"/>
    <cellStyle name="Normal 19 12 2 6" xfId="10340" xr:uid="{00000000-0005-0000-0000-0000FF690000}"/>
    <cellStyle name="Normal 19 12 2 6 2" xfId="48614" xr:uid="{00000000-0005-0000-0000-0000006A0000}"/>
    <cellStyle name="Normal 19 12 2 6 3" xfId="32514" xr:uid="{00000000-0005-0000-0000-0000016A0000}"/>
    <cellStyle name="Normal 19 12 2 6 4" xfId="22945" xr:uid="{00000000-0005-0000-0000-0000026A0000}"/>
    <cellStyle name="Normal 19 12 2 7" xfId="3363" xr:uid="{00000000-0005-0000-0000-0000036A0000}"/>
    <cellStyle name="Normal 19 12 2 7 2" xfId="51204" xr:uid="{00000000-0005-0000-0000-0000046A0000}"/>
    <cellStyle name="Normal 19 12 2 7 3" xfId="35104" xr:uid="{00000000-0005-0000-0000-0000056A0000}"/>
    <cellStyle name="Normal 19 12 2 7 4" xfId="15968" xr:uid="{00000000-0005-0000-0000-0000066A0000}"/>
    <cellStyle name="Normal 19 12 2 8" xfId="41637" xr:uid="{00000000-0005-0000-0000-0000076A0000}"/>
    <cellStyle name="Normal 19 12 2 9" xfId="25537" xr:uid="{00000000-0005-0000-0000-0000086A0000}"/>
    <cellStyle name="Normal 19 12 3" xfId="628" xr:uid="{00000000-0005-0000-0000-0000096A0000}"/>
    <cellStyle name="Normal 19 12 3 2" xfId="2656" xr:uid="{00000000-0005-0000-0000-00000A6A0000}"/>
    <cellStyle name="Normal 19 12 3 2 2" xfId="9188" xr:uid="{00000000-0005-0000-0000-00000B6A0000}"/>
    <cellStyle name="Normal 19 12 3 2 2 2" xfId="40929" xr:uid="{00000000-0005-0000-0000-00000C6A0000}"/>
    <cellStyle name="Normal 19 12 3 2 2 2 2" xfId="57029" xr:uid="{00000000-0005-0000-0000-00000D6A0000}"/>
    <cellStyle name="Normal 19 12 3 2 2 3" xfId="47462" xr:uid="{00000000-0005-0000-0000-00000E6A0000}"/>
    <cellStyle name="Normal 19 12 3 2 2 4" xfId="31362" xr:uid="{00000000-0005-0000-0000-00000F6A0000}"/>
    <cellStyle name="Normal 19 12 3 2 2 5" xfId="21793" xr:uid="{00000000-0005-0000-0000-0000106A0000}"/>
    <cellStyle name="Normal 19 12 3 2 3" xfId="12224" xr:uid="{00000000-0005-0000-0000-0000116A0000}"/>
    <cellStyle name="Normal 19 12 3 2 3 2" xfId="50498" xr:uid="{00000000-0005-0000-0000-0000126A0000}"/>
    <cellStyle name="Normal 19 12 3 2 3 3" xfId="34398" xr:uid="{00000000-0005-0000-0000-0000136A0000}"/>
    <cellStyle name="Normal 19 12 3 2 3 4" xfId="24829" xr:uid="{00000000-0005-0000-0000-0000146A0000}"/>
    <cellStyle name="Normal 19 12 3 2 4" xfId="6152" xr:uid="{00000000-0005-0000-0000-0000156A0000}"/>
    <cellStyle name="Normal 19 12 3 2 4 2" xfId="53993" xr:uid="{00000000-0005-0000-0000-0000166A0000}"/>
    <cellStyle name="Normal 19 12 3 2 4 3" xfId="37893" xr:uid="{00000000-0005-0000-0000-0000176A0000}"/>
    <cellStyle name="Normal 19 12 3 2 4 4" xfId="18757" xr:uid="{00000000-0005-0000-0000-0000186A0000}"/>
    <cellStyle name="Normal 19 12 3 2 5" xfId="44426" xr:uid="{00000000-0005-0000-0000-0000196A0000}"/>
    <cellStyle name="Normal 19 12 3 2 6" xfId="28326" xr:uid="{00000000-0005-0000-0000-00001A6A0000}"/>
    <cellStyle name="Normal 19 12 3 2 7" xfId="15262" xr:uid="{00000000-0005-0000-0000-00001B6A0000}"/>
    <cellStyle name="Normal 19 12 3 3" xfId="1638" xr:uid="{00000000-0005-0000-0000-00001C6A0000}"/>
    <cellStyle name="Normal 19 12 3 3 2" xfId="8172" xr:uid="{00000000-0005-0000-0000-00001D6A0000}"/>
    <cellStyle name="Normal 19 12 3 3 2 2" xfId="39913" xr:uid="{00000000-0005-0000-0000-00001E6A0000}"/>
    <cellStyle name="Normal 19 12 3 3 2 2 2" xfId="56013" xr:uid="{00000000-0005-0000-0000-00001F6A0000}"/>
    <cellStyle name="Normal 19 12 3 3 2 3" xfId="46446" xr:uid="{00000000-0005-0000-0000-0000206A0000}"/>
    <cellStyle name="Normal 19 12 3 3 2 4" xfId="30346" xr:uid="{00000000-0005-0000-0000-0000216A0000}"/>
    <cellStyle name="Normal 19 12 3 3 2 5" xfId="20777" xr:uid="{00000000-0005-0000-0000-0000226A0000}"/>
    <cellStyle name="Normal 19 12 3 3 3" xfId="11208" xr:uid="{00000000-0005-0000-0000-0000236A0000}"/>
    <cellStyle name="Normal 19 12 3 3 3 2" xfId="49482" xr:uid="{00000000-0005-0000-0000-0000246A0000}"/>
    <cellStyle name="Normal 19 12 3 3 3 3" xfId="33382" xr:uid="{00000000-0005-0000-0000-0000256A0000}"/>
    <cellStyle name="Normal 19 12 3 3 3 4" xfId="23813" xr:uid="{00000000-0005-0000-0000-0000266A0000}"/>
    <cellStyle name="Normal 19 12 3 3 4" xfId="5136" xr:uid="{00000000-0005-0000-0000-0000276A0000}"/>
    <cellStyle name="Normal 19 12 3 3 4 2" xfId="52977" xr:uid="{00000000-0005-0000-0000-0000286A0000}"/>
    <cellStyle name="Normal 19 12 3 3 4 3" xfId="36877" xr:uid="{00000000-0005-0000-0000-0000296A0000}"/>
    <cellStyle name="Normal 19 12 3 3 4 4" xfId="17741" xr:uid="{00000000-0005-0000-0000-00002A6A0000}"/>
    <cellStyle name="Normal 19 12 3 3 5" xfId="43410" xr:uid="{00000000-0005-0000-0000-00002B6A0000}"/>
    <cellStyle name="Normal 19 12 3 3 6" xfId="27310" xr:uid="{00000000-0005-0000-0000-00002C6A0000}"/>
    <cellStyle name="Normal 19 12 3 3 7" xfId="14246" xr:uid="{00000000-0005-0000-0000-00002D6A0000}"/>
    <cellStyle name="Normal 19 12 3 4" xfId="7162" xr:uid="{00000000-0005-0000-0000-00002E6A0000}"/>
    <cellStyle name="Normal 19 12 3 4 2" xfId="38903" xr:uid="{00000000-0005-0000-0000-00002F6A0000}"/>
    <cellStyle name="Normal 19 12 3 4 2 2" xfId="55003" xr:uid="{00000000-0005-0000-0000-0000306A0000}"/>
    <cellStyle name="Normal 19 12 3 4 3" xfId="45436" xr:uid="{00000000-0005-0000-0000-0000316A0000}"/>
    <cellStyle name="Normal 19 12 3 4 4" xfId="29336" xr:uid="{00000000-0005-0000-0000-0000326A0000}"/>
    <cellStyle name="Normal 19 12 3 4 5" xfId="19767" xr:uid="{00000000-0005-0000-0000-0000336A0000}"/>
    <cellStyle name="Normal 19 12 3 5" xfId="10198" xr:uid="{00000000-0005-0000-0000-0000346A0000}"/>
    <cellStyle name="Normal 19 12 3 5 2" xfId="48472" xr:uid="{00000000-0005-0000-0000-0000356A0000}"/>
    <cellStyle name="Normal 19 12 3 5 3" xfId="32372" xr:uid="{00000000-0005-0000-0000-0000366A0000}"/>
    <cellStyle name="Normal 19 12 3 5 4" xfId="22803" xr:uid="{00000000-0005-0000-0000-0000376A0000}"/>
    <cellStyle name="Normal 19 12 3 6" xfId="4126" xr:uid="{00000000-0005-0000-0000-0000386A0000}"/>
    <cellStyle name="Normal 19 12 3 6 2" xfId="51967" xr:uid="{00000000-0005-0000-0000-0000396A0000}"/>
    <cellStyle name="Normal 19 12 3 6 3" xfId="35867" xr:uid="{00000000-0005-0000-0000-00003A6A0000}"/>
    <cellStyle name="Normal 19 12 3 6 4" xfId="16731" xr:uid="{00000000-0005-0000-0000-00003B6A0000}"/>
    <cellStyle name="Normal 19 12 3 7" xfId="42400" xr:uid="{00000000-0005-0000-0000-00003C6A0000}"/>
    <cellStyle name="Normal 19 12 3 8" xfId="26300" xr:uid="{00000000-0005-0000-0000-00003D6A0000}"/>
    <cellStyle name="Normal 19 12 3 9" xfId="13236" xr:uid="{00000000-0005-0000-0000-00003E6A0000}"/>
    <cellStyle name="Normal 19 12 4" xfId="2428" xr:uid="{00000000-0005-0000-0000-00003F6A0000}"/>
    <cellStyle name="Normal 19 12 4 2" xfId="8960" xr:uid="{00000000-0005-0000-0000-0000406A0000}"/>
    <cellStyle name="Normal 19 12 4 2 2" xfId="40701" xr:uid="{00000000-0005-0000-0000-0000416A0000}"/>
    <cellStyle name="Normal 19 12 4 2 2 2" xfId="56801" xr:uid="{00000000-0005-0000-0000-0000426A0000}"/>
    <cellStyle name="Normal 19 12 4 2 3" xfId="47234" xr:uid="{00000000-0005-0000-0000-0000436A0000}"/>
    <cellStyle name="Normal 19 12 4 2 4" xfId="31134" xr:uid="{00000000-0005-0000-0000-0000446A0000}"/>
    <cellStyle name="Normal 19 12 4 2 5" xfId="21565" xr:uid="{00000000-0005-0000-0000-0000456A0000}"/>
    <cellStyle name="Normal 19 12 4 3" xfId="11996" xr:uid="{00000000-0005-0000-0000-0000466A0000}"/>
    <cellStyle name="Normal 19 12 4 3 2" xfId="50270" xr:uid="{00000000-0005-0000-0000-0000476A0000}"/>
    <cellStyle name="Normal 19 12 4 3 3" xfId="34170" xr:uid="{00000000-0005-0000-0000-0000486A0000}"/>
    <cellStyle name="Normal 19 12 4 3 4" xfId="24601" xr:uid="{00000000-0005-0000-0000-0000496A0000}"/>
    <cellStyle name="Normal 19 12 4 4" xfId="5924" xr:uid="{00000000-0005-0000-0000-00004A6A0000}"/>
    <cellStyle name="Normal 19 12 4 4 2" xfId="53765" xr:uid="{00000000-0005-0000-0000-00004B6A0000}"/>
    <cellStyle name="Normal 19 12 4 4 3" xfId="37665" xr:uid="{00000000-0005-0000-0000-00004C6A0000}"/>
    <cellStyle name="Normal 19 12 4 4 4" xfId="18529" xr:uid="{00000000-0005-0000-0000-00004D6A0000}"/>
    <cellStyle name="Normal 19 12 4 5" xfId="44198" xr:uid="{00000000-0005-0000-0000-00004E6A0000}"/>
    <cellStyle name="Normal 19 12 4 6" xfId="28098" xr:uid="{00000000-0005-0000-0000-00004F6A0000}"/>
    <cellStyle name="Normal 19 12 4 7" xfId="15034" xr:uid="{00000000-0005-0000-0000-0000506A0000}"/>
    <cellStyle name="Normal 19 12 5" xfId="1097" xr:uid="{00000000-0005-0000-0000-0000516A0000}"/>
    <cellStyle name="Normal 19 12 5 2" xfId="7631" xr:uid="{00000000-0005-0000-0000-0000526A0000}"/>
    <cellStyle name="Normal 19 12 5 2 2" xfId="39372" xr:uid="{00000000-0005-0000-0000-0000536A0000}"/>
    <cellStyle name="Normal 19 12 5 2 2 2" xfId="55472" xr:uid="{00000000-0005-0000-0000-0000546A0000}"/>
    <cellStyle name="Normal 19 12 5 2 3" xfId="45905" xr:uid="{00000000-0005-0000-0000-0000556A0000}"/>
    <cellStyle name="Normal 19 12 5 2 4" xfId="29805" xr:uid="{00000000-0005-0000-0000-0000566A0000}"/>
    <cellStyle name="Normal 19 12 5 2 5" xfId="20236" xr:uid="{00000000-0005-0000-0000-0000576A0000}"/>
    <cellStyle name="Normal 19 12 5 3" xfId="10667" xr:uid="{00000000-0005-0000-0000-0000586A0000}"/>
    <cellStyle name="Normal 19 12 5 3 2" xfId="48941" xr:uid="{00000000-0005-0000-0000-0000596A0000}"/>
    <cellStyle name="Normal 19 12 5 3 3" xfId="32841" xr:uid="{00000000-0005-0000-0000-00005A6A0000}"/>
    <cellStyle name="Normal 19 12 5 3 4" xfId="23272" xr:uid="{00000000-0005-0000-0000-00005B6A0000}"/>
    <cellStyle name="Normal 19 12 5 4" xfId="4595" xr:uid="{00000000-0005-0000-0000-00005C6A0000}"/>
    <cellStyle name="Normal 19 12 5 4 2" xfId="52436" xr:uid="{00000000-0005-0000-0000-00005D6A0000}"/>
    <cellStyle name="Normal 19 12 5 4 3" xfId="36336" xr:uid="{00000000-0005-0000-0000-00005E6A0000}"/>
    <cellStyle name="Normal 19 12 5 4 4" xfId="17200" xr:uid="{00000000-0005-0000-0000-00005F6A0000}"/>
    <cellStyle name="Normal 19 12 5 5" xfId="42869" xr:uid="{00000000-0005-0000-0000-0000606A0000}"/>
    <cellStyle name="Normal 19 12 5 6" xfId="26769" xr:uid="{00000000-0005-0000-0000-0000616A0000}"/>
    <cellStyle name="Normal 19 12 5 7" xfId="13705" xr:uid="{00000000-0005-0000-0000-0000626A0000}"/>
    <cellStyle name="Normal 19 12 6" xfId="3585" xr:uid="{00000000-0005-0000-0000-0000636A0000}"/>
    <cellStyle name="Normal 19 12 6 2" xfId="35326" xr:uid="{00000000-0005-0000-0000-0000646A0000}"/>
    <cellStyle name="Normal 19 12 6 2 2" xfId="51426" xr:uid="{00000000-0005-0000-0000-0000656A0000}"/>
    <cellStyle name="Normal 19 12 6 3" xfId="41859" xr:uid="{00000000-0005-0000-0000-0000666A0000}"/>
    <cellStyle name="Normal 19 12 6 4" xfId="25759" xr:uid="{00000000-0005-0000-0000-0000676A0000}"/>
    <cellStyle name="Normal 19 12 6 5" xfId="16190" xr:uid="{00000000-0005-0000-0000-0000686A0000}"/>
    <cellStyle name="Normal 19 12 7" xfId="6621" xr:uid="{00000000-0005-0000-0000-0000696A0000}"/>
    <cellStyle name="Normal 19 12 7 2" xfId="38362" xr:uid="{00000000-0005-0000-0000-00006A6A0000}"/>
    <cellStyle name="Normal 19 12 7 2 2" xfId="54462" xr:uid="{00000000-0005-0000-0000-00006B6A0000}"/>
    <cellStyle name="Normal 19 12 7 3" xfId="44895" xr:uid="{00000000-0005-0000-0000-00006C6A0000}"/>
    <cellStyle name="Normal 19 12 7 4" xfId="28795" xr:uid="{00000000-0005-0000-0000-00006D6A0000}"/>
    <cellStyle name="Normal 19 12 7 5" xfId="19226" xr:uid="{00000000-0005-0000-0000-00006E6A0000}"/>
    <cellStyle name="Normal 19 12 8" xfId="9657" xr:uid="{00000000-0005-0000-0000-00006F6A0000}"/>
    <cellStyle name="Normal 19 12 8 2" xfId="47931" xr:uid="{00000000-0005-0000-0000-0000706A0000}"/>
    <cellStyle name="Normal 19 12 8 3" xfId="31831" xr:uid="{00000000-0005-0000-0000-0000716A0000}"/>
    <cellStyle name="Normal 19 12 8 4" xfId="22262" xr:uid="{00000000-0005-0000-0000-0000726A0000}"/>
    <cellStyle name="Normal 19 12 9" xfId="3125" xr:uid="{00000000-0005-0000-0000-0000736A0000}"/>
    <cellStyle name="Normal 19 12 9 2" xfId="50967" xr:uid="{00000000-0005-0000-0000-0000746A0000}"/>
    <cellStyle name="Normal 19 12 9 3" xfId="34867" xr:uid="{00000000-0005-0000-0000-0000756A0000}"/>
    <cellStyle name="Normal 19 12 9 4" xfId="15731" xr:uid="{00000000-0005-0000-0000-0000766A0000}"/>
    <cellStyle name="Normal 19 13" xfId="510" xr:uid="{00000000-0005-0000-0000-0000776A0000}"/>
    <cellStyle name="Normal 19 13 10" xfId="25493" xr:uid="{00000000-0005-0000-0000-0000786A0000}"/>
    <cellStyle name="Normal 19 13 11" xfId="12887" xr:uid="{00000000-0005-0000-0000-0000796A0000}"/>
    <cellStyle name="Normal 19 13 2" xfId="962" xr:uid="{00000000-0005-0000-0000-00007A6A0000}"/>
    <cellStyle name="Normal 19 13 2 2" xfId="2990" xr:uid="{00000000-0005-0000-0000-00007B6A0000}"/>
    <cellStyle name="Normal 19 13 2 2 2" xfId="9522" xr:uid="{00000000-0005-0000-0000-00007C6A0000}"/>
    <cellStyle name="Normal 19 13 2 2 2 2" xfId="41263" xr:uid="{00000000-0005-0000-0000-00007D6A0000}"/>
    <cellStyle name="Normal 19 13 2 2 2 2 2" xfId="57363" xr:uid="{00000000-0005-0000-0000-00007E6A0000}"/>
    <cellStyle name="Normal 19 13 2 2 2 3" xfId="47796" xr:uid="{00000000-0005-0000-0000-00007F6A0000}"/>
    <cellStyle name="Normal 19 13 2 2 2 4" xfId="31696" xr:uid="{00000000-0005-0000-0000-0000806A0000}"/>
    <cellStyle name="Normal 19 13 2 2 2 5" xfId="22127" xr:uid="{00000000-0005-0000-0000-0000816A0000}"/>
    <cellStyle name="Normal 19 13 2 2 3" xfId="12558" xr:uid="{00000000-0005-0000-0000-0000826A0000}"/>
    <cellStyle name="Normal 19 13 2 2 3 2" xfId="50832" xr:uid="{00000000-0005-0000-0000-0000836A0000}"/>
    <cellStyle name="Normal 19 13 2 2 3 3" xfId="34732" xr:uid="{00000000-0005-0000-0000-0000846A0000}"/>
    <cellStyle name="Normal 19 13 2 2 3 4" xfId="25163" xr:uid="{00000000-0005-0000-0000-0000856A0000}"/>
    <cellStyle name="Normal 19 13 2 2 4" xfId="6486" xr:uid="{00000000-0005-0000-0000-0000866A0000}"/>
    <cellStyle name="Normal 19 13 2 2 4 2" xfId="54327" xr:uid="{00000000-0005-0000-0000-0000876A0000}"/>
    <cellStyle name="Normal 19 13 2 2 4 3" xfId="38227" xr:uid="{00000000-0005-0000-0000-0000886A0000}"/>
    <cellStyle name="Normal 19 13 2 2 4 4" xfId="19091" xr:uid="{00000000-0005-0000-0000-0000896A0000}"/>
    <cellStyle name="Normal 19 13 2 2 5" xfId="44760" xr:uid="{00000000-0005-0000-0000-00008A6A0000}"/>
    <cellStyle name="Normal 19 13 2 2 6" xfId="28660" xr:uid="{00000000-0005-0000-0000-00008B6A0000}"/>
    <cellStyle name="Normal 19 13 2 2 7" xfId="15596" xr:uid="{00000000-0005-0000-0000-00008C6A0000}"/>
    <cellStyle name="Normal 19 13 2 3" xfId="1972" xr:uid="{00000000-0005-0000-0000-00008D6A0000}"/>
    <cellStyle name="Normal 19 13 2 3 2" xfId="8506" xr:uid="{00000000-0005-0000-0000-00008E6A0000}"/>
    <cellStyle name="Normal 19 13 2 3 2 2" xfId="40247" xr:uid="{00000000-0005-0000-0000-00008F6A0000}"/>
    <cellStyle name="Normal 19 13 2 3 2 2 2" xfId="56347" xr:uid="{00000000-0005-0000-0000-0000906A0000}"/>
    <cellStyle name="Normal 19 13 2 3 2 3" xfId="46780" xr:uid="{00000000-0005-0000-0000-0000916A0000}"/>
    <cellStyle name="Normal 19 13 2 3 2 4" xfId="30680" xr:uid="{00000000-0005-0000-0000-0000926A0000}"/>
    <cellStyle name="Normal 19 13 2 3 2 5" xfId="21111" xr:uid="{00000000-0005-0000-0000-0000936A0000}"/>
    <cellStyle name="Normal 19 13 2 3 3" xfId="11542" xr:uid="{00000000-0005-0000-0000-0000946A0000}"/>
    <cellStyle name="Normal 19 13 2 3 3 2" xfId="49816" xr:uid="{00000000-0005-0000-0000-0000956A0000}"/>
    <cellStyle name="Normal 19 13 2 3 3 3" xfId="33716" xr:uid="{00000000-0005-0000-0000-0000966A0000}"/>
    <cellStyle name="Normal 19 13 2 3 3 4" xfId="24147" xr:uid="{00000000-0005-0000-0000-0000976A0000}"/>
    <cellStyle name="Normal 19 13 2 3 4" xfId="5470" xr:uid="{00000000-0005-0000-0000-0000986A0000}"/>
    <cellStyle name="Normal 19 13 2 3 4 2" xfId="53311" xr:uid="{00000000-0005-0000-0000-0000996A0000}"/>
    <cellStyle name="Normal 19 13 2 3 4 3" xfId="37211" xr:uid="{00000000-0005-0000-0000-00009A6A0000}"/>
    <cellStyle name="Normal 19 13 2 3 4 4" xfId="18075" xr:uid="{00000000-0005-0000-0000-00009B6A0000}"/>
    <cellStyle name="Normal 19 13 2 3 5" xfId="43744" xr:uid="{00000000-0005-0000-0000-00009C6A0000}"/>
    <cellStyle name="Normal 19 13 2 3 6" xfId="27644" xr:uid="{00000000-0005-0000-0000-00009D6A0000}"/>
    <cellStyle name="Normal 19 13 2 3 7" xfId="14580" xr:uid="{00000000-0005-0000-0000-00009E6A0000}"/>
    <cellStyle name="Normal 19 13 2 4" xfId="7496" xr:uid="{00000000-0005-0000-0000-00009F6A0000}"/>
    <cellStyle name="Normal 19 13 2 4 2" xfId="39237" xr:uid="{00000000-0005-0000-0000-0000A06A0000}"/>
    <cellStyle name="Normal 19 13 2 4 2 2" xfId="55337" xr:uid="{00000000-0005-0000-0000-0000A16A0000}"/>
    <cellStyle name="Normal 19 13 2 4 3" xfId="45770" xr:uid="{00000000-0005-0000-0000-0000A26A0000}"/>
    <cellStyle name="Normal 19 13 2 4 4" xfId="29670" xr:uid="{00000000-0005-0000-0000-0000A36A0000}"/>
    <cellStyle name="Normal 19 13 2 4 5" xfId="20101" xr:uid="{00000000-0005-0000-0000-0000A46A0000}"/>
    <cellStyle name="Normal 19 13 2 5" xfId="10532" xr:uid="{00000000-0005-0000-0000-0000A56A0000}"/>
    <cellStyle name="Normal 19 13 2 5 2" xfId="48806" xr:uid="{00000000-0005-0000-0000-0000A66A0000}"/>
    <cellStyle name="Normal 19 13 2 5 3" xfId="32706" xr:uid="{00000000-0005-0000-0000-0000A76A0000}"/>
    <cellStyle name="Normal 19 13 2 5 4" xfId="23137" xr:uid="{00000000-0005-0000-0000-0000A86A0000}"/>
    <cellStyle name="Normal 19 13 2 6" xfId="4460" xr:uid="{00000000-0005-0000-0000-0000A96A0000}"/>
    <cellStyle name="Normal 19 13 2 6 2" xfId="52301" xr:uid="{00000000-0005-0000-0000-0000AA6A0000}"/>
    <cellStyle name="Normal 19 13 2 6 3" xfId="36201" xr:uid="{00000000-0005-0000-0000-0000AB6A0000}"/>
    <cellStyle name="Normal 19 13 2 6 4" xfId="17065" xr:uid="{00000000-0005-0000-0000-0000AC6A0000}"/>
    <cellStyle name="Normal 19 13 2 7" xfId="42734" xr:uid="{00000000-0005-0000-0000-0000AD6A0000}"/>
    <cellStyle name="Normal 19 13 2 8" xfId="26634" xr:uid="{00000000-0005-0000-0000-0000AE6A0000}"/>
    <cellStyle name="Normal 19 13 2 9" xfId="13570" xr:uid="{00000000-0005-0000-0000-0000AF6A0000}"/>
    <cellStyle name="Normal 19 13 3" xfId="2540" xr:uid="{00000000-0005-0000-0000-0000B06A0000}"/>
    <cellStyle name="Normal 19 13 3 2" xfId="9072" xr:uid="{00000000-0005-0000-0000-0000B16A0000}"/>
    <cellStyle name="Normal 19 13 3 2 2" xfId="40813" xr:uid="{00000000-0005-0000-0000-0000B26A0000}"/>
    <cellStyle name="Normal 19 13 3 2 2 2" xfId="56913" xr:uid="{00000000-0005-0000-0000-0000B36A0000}"/>
    <cellStyle name="Normal 19 13 3 2 3" xfId="47346" xr:uid="{00000000-0005-0000-0000-0000B46A0000}"/>
    <cellStyle name="Normal 19 13 3 2 4" xfId="31246" xr:uid="{00000000-0005-0000-0000-0000B56A0000}"/>
    <cellStyle name="Normal 19 13 3 2 5" xfId="21677" xr:uid="{00000000-0005-0000-0000-0000B66A0000}"/>
    <cellStyle name="Normal 19 13 3 3" xfId="12108" xr:uid="{00000000-0005-0000-0000-0000B76A0000}"/>
    <cellStyle name="Normal 19 13 3 3 2" xfId="50382" xr:uid="{00000000-0005-0000-0000-0000B86A0000}"/>
    <cellStyle name="Normal 19 13 3 3 3" xfId="34282" xr:uid="{00000000-0005-0000-0000-0000B96A0000}"/>
    <cellStyle name="Normal 19 13 3 3 4" xfId="24713" xr:uid="{00000000-0005-0000-0000-0000BA6A0000}"/>
    <cellStyle name="Normal 19 13 3 4" xfId="6036" xr:uid="{00000000-0005-0000-0000-0000BB6A0000}"/>
    <cellStyle name="Normal 19 13 3 4 2" xfId="53877" xr:uid="{00000000-0005-0000-0000-0000BC6A0000}"/>
    <cellStyle name="Normal 19 13 3 4 3" xfId="37777" xr:uid="{00000000-0005-0000-0000-0000BD6A0000}"/>
    <cellStyle name="Normal 19 13 3 4 4" xfId="18641" xr:uid="{00000000-0005-0000-0000-0000BE6A0000}"/>
    <cellStyle name="Normal 19 13 3 5" xfId="44310" xr:uid="{00000000-0005-0000-0000-0000BF6A0000}"/>
    <cellStyle name="Normal 19 13 3 6" xfId="28210" xr:uid="{00000000-0005-0000-0000-0000C06A0000}"/>
    <cellStyle name="Normal 19 13 3 7" xfId="15146" xr:uid="{00000000-0005-0000-0000-0000C16A0000}"/>
    <cellStyle name="Normal 19 13 4" xfId="1289" xr:uid="{00000000-0005-0000-0000-0000C26A0000}"/>
    <cellStyle name="Normal 19 13 4 2" xfId="7823" xr:uid="{00000000-0005-0000-0000-0000C36A0000}"/>
    <cellStyle name="Normal 19 13 4 2 2" xfId="39564" xr:uid="{00000000-0005-0000-0000-0000C46A0000}"/>
    <cellStyle name="Normal 19 13 4 2 2 2" xfId="55664" xr:uid="{00000000-0005-0000-0000-0000C56A0000}"/>
    <cellStyle name="Normal 19 13 4 2 3" xfId="46097" xr:uid="{00000000-0005-0000-0000-0000C66A0000}"/>
    <cellStyle name="Normal 19 13 4 2 4" xfId="29997" xr:uid="{00000000-0005-0000-0000-0000C76A0000}"/>
    <cellStyle name="Normal 19 13 4 2 5" xfId="20428" xr:uid="{00000000-0005-0000-0000-0000C86A0000}"/>
    <cellStyle name="Normal 19 13 4 3" xfId="10859" xr:uid="{00000000-0005-0000-0000-0000C96A0000}"/>
    <cellStyle name="Normal 19 13 4 3 2" xfId="49133" xr:uid="{00000000-0005-0000-0000-0000CA6A0000}"/>
    <cellStyle name="Normal 19 13 4 3 3" xfId="33033" xr:uid="{00000000-0005-0000-0000-0000CB6A0000}"/>
    <cellStyle name="Normal 19 13 4 3 4" xfId="23464" xr:uid="{00000000-0005-0000-0000-0000CC6A0000}"/>
    <cellStyle name="Normal 19 13 4 4" xfId="4787" xr:uid="{00000000-0005-0000-0000-0000CD6A0000}"/>
    <cellStyle name="Normal 19 13 4 4 2" xfId="52628" xr:uid="{00000000-0005-0000-0000-0000CE6A0000}"/>
    <cellStyle name="Normal 19 13 4 4 3" xfId="36528" xr:uid="{00000000-0005-0000-0000-0000CF6A0000}"/>
    <cellStyle name="Normal 19 13 4 4 4" xfId="17392" xr:uid="{00000000-0005-0000-0000-0000D06A0000}"/>
    <cellStyle name="Normal 19 13 4 5" xfId="43061" xr:uid="{00000000-0005-0000-0000-0000D16A0000}"/>
    <cellStyle name="Normal 19 13 4 6" xfId="26961" xr:uid="{00000000-0005-0000-0000-0000D26A0000}"/>
    <cellStyle name="Normal 19 13 4 7" xfId="13897" xr:uid="{00000000-0005-0000-0000-0000D36A0000}"/>
    <cellStyle name="Normal 19 13 5" xfId="3777" xr:uid="{00000000-0005-0000-0000-0000D46A0000}"/>
    <cellStyle name="Normal 19 13 5 2" xfId="35518" xr:uid="{00000000-0005-0000-0000-0000D56A0000}"/>
    <cellStyle name="Normal 19 13 5 2 2" xfId="51618" xr:uid="{00000000-0005-0000-0000-0000D66A0000}"/>
    <cellStyle name="Normal 19 13 5 3" xfId="42051" xr:uid="{00000000-0005-0000-0000-0000D76A0000}"/>
    <cellStyle name="Normal 19 13 5 4" xfId="25951" xr:uid="{00000000-0005-0000-0000-0000D86A0000}"/>
    <cellStyle name="Normal 19 13 5 5" xfId="16382" xr:uid="{00000000-0005-0000-0000-0000D96A0000}"/>
    <cellStyle name="Normal 19 13 6" xfId="6813" xr:uid="{00000000-0005-0000-0000-0000DA6A0000}"/>
    <cellStyle name="Normal 19 13 6 2" xfId="38554" xr:uid="{00000000-0005-0000-0000-0000DB6A0000}"/>
    <cellStyle name="Normal 19 13 6 2 2" xfId="54654" xr:uid="{00000000-0005-0000-0000-0000DC6A0000}"/>
    <cellStyle name="Normal 19 13 6 3" xfId="45087" xr:uid="{00000000-0005-0000-0000-0000DD6A0000}"/>
    <cellStyle name="Normal 19 13 6 4" xfId="28987" xr:uid="{00000000-0005-0000-0000-0000DE6A0000}"/>
    <cellStyle name="Normal 19 13 6 5" xfId="19418" xr:uid="{00000000-0005-0000-0000-0000DF6A0000}"/>
    <cellStyle name="Normal 19 13 7" xfId="9849" xr:uid="{00000000-0005-0000-0000-0000E06A0000}"/>
    <cellStyle name="Normal 19 13 7 2" xfId="48123" xr:uid="{00000000-0005-0000-0000-0000E16A0000}"/>
    <cellStyle name="Normal 19 13 7 3" xfId="32023" xr:uid="{00000000-0005-0000-0000-0000E26A0000}"/>
    <cellStyle name="Normal 19 13 7 4" xfId="22454" xr:uid="{00000000-0005-0000-0000-0000E36A0000}"/>
    <cellStyle name="Normal 19 13 8" xfId="3319" xr:uid="{00000000-0005-0000-0000-0000E46A0000}"/>
    <cellStyle name="Normal 19 13 8 2" xfId="51160" xr:uid="{00000000-0005-0000-0000-0000E56A0000}"/>
    <cellStyle name="Normal 19 13 8 3" xfId="35060" xr:uid="{00000000-0005-0000-0000-0000E66A0000}"/>
    <cellStyle name="Normal 19 13 8 4" xfId="15924" xr:uid="{00000000-0005-0000-0000-0000E76A0000}"/>
    <cellStyle name="Normal 19 13 9" xfId="41593" xr:uid="{00000000-0005-0000-0000-0000E86A0000}"/>
    <cellStyle name="Normal 19 14" xfId="740" xr:uid="{00000000-0005-0000-0000-0000E96A0000}"/>
    <cellStyle name="Normal 19 14 10" xfId="13348" xr:uid="{00000000-0005-0000-0000-0000EA6A0000}"/>
    <cellStyle name="Normal 19 14 2" xfId="2768" xr:uid="{00000000-0005-0000-0000-0000EB6A0000}"/>
    <cellStyle name="Normal 19 14 2 2" xfId="9300" xr:uid="{00000000-0005-0000-0000-0000EC6A0000}"/>
    <cellStyle name="Normal 19 14 2 2 2" xfId="41041" xr:uid="{00000000-0005-0000-0000-0000ED6A0000}"/>
    <cellStyle name="Normal 19 14 2 2 2 2" xfId="57141" xr:uid="{00000000-0005-0000-0000-0000EE6A0000}"/>
    <cellStyle name="Normal 19 14 2 2 3" xfId="47574" xr:uid="{00000000-0005-0000-0000-0000EF6A0000}"/>
    <cellStyle name="Normal 19 14 2 2 4" xfId="31474" xr:uid="{00000000-0005-0000-0000-0000F06A0000}"/>
    <cellStyle name="Normal 19 14 2 2 5" xfId="21905" xr:uid="{00000000-0005-0000-0000-0000F16A0000}"/>
    <cellStyle name="Normal 19 14 2 3" xfId="12336" xr:uid="{00000000-0005-0000-0000-0000F26A0000}"/>
    <cellStyle name="Normal 19 14 2 3 2" xfId="50610" xr:uid="{00000000-0005-0000-0000-0000F36A0000}"/>
    <cellStyle name="Normal 19 14 2 3 3" xfId="34510" xr:uid="{00000000-0005-0000-0000-0000F46A0000}"/>
    <cellStyle name="Normal 19 14 2 3 4" xfId="24941" xr:uid="{00000000-0005-0000-0000-0000F56A0000}"/>
    <cellStyle name="Normal 19 14 2 4" xfId="6264" xr:uid="{00000000-0005-0000-0000-0000F66A0000}"/>
    <cellStyle name="Normal 19 14 2 4 2" xfId="54105" xr:uid="{00000000-0005-0000-0000-0000F76A0000}"/>
    <cellStyle name="Normal 19 14 2 4 3" xfId="38005" xr:uid="{00000000-0005-0000-0000-0000F86A0000}"/>
    <cellStyle name="Normal 19 14 2 4 4" xfId="18869" xr:uid="{00000000-0005-0000-0000-0000F96A0000}"/>
    <cellStyle name="Normal 19 14 2 5" xfId="44538" xr:uid="{00000000-0005-0000-0000-0000FA6A0000}"/>
    <cellStyle name="Normal 19 14 2 6" xfId="28438" xr:uid="{00000000-0005-0000-0000-0000FB6A0000}"/>
    <cellStyle name="Normal 19 14 2 7" xfId="15374" xr:uid="{00000000-0005-0000-0000-0000FC6A0000}"/>
    <cellStyle name="Normal 19 14 3" xfId="1750" xr:uid="{00000000-0005-0000-0000-0000FD6A0000}"/>
    <cellStyle name="Normal 19 14 3 2" xfId="8284" xr:uid="{00000000-0005-0000-0000-0000FE6A0000}"/>
    <cellStyle name="Normal 19 14 3 2 2" xfId="40025" xr:uid="{00000000-0005-0000-0000-0000FF6A0000}"/>
    <cellStyle name="Normal 19 14 3 2 2 2" xfId="56125" xr:uid="{00000000-0005-0000-0000-0000006B0000}"/>
    <cellStyle name="Normal 19 14 3 2 3" xfId="46558" xr:uid="{00000000-0005-0000-0000-0000016B0000}"/>
    <cellStyle name="Normal 19 14 3 2 4" xfId="30458" xr:uid="{00000000-0005-0000-0000-0000026B0000}"/>
    <cellStyle name="Normal 19 14 3 2 5" xfId="20889" xr:uid="{00000000-0005-0000-0000-0000036B0000}"/>
    <cellStyle name="Normal 19 14 3 3" xfId="11320" xr:uid="{00000000-0005-0000-0000-0000046B0000}"/>
    <cellStyle name="Normal 19 14 3 3 2" xfId="49594" xr:uid="{00000000-0005-0000-0000-0000056B0000}"/>
    <cellStyle name="Normal 19 14 3 3 3" xfId="33494" xr:uid="{00000000-0005-0000-0000-0000066B0000}"/>
    <cellStyle name="Normal 19 14 3 3 4" xfId="23925" xr:uid="{00000000-0005-0000-0000-0000076B0000}"/>
    <cellStyle name="Normal 19 14 3 4" xfId="5248" xr:uid="{00000000-0005-0000-0000-0000086B0000}"/>
    <cellStyle name="Normal 19 14 3 4 2" xfId="53089" xr:uid="{00000000-0005-0000-0000-0000096B0000}"/>
    <cellStyle name="Normal 19 14 3 4 3" xfId="36989" xr:uid="{00000000-0005-0000-0000-00000A6B0000}"/>
    <cellStyle name="Normal 19 14 3 4 4" xfId="17853" xr:uid="{00000000-0005-0000-0000-00000B6B0000}"/>
    <cellStyle name="Normal 19 14 3 5" xfId="43522" xr:uid="{00000000-0005-0000-0000-00000C6B0000}"/>
    <cellStyle name="Normal 19 14 3 6" xfId="27422" xr:uid="{00000000-0005-0000-0000-00000D6B0000}"/>
    <cellStyle name="Normal 19 14 3 7" xfId="14358" xr:uid="{00000000-0005-0000-0000-00000E6B0000}"/>
    <cellStyle name="Normal 19 14 4" xfId="4238" xr:uid="{00000000-0005-0000-0000-00000F6B0000}"/>
    <cellStyle name="Normal 19 14 4 2" xfId="35979" xr:uid="{00000000-0005-0000-0000-0000106B0000}"/>
    <cellStyle name="Normal 19 14 4 2 2" xfId="52079" xr:uid="{00000000-0005-0000-0000-0000116B0000}"/>
    <cellStyle name="Normal 19 14 4 3" xfId="42512" xr:uid="{00000000-0005-0000-0000-0000126B0000}"/>
    <cellStyle name="Normal 19 14 4 4" xfId="26412" xr:uid="{00000000-0005-0000-0000-0000136B0000}"/>
    <cellStyle name="Normal 19 14 4 5" xfId="16843" xr:uid="{00000000-0005-0000-0000-0000146B0000}"/>
    <cellStyle name="Normal 19 14 5" xfId="7274" xr:uid="{00000000-0005-0000-0000-0000156B0000}"/>
    <cellStyle name="Normal 19 14 5 2" xfId="39015" xr:uid="{00000000-0005-0000-0000-0000166B0000}"/>
    <cellStyle name="Normal 19 14 5 2 2" xfId="55115" xr:uid="{00000000-0005-0000-0000-0000176B0000}"/>
    <cellStyle name="Normal 19 14 5 3" xfId="45548" xr:uid="{00000000-0005-0000-0000-0000186B0000}"/>
    <cellStyle name="Normal 19 14 5 4" xfId="29448" xr:uid="{00000000-0005-0000-0000-0000196B0000}"/>
    <cellStyle name="Normal 19 14 5 5" xfId="19879" xr:uid="{00000000-0005-0000-0000-00001A6B0000}"/>
    <cellStyle name="Normal 19 14 6" xfId="10310" xr:uid="{00000000-0005-0000-0000-00001B6B0000}"/>
    <cellStyle name="Normal 19 14 6 2" xfId="48584" xr:uid="{00000000-0005-0000-0000-00001C6B0000}"/>
    <cellStyle name="Normal 19 14 6 3" xfId="32484" xr:uid="{00000000-0005-0000-0000-00001D6B0000}"/>
    <cellStyle name="Normal 19 14 6 4" xfId="22915" xr:uid="{00000000-0005-0000-0000-00001E6B0000}"/>
    <cellStyle name="Normal 19 14 7" xfId="3333" xr:uid="{00000000-0005-0000-0000-00001F6B0000}"/>
    <cellStyle name="Normal 19 14 7 2" xfId="51174" xr:uid="{00000000-0005-0000-0000-0000206B0000}"/>
    <cellStyle name="Normal 19 14 7 3" xfId="35074" xr:uid="{00000000-0005-0000-0000-0000216B0000}"/>
    <cellStyle name="Normal 19 14 7 4" xfId="15938" xr:uid="{00000000-0005-0000-0000-0000226B0000}"/>
    <cellStyle name="Normal 19 14 8" xfId="41607" xr:uid="{00000000-0005-0000-0000-0000236B0000}"/>
    <cellStyle name="Normal 19 14 9" xfId="25507" xr:uid="{00000000-0005-0000-0000-0000246B0000}"/>
    <cellStyle name="Normal 19 15" xfId="2077" xr:uid="{00000000-0005-0000-0000-0000256B0000}"/>
    <cellStyle name="Normal 19 15 2" xfId="8611" xr:uid="{00000000-0005-0000-0000-0000266B0000}"/>
    <cellStyle name="Normal 19 15 2 2" xfId="40352" xr:uid="{00000000-0005-0000-0000-0000276B0000}"/>
    <cellStyle name="Normal 19 15 2 2 2" xfId="56452" xr:uid="{00000000-0005-0000-0000-0000286B0000}"/>
    <cellStyle name="Normal 19 15 2 3" xfId="46885" xr:uid="{00000000-0005-0000-0000-0000296B0000}"/>
    <cellStyle name="Normal 19 15 2 4" xfId="30785" xr:uid="{00000000-0005-0000-0000-00002A6B0000}"/>
    <cellStyle name="Normal 19 15 2 5" xfId="21216" xr:uid="{00000000-0005-0000-0000-00002B6B0000}"/>
    <cellStyle name="Normal 19 15 3" xfId="11647" xr:uid="{00000000-0005-0000-0000-00002C6B0000}"/>
    <cellStyle name="Normal 19 15 3 2" xfId="49921" xr:uid="{00000000-0005-0000-0000-00002D6B0000}"/>
    <cellStyle name="Normal 19 15 3 3" xfId="33821" xr:uid="{00000000-0005-0000-0000-00002E6B0000}"/>
    <cellStyle name="Normal 19 15 3 4" xfId="24252" xr:uid="{00000000-0005-0000-0000-00002F6B0000}"/>
    <cellStyle name="Normal 19 15 4" xfId="5575" xr:uid="{00000000-0005-0000-0000-0000306B0000}"/>
    <cellStyle name="Normal 19 15 4 2" xfId="53416" xr:uid="{00000000-0005-0000-0000-0000316B0000}"/>
    <cellStyle name="Normal 19 15 4 3" xfId="37316" xr:uid="{00000000-0005-0000-0000-0000326B0000}"/>
    <cellStyle name="Normal 19 15 4 4" xfId="18180" xr:uid="{00000000-0005-0000-0000-0000336B0000}"/>
    <cellStyle name="Normal 19 15 5" xfId="43849" xr:uid="{00000000-0005-0000-0000-0000346B0000}"/>
    <cellStyle name="Normal 19 15 6" xfId="27749" xr:uid="{00000000-0005-0000-0000-0000356B0000}"/>
    <cellStyle name="Normal 19 15 7" xfId="14685" xr:uid="{00000000-0005-0000-0000-0000366B0000}"/>
    <cellStyle name="Normal 19 16" xfId="1067" xr:uid="{00000000-0005-0000-0000-0000376B0000}"/>
    <cellStyle name="Normal 19 16 2" xfId="7601" xr:uid="{00000000-0005-0000-0000-0000386B0000}"/>
    <cellStyle name="Normal 19 16 2 2" xfId="39342" xr:uid="{00000000-0005-0000-0000-0000396B0000}"/>
    <cellStyle name="Normal 19 16 2 2 2" xfId="55442" xr:uid="{00000000-0005-0000-0000-00003A6B0000}"/>
    <cellStyle name="Normal 19 16 2 3" xfId="45875" xr:uid="{00000000-0005-0000-0000-00003B6B0000}"/>
    <cellStyle name="Normal 19 16 2 4" xfId="29775" xr:uid="{00000000-0005-0000-0000-00003C6B0000}"/>
    <cellStyle name="Normal 19 16 2 5" xfId="20206" xr:uid="{00000000-0005-0000-0000-00003D6B0000}"/>
    <cellStyle name="Normal 19 16 3" xfId="10637" xr:uid="{00000000-0005-0000-0000-00003E6B0000}"/>
    <cellStyle name="Normal 19 16 3 2" xfId="48911" xr:uid="{00000000-0005-0000-0000-00003F6B0000}"/>
    <cellStyle name="Normal 19 16 3 3" xfId="32811" xr:uid="{00000000-0005-0000-0000-0000406B0000}"/>
    <cellStyle name="Normal 19 16 3 4" xfId="23242" xr:uid="{00000000-0005-0000-0000-0000416B0000}"/>
    <cellStyle name="Normal 19 16 4" xfId="4565" xr:uid="{00000000-0005-0000-0000-0000426B0000}"/>
    <cellStyle name="Normal 19 16 4 2" xfId="52406" xr:uid="{00000000-0005-0000-0000-0000436B0000}"/>
    <cellStyle name="Normal 19 16 4 3" xfId="36306" xr:uid="{00000000-0005-0000-0000-0000446B0000}"/>
    <cellStyle name="Normal 19 16 4 4" xfId="17170" xr:uid="{00000000-0005-0000-0000-0000456B0000}"/>
    <cellStyle name="Normal 19 16 5" xfId="42839" xr:uid="{00000000-0005-0000-0000-0000466B0000}"/>
    <cellStyle name="Normal 19 16 6" xfId="26739" xr:uid="{00000000-0005-0000-0000-0000476B0000}"/>
    <cellStyle name="Normal 19 16 7" xfId="13675" xr:uid="{00000000-0005-0000-0000-0000486B0000}"/>
    <cellStyle name="Normal 19 17" xfId="3555" xr:uid="{00000000-0005-0000-0000-0000496B0000}"/>
    <cellStyle name="Normal 19 17 2" xfId="35296" xr:uid="{00000000-0005-0000-0000-00004A6B0000}"/>
    <cellStyle name="Normal 19 17 2 2" xfId="51396" xr:uid="{00000000-0005-0000-0000-00004B6B0000}"/>
    <cellStyle name="Normal 19 17 3" xfId="41829" xr:uid="{00000000-0005-0000-0000-00004C6B0000}"/>
    <cellStyle name="Normal 19 17 4" xfId="25729" xr:uid="{00000000-0005-0000-0000-00004D6B0000}"/>
    <cellStyle name="Normal 19 17 5" xfId="16160" xr:uid="{00000000-0005-0000-0000-00004E6B0000}"/>
    <cellStyle name="Normal 19 18" xfId="6591" xr:uid="{00000000-0005-0000-0000-00004F6B0000}"/>
    <cellStyle name="Normal 19 18 2" xfId="38332" xr:uid="{00000000-0005-0000-0000-0000506B0000}"/>
    <cellStyle name="Normal 19 18 2 2" xfId="54432" xr:uid="{00000000-0005-0000-0000-0000516B0000}"/>
    <cellStyle name="Normal 19 18 3" xfId="44865" xr:uid="{00000000-0005-0000-0000-0000526B0000}"/>
    <cellStyle name="Normal 19 18 4" xfId="28765" xr:uid="{00000000-0005-0000-0000-0000536B0000}"/>
    <cellStyle name="Normal 19 18 5" xfId="19196" xr:uid="{00000000-0005-0000-0000-0000546B0000}"/>
    <cellStyle name="Normal 19 19" xfId="9627" xr:uid="{00000000-0005-0000-0000-0000556B0000}"/>
    <cellStyle name="Normal 19 19 2" xfId="47901" xr:uid="{00000000-0005-0000-0000-0000566B0000}"/>
    <cellStyle name="Normal 19 19 3" xfId="31801" xr:uid="{00000000-0005-0000-0000-0000576B0000}"/>
    <cellStyle name="Normal 19 19 4" xfId="22232" xr:uid="{00000000-0005-0000-0000-0000586B0000}"/>
    <cellStyle name="Normal 19 2" xfId="72" xr:uid="{00000000-0005-0000-0000-0000596B0000}"/>
    <cellStyle name="Normal 19 2 10" xfId="3573" xr:uid="{00000000-0005-0000-0000-00005A6B0000}"/>
    <cellStyle name="Normal 19 2 10 2" xfId="35314" xr:uid="{00000000-0005-0000-0000-00005B6B0000}"/>
    <cellStyle name="Normal 19 2 10 2 2" xfId="51414" xr:uid="{00000000-0005-0000-0000-00005C6B0000}"/>
    <cellStyle name="Normal 19 2 10 3" xfId="41847" xr:uid="{00000000-0005-0000-0000-00005D6B0000}"/>
    <cellStyle name="Normal 19 2 10 4" xfId="25747" xr:uid="{00000000-0005-0000-0000-00005E6B0000}"/>
    <cellStyle name="Normal 19 2 10 5" xfId="16178" xr:uid="{00000000-0005-0000-0000-00005F6B0000}"/>
    <cellStyle name="Normal 19 2 11" xfId="6609" xr:uid="{00000000-0005-0000-0000-0000606B0000}"/>
    <cellStyle name="Normal 19 2 11 2" xfId="38350" xr:uid="{00000000-0005-0000-0000-0000616B0000}"/>
    <cellStyle name="Normal 19 2 11 2 2" xfId="54450" xr:uid="{00000000-0005-0000-0000-0000626B0000}"/>
    <cellStyle name="Normal 19 2 11 3" xfId="44883" xr:uid="{00000000-0005-0000-0000-0000636B0000}"/>
    <cellStyle name="Normal 19 2 11 4" xfId="28783" xr:uid="{00000000-0005-0000-0000-0000646B0000}"/>
    <cellStyle name="Normal 19 2 11 5" xfId="19214" xr:uid="{00000000-0005-0000-0000-0000656B0000}"/>
    <cellStyle name="Normal 19 2 12" xfId="9645" xr:uid="{00000000-0005-0000-0000-0000666B0000}"/>
    <cellStyle name="Normal 19 2 12 2" xfId="47919" xr:uid="{00000000-0005-0000-0000-0000676B0000}"/>
    <cellStyle name="Normal 19 2 12 3" xfId="31819" xr:uid="{00000000-0005-0000-0000-0000686B0000}"/>
    <cellStyle name="Normal 19 2 12 4" xfId="22250" xr:uid="{00000000-0005-0000-0000-0000696B0000}"/>
    <cellStyle name="Normal 19 2 13" xfId="3113" xr:uid="{00000000-0005-0000-0000-00006A6B0000}"/>
    <cellStyle name="Normal 19 2 13 2" xfId="50955" xr:uid="{00000000-0005-0000-0000-00006B6B0000}"/>
    <cellStyle name="Normal 19 2 13 3" xfId="34855" xr:uid="{00000000-0005-0000-0000-00006C6B0000}"/>
    <cellStyle name="Normal 19 2 13 4" xfId="15719" xr:uid="{00000000-0005-0000-0000-00006D6B0000}"/>
    <cellStyle name="Normal 19 2 14" xfId="41388" xr:uid="{00000000-0005-0000-0000-00006E6B0000}"/>
    <cellStyle name="Normal 19 2 15" xfId="25288" xr:uid="{00000000-0005-0000-0000-00006F6B0000}"/>
    <cellStyle name="Normal 19 2 16" xfId="12683" xr:uid="{00000000-0005-0000-0000-0000706B0000}"/>
    <cellStyle name="Normal 19 2 2" xfId="143" xr:uid="{00000000-0005-0000-0000-0000716B0000}"/>
    <cellStyle name="Normal 19 2 2 10" xfId="9691" xr:uid="{00000000-0005-0000-0000-0000726B0000}"/>
    <cellStyle name="Normal 19 2 2 10 2" xfId="47965" xr:uid="{00000000-0005-0000-0000-0000736B0000}"/>
    <cellStyle name="Normal 19 2 2 10 3" xfId="31865" xr:uid="{00000000-0005-0000-0000-0000746B0000}"/>
    <cellStyle name="Normal 19 2 2 10 4" xfId="22296" xr:uid="{00000000-0005-0000-0000-0000756B0000}"/>
    <cellStyle name="Normal 19 2 2 11" xfId="3159" xr:uid="{00000000-0005-0000-0000-0000766B0000}"/>
    <cellStyle name="Normal 19 2 2 11 2" xfId="51001" xr:uid="{00000000-0005-0000-0000-0000776B0000}"/>
    <cellStyle name="Normal 19 2 2 11 3" xfId="34901" xr:uid="{00000000-0005-0000-0000-0000786B0000}"/>
    <cellStyle name="Normal 19 2 2 11 4" xfId="15765" xr:uid="{00000000-0005-0000-0000-0000796B0000}"/>
    <cellStyle name="Normal 19 2 2 12" xfId="41434" xr:uid="{00000000-0005-0000-0000-00007A6B0000}"/>
    <cellStyle name="Normal 19 2 2 13" xfId="25334" xr:uid="{00000000-0005-0000-0000-00007B6B0000}"/>
    <cellStyle name="Normal 19 2 2 14" xfId="12729" xr:uid="{00000000-0005-0000-0000-00007C6B0000}"/>
    <cellStyle name="Normal 19 2 2 2" xfId="218" xr:uid="{00000000-0005-0000-0000-00007D6B0000}"/>
    <cellStyle name="Normal 19 2 2 2 10" xfId="41671" xr:uid="{00000000-0005-0000-0000-00007E6B0000}"/>
    <cellStyle name="Normal 19 2 2 2 11" xfId="25571" xr:uid="{00000000-0005-0000-0000-00007F6B0000}"/>
    <cellStyle name="Normal 19 2 2 2 12" xfId="13047" xr:uid="{00000000-0005-0000-0000-0000806B0000}"/>
    <cellStyle name="Normal 19 2 2 2 2" xfId="395" xr:uid="{00000000-0005-0000-0000-0000816B0000}"/>
    <cellStyle name="Normal 19 2 2 2 2 2" xfId="2414" xr:uid="{00000000-0005-0000-0000-0000826B0000}"/>
    <cellStyle name="Normal 19 2 2 2 2 2 2" xfId="8948" xr:uid="{00000000-0005-0000-0000-0000836B0000}"/>
    <cellStyle name="Normal 19 2 2 2 2 2 2 2" xfId="40689" xr:uid="{00000000-0005-0000-0000-0000846B0000}"/>
    <cellStyle name="Normal 19 2 2 2 2 2 2 2 2" xfId="56789" xr:uid="{00000000-0005-0000-0000-0000856B0000}"/>
    <cellStyle name="Normal 19 2 2 2 2 2 2 3" xfId="47222" xr:uid="{00000000-0005-0000-0000-0000866B0000}"/>
    <cellStyle name="Normal 19 2 2 2 2 2 2 4" xfId="31122" xr:uid="{00000000-0005-0000-0000-0000876B0000}"/>
    <cellStyle name="Normal 19 2 2 2 2 2 2 5" xfId="21553" xr:uid="{00000000-0005-0000-0000-0000886B0000}"/>
    <cellStyle name="Normal 19 2 2 2 2 2 3" xfId="11984" xr:uid="{00000000-0005-0000-0000-0000896B0000}"/>
    <cellStyle name="Normal 19 2 2 2 2 2 3 2" xfId="50258" xr:uid="{00000000-0005-0000-0000-00008A6B0000}"/>
    <cellStyle name="Normal 19 2 2 2 2 2 3 3" xfId="34158" xr:uid="{00000000-0005-0000-0000-00008B6B0000}"/>
    <cellStyle name="Normal 19 2 2 2 2 2 3 4" xfId="24589" xr:uid="{00000000-0005-0000-0000-00008C6B0000}"/>
    <cellStyle name="Normal 19 2 2 2 2 2 4" xfId="5912" xr:uid="{00000000-0005-0000-0000-00008D6B0000}"/>
    <cellStyle name="Normal 19 2 2 2 2 2 4 2" xfId="53753" xr:uid="{00000000-0005-0000-0000-00008E6B0000}"/>
    <cellStyle name="Normal 19 2 2 2 2 2 4 3" xfId="37653" xr:uid="{00000000-0005-0000-0000-00008F6B0000}"/>
    <cellStyle name="Normal 19 2 2 2 2 2 4 4" xfId="18517" xr:uid="{00000000-0005-0000-0000-0000906B0000}"/>
    <cellStyle name="Normal 19 2 2 2 2 2 5" xfId="44186" xr:uid="{00000000-0005-0000-0000-0000916B0000}"/>
    <cellStyle name="Normal 19 2 2 2 2 2 6" xfId="28086" xr:uid="{00000000-0005-0000-0000-0000926B0000}"/>
    <cellStyle name="Normal 19 2 2 2 2 2 7" xfId="15022" xr:uid="{00000000-0005-0000-0000-0000936B0000}"/>
    <cellStyle name="Normal 19 2 2 2 2 3" xfId="1626" xr:uid="{00000000-0005-0000-0000-0000946B0000}"/>
    <cellStyle name="Normal 19 2 2 2 2 3 2" xfId="8160" xr:uid="{00000000-0005-0000-0000-0000956B0000}"/>
    <cellStyle name="Normal 19 2 2 2 2 3 2 2" xfId="39901" xr:uid="{00000000-0005-0000-0000-0000966B0000}"/>
    <cellStyle name="Normal 19 2 2 2 2 3 2 2 2" xfId="56001" xr:uid="{00000000-0005-0000-0000-0000976B0000}"/>
    <cellStyle name="Normal 19 2 2 2 2 3 2 3" xfId="46434" xr:uid="{00000000-0005-0000-0000-0000986B0000}"/>
    <cellStyle name="Normal 19 2 2 2 2 3 2 4" xfId="30334" xr:uid="{00000000-0005-0000-0000-0000996B0000}"/>
    <cellStyle name="Normal 19 2 2 2 2 3 2 5" xfId="20765" xr:uid="{00000000-0005-0000-0000-00009A6B0000}"/>
    <cellStyle name="Normal 19 2 2 2 2 3 3" xfId="11196" xr:uid="{00000000-0005-0000-0000-00009B6B0000}"/>
    <cellStyle name="Normal 19 2 2 2 2 3 3 2" xfId="49470" xr:uid="{00000000-0005-0000-0000-00009C6B0000}"/>
    <cellStyle name="Normal 19 2 2 2 2 3 3 3" xfId="33370" xr:uid="{00000000-0005-0000-0000-00009D6B0000}"/>
    <cellStyle name="Normal 19 2 2 2 2 3 3 4" xfId="23801" xr:uid="{00000000-0005-0000-0000-00009E6B0000}"/>
    <cellStyle name="Normal 19 2 2 2 2 3 4" xfId="5124" xr:uid="{00000000-0005-0000-0000-00009F6B0000}"/>
    <cellStyle name="Normal 19 2 2 2 2 3 4 2" xfId="52965" xr:uid="{00000000-0005-0000-0000-0000A06B0000}"/>
    <cellStyle name="Normal 19 2 2 2 2 3 4 3" xfId="36865" xr:uid="{00000000-0005-0000-0000-0000A16B0000}"/>
    <cellStyle name="Normal 19 2 2 2 2 3 4 4" xfId="17729" xr:uid="{00000000-0005-0000-0000-0000A26B0000}"/>
    <cellStyle name="Normal 19 2 2 2 2 3 5" xfId="43398" xr:uid="{00000000-0005-0000-0000-0000A36B0000}"/>
    <cellStyle name="Normal 19 2 2 2 2 3 6" xfId="27298" xr:uid="{00000000-0005-0000-0000-0000A46B0000}"/>
    <cellStyle name="Normal 19 2 2 2 2 3 7" xfId="14234" xr:uid="{00000000-0005-0000-0000-0000A56B0000}"/>
    <cellStyle name="Normal 19 2 2 2 2 4" xfId="7150" xr:uid="{00000000-0005-0000-0000-0000A66B0000}"/>
    <cellStyle name="Normal 19 2 2 2 2 4 2" xfId="38891" xr:uid="{00000000-0005-0000-0000-0000A76B0000}"/>
    <cellStyle name="Normal 19 2 2 2 2 4 2 2" xfId="54991" xr:uid="{00000000-0005-0000-0000-0000A86B0000}"/>
    <cellStyle name="Normal 19 2 2 2 2 4 3" xfId="45424" xr:uid="{00000000-0005-0000-0000-0000A96B0000}"/>
    <cellStyle name="Normal 19 2 2 2 2 4 4" xfId="29324" xr:uid="{00000000-0005-0000-0000-0000AA6B0000}"/>
    <cellStyle name="Normal 19 2 2 2 2 4 5" xfId="19755" xr:uid="{00000000-0005-0000-0000-0000AB6B0000}"/>
    <cellStyle name="Normal 19 2 2 2 2 5" xfId="10186" xr:uid="{00000000-0005-0000-0000-0000AC6B0000}"/>
    <cellStyle name="Normal 19 2 2 2 2 5 2" xfId="48460" xr:uid="{00000000-0005-0000-0000-0000AD6B0000}"/>
    <cellStyle name="Normal 19 2 2 2 2 5 3" xfId="32360" xr:uid="{00000000-0005-0000-0000-0000AE6B0000}"/>
    <cellStyle name="Normal 19 2 2 2 2 5 4" xfId="22791" xr:uid="{00000000-0005-0000-0000-0000AF6B0000}"/>
    <cellStyle name="Normal 19 2 2 2 2 6" xfId="4114" xr:uid="{00000000-0005-0000-0000-0000B06B0000}"/>
    <cellStyle name="Normal 19 2 2 2 2 6 2" xfId="51955" xr:uid="{00000000-0005-0000-0000-0000B16B0000}"/>
    <cellStyle name="Normal 19 2 2 2 2 6 3" xfId="35855" xr:uid="{00000000-0005-0000-0000-0000B26B0000}"/>
    <cellStyle name="Normal 19 2 2 2 2 6 4" xfId="16719" xr:uid="{00000000-0005-0000-0000-0000B36B0000}"/>
    <cellStyle name="Normal 19 2 2 2 2 7" xfId="42388" xr:uid="{00000000-0005-0000-0000-0000B46B0000}"/>
    <cellStyle name="Normal 19 2 2 2 2 8" xfId="26288" xr:uid="{00000000-0005-0000-0000-0000B56B0000}"/>
    <cellStyle name="Normal 19 2 2 2 2 9" xfId="13224" xr:uid="{00000000-0005-0000-0000-0000B66B0000}"/>
    <cellStyle name="Normal 19 2 2 2 3" xfId="1033" xr:uid="{00000000-0005-0000-0000-0000B76B0000}"/>
    <cellStyle name="Normal 19 2 2 2 3 2" xfId="3061" xr:uid="{00000000-0005-0000-0000-0000B86B0000}"/>
    <cellStyle name="Normal 19 2 2 2 3 2 2" xfId="9593" xr:uid="{00000000-0005-0000-0000-0000B96B0000}"/>
    <cellStyle name="Normal 19 2 2 2 3 2 2 2" xfId="41334" xr:uid="{00000000-0005-0000-0000-0000BA6B0000}"/>
    <cellStyle name="Normal 19 2 2 2 3 2 2 2 2" xfId="57434" xr:uid="{00000000-0005-0000-0000-0000BB6B0000}"/>
    <cellStyle name="Normal 19 2 2 2 3 2 2 3" xfId="47867" xr:uid="{00000000-0005-0000-0000-0000BC6B0000}"/>
    <cellStyle name="Normal 19 2 2 2 3 2 2 4" xfId="31767" xr:uid="{00000000-0005-0000-0000-0000BD6B0000}"/>
    <cellStyle name="Normal 19 2 2 2 3 2 2 5" xfId="22198" xr:uid="{00000000-0005-0000-0000-0000BE6B0000}"/>
    <cellStyle name="Normal 19 2 2 2 3 2 3" xfId="12629" xr:uid="{00000000-0005-0000-0000-0000BF6B0000}"/>
    <cellStyle name="Normal 19 2 2 2 3 2 3 2" xfId="50903" xr:uid="{00000000-0005-0000-0000-0000C06B0000}"/>
    <cellStyle name="Normal 19 2 2 2 3 2 3 3" xfId="34803" xr:uid="{00000000-0005-0000-0000-0000C16B0000}"/>
    <cellStyle name="Normal 19 2 2 2 3 2 3 4" xfId="25234" xr:uid="{00000000-0005-0000-0000-0000C26B0000}"/>
    <cellStyle name="Normal 19 2 2 2 3 2 4" xfId="6557" xr:uid="{00000000-0005-0000-0000-0000C36B0000}"/>
    <cellStyle name="Normal 19 2 2 2 3 2 4 2" xfId="54398" xr:uid="{00000000-0005-0000-0000-0000C46B0000}"/>
    <cellStyle name="Normal 19 2 2 2 3 2 4 3" xfId="38298" xr:uid="{00000000-0005-0000-0000-0000C56B0000}"/>
    <cellStyle name="Normal 19 2 2 2 3 2 4 4" xfId="19162" xr:uid="{00000000-0005-0000-0000-0000C66B0000}"/>
    <cellStyle name="Normal 19 2 2 2 3 2 5" xfId="44831" xr:uid="{00000000-0005-0000-0000-0000C76B0000}"/>
    <cellStyle name="Normal 19 2 2 2 3 2 6" xfId="28731" xr:uid="{00000000-0005-0000-0000-0000C86B0000}"/>
    <cellStyle name="Normal 19 2 2 2 3 2 7" xfId="15667" xr:uid="{00000000-0005-0000-0000-0000C96B0000}"/>
    <cellStyle name="Normal 19 2 2 2 3 3" xfId="2043" xr:uid="{00000000-0005-0000-0000-0000CA6B0000}"/>
    <cellStyle name="Normal 19 2 2 2 3 3 2" xfId="8577" xr:uid="{00000000-0005-0000-0000-0000CB6B0000}"/>
    <cellStyle name="Normal 19 2 2 2 3 3 2 2" xfId="40318" xr:uid="{00000000-0005-0000-0000-0000CC6B0000}"/>
    <cellStyle name="Normal 19 2 2 2 3 3 2 2 2" xfId="56418" xr:uid="{00000000-0005-0000-0000-0000CD6B0000}"/>
    <cellStyle name="Normal 19 2 2 2 3 3 2 3" xfId="46851" xr:uid="{00000000-0005-0000-0000-0000CE6B0000}"/>
    <cellStyle name="Normal 19 2 2 2 3 3 2 4" xfId="30751" xr:uid="{00000000-0005-0000-0000-0000CF6B0000}"/>
    <cellStyle name="Normal 19 2 2 2 3 3 2 5" xfId="21182" xr:uid="{00000000-0005-0000-0000-0000D06B0000}"/>
    <cellStyle name="Normal 19 2 2 2 3 3 3" xfId="11613" xr:uid="{00000000-0005-0000-0000-0000D16B0000}"/>
    <cellStyle name="Normal 19 2 2 2 3 3 3 2" xfId="49887" xr:uid="{00000000-0005-0000-0000-0000D26B0000}"/>
    <cellStyle name="Normal 19 2 2 2 3 3 3 3" xfId="33787" xr:uid="{00000000-0005-0000-0000-0000D36B0000}"/>
    <cellStyle name="Normal 19 2 2 2 3 3 3 4" xfId="24218" xr:uid="{00000000-0005-0000-0000-0000D46B0000}"/>
    <cellStyle name="Normal 19 2 2 2 3 3 4" xfId="5541" xr:uid="{00000000-0005-0000-0000-0000D56B0000}"/>
    <cellStyle name="Normal 19 2 2 2 3 3 4 2" xfId="53382" xr:uid="{00000000-0005-0000-0000-0000D66B0000}"/>
    <cellStyle name="Normal 19 2 2 2 3 3 4 3" xfId="37282" xr:uid="{00000000-0005-0000-0000-0000D76B0000}"/>
    <cellStyle name="Normal 19 2 2 2 3 3 4 4" xfId="18146" xr:uid="{00000000-0005-0000-0000-0000D86B0000}"/>
    <cellStyle name="Normal 19 2 2 2 3 3 5" xfId="43815" xr:uid="{00000000-0005-0000-0000-0000D96B0000}"/>
    <cellStyle name="Normal 19 2 2 2 3 3 6" xfId="27715" xr:uid="{00000000-0005-0000-0000-0000DA6B0000}"/>
    <cellStyle name="Normal 19 2 2 2 3 3 7" xfId="14651" xr:uid="{00000000-0005-0000-0000-0000DB6B0000}"/>
    <cellStyle name="Normal 19 2 2 2 3 4" xfId="7567" xr:uid="{00000000-0005-0000-0000-0000DC6B0000}"/>
    <cellStyle name="Normal 19 2 2 2 3 4 2" xfId="39308" xr:uid="{00000000-0005-0000-0000-0000DD6B0000}"/>
    <cellStyle name="Normal 19 2 2 2 3 4 2 2" xfId="55408" xr:uid="{00000000-0005-0000-0000-0000DE6B0000}"/>
    <cellStyle name="Normal 19 2 2 2 3 4 3" xfId="45841" xr:uid="{00000000-0005-0000-0000-0000DF6B0000}"/>
    <cellStyle name="Normal 19 2 2 2 3 4 4" xfId="29741" xr:uid="{00000000-0005-0000-0000-0000E06B0000}"/>
    <cellStyle name="Normal 19 2 2 2 3 4 5" xfId="20172" xr:uid="{00000000-0005-0000-0000-0000E16B0000}"/>
    <cellStyle name="Normal 19 2 2 2 3 5" xfId="10603" xr:uid="{00000000-0005-0000-0000-0000E26B0000}"/>
    <cellStyle name="Normal 19 2 2 2 3 5 2" xfId="48877" xr:uid="{00000000-0005-0000-0000-0000E36B0000}"/>
    <cellStyle name="Normal 19 2 2 2 3 5 3" xfId="32777" xr:uid="{00000000-0005-0000-0000-0000E46B0000}"/>
    <cellStyle name="Normal 19 2 2 2 3 5 4" xfId="23208" xr:uid="{00000000-0005-0000-0000-0000E56B0000}"/>
    <cellStyle name="Normal 19 2 2 2 3 6" xfId="4531" xr:uid="{00000000-0005-0000-0000-0000E66B0000}"/>
    <cellStyle name="Normal 19 2 2 2 3 6 2" xfId="52372" xr:uid="{00000000-0005-0000-0000-0000E76B0000}"/>
    <cellStyle name="Normal 19 2 2 2 3 6 3" xfId="36272" xr:uid="{00000000-0005-0000-0000-0000E86B0000}"/>
    <cellStyle name="Normal 19 2 2 2 3 6 4" xfId="17136" xr:uid="{00000000-0005-0000-0000-0000E96B0000}"/>
    <cellStyle name="Normal 19 2 2 2 3 7" xfId="42805" xr:uid="{00000000-0005-0000-0000-0000EA6B0000}"/>
    <cellStyle name="Normal 19 2 2 2 3 8" xfId="26705" xr:uid="{00000000-0005-0000-0000-0000EB6B0000}"/>
    <cellStyle name="Normal 19 2 2 2 3 9" xfId="13641" xr:uid="{00000000-0005-0000-0000-0000EC6B0000}"/>
    <cellStyle name="Normal 19 2 2 2 4" xfId="2237" xr:uid="{00000000-0005-0000-0000-0000ED6B0000}"/>
    <cellStyle name="Normal 19 2 2 2 4 2" xfId="8771" xr:uid="{00000000-0005-0000-0000-0000EE6B0000}"/>
    <cellStyle name="Normal 19 2 2 2 4 2 2" xfId="40512" xr:uid="{00000000-0005-0000-0000-0000EF6B0000}"/>
    <cellStyle name="Normal 19 2 2 2 4 2 2 2" xfId="56612" xr:uid="{00000000-0005-0000-0000-0000F06B0000}"/>
    <cellStyle name="Normal 19 2 2 2 4 2 3" xfId="47045" xr:uid="{00000000-0005-0000-0000-0000F16B0000}"/>
    <cellStyle name="Normal 19 2 2 2 4 2 4" xfId="30945" xr:uid="{00000000-0005-0000-0000-0000F26B0000}"/>
    <cellStyle name="Normal 19 2 2 2 4 2 5" xfId="21376" xr:uid="{00000000-0005-0000-0000-0000F36B0000}"/>
    <cellStyle name="Normal 19 2 2 2 4 3" xfId="11807" xr:uid="{00000000-0005-0000-0000-0000F46B0000}"/>
    <cellStyle name="Normal 19 2 2 2 4 3 2" xfId="50081" xr:uid="{00000000-0005-0000-0000-0000F56B0000}"/>
    <cellStyle name="Normal 19 2 2 2 4 3 3" xfId="33981" xr:uid="{00000000-0005-0000-0000-0000F66B0000}"/>
    <cellStyle name="Normal 19 2 2 2 4 3 4" xfId="24412" xr:uid="{00000000-0005-0000-0000-0000F76B0000}"/>
    <cellStyle name="Normal 19 2 2 2 4 4" xfId="5735" xr:uid="{00000000-0005-0000-0000-0000F86B0000}"/>
    <cellStyle name="Normal 19 2 2 2 4 4 2" xfId="53576" xr:uid="{00000000-0005-0000-0000-0000F96B0000}"/>
    <cellStyle name="Normal 19 2 2 2 4 4 3" xfId="37476" xr:uid="{00000000-0005-0000-0000-0000FA6B0000}"/>
    <cellStyle name="Normal 19 2 2 2 4 4 4" xfId="18340" xr:uid="{00000000-0005-0000-0000-0000FB6B0000}"/>
    <cellStyle name="Normal 19 2 2 2 4 5" xfId="44009" xr:uid="{00000000-0005-0000-0000-0000FC6B0000}"/>
    <cellStyle name="Normal 19 2 2 2 4 6" xfId="27909" xr:uid="{00000000-0005-0000-0000-0000FD6B0000}"/>
    <cellStyle name="Normal 19 2 2 2 4 7" xfId="14845" xr:uid="{00000000-0005-0000-0000-0000FE6B0000}"/>
    <cellStyle name="Normal 19 2 2 2 5" xfId="1449" xr:uid="{00000000-0005-0000-0000-0000FF6B0000}"/>
    <cellStyle name="Normal 19 2 2 2 5 2" xfId="7983" xr:uid="{00000000-0005-0000-0000-0000006C0000}"/>
    <cellStyle name="Normal 19 2 2 2 5 2 2" xfId="39724" xr:uid="{00000000-0005-0000-0000-0000016C0000}"/>
    <cellStyle name="Normal 19 2 2 2 5 2 2 2" xfId="55824" xr:uid="{00000000-0005-0000-0000-0000026C0000}"/>
    <cellStyle name="Normal 19 2 2 2 5 2 3" xfId="46257" xr:uid="{00000000-0005-0000-0000-0000036C0000}"/>
    <cellStyle name="Normal 19 2 2 2 5 2 4" xfId="30157" xr:uid="{00000000-0005-0000-0000-0000046C0000}"/>
    <cellStyle name="Normal 19 2 2 2 5 2 5" xfId="20588" xr:uid="{00000000-0005-0000-0000-0000056C0000}"/>
    <cellStyle name="Normal 19 2 2 2 5 3" xfId="11019" xr:uid="{00000000-0005-0000-0000-0000066C0000}"/>
    <cellStyle name="Normal 19 2 2 2 5 3 2" xfId="49293" xr:uid="{00000000-0005-0000-0000-0000076C0000}"/>
    <cellStyle name="Normal 19 2 2 2 5 3 3" xfId="33193" xr:uid="{00000000-0005-0000-0000-0000086C0000}"/>
    <cellStyle name="Normal 19 2 2 2 5 3 4" xfId="23624" xr:uid="{00000000-0005-0000-0000-0000096C0000}"/>
    <cellStyle name="Normal 19 2 2 2 5 4" xfId="4947" xr:uid="{00000000-0005-0000-0000-00000A6C0000}"/>
    <cellStyle name="Normal 19 2 2 2 5 4 2" xfId="52788" xr:uid="{00000000-0005-0000-0000-00000B6C0000}"/>
    <cellStyle name="Normal 19 2 2 2 5 4 3" xfId="36688" xr:uid="{00000000-0005-0000-0000-00000C6C0000}"/>
    <cellStyle name="Normal 19 2 2 2 5 4 4" xfId="17552" xr:uid="{00000000-0005-0000-0000-00000D6C0000}"/>
    <cellStyle name="Normal 19 2 2 2 5 5" xfId="43221" xr:uid="{00000000-0005-0000-0000-00000E6C0000}"/>
    <cellStyle name="Normal 19 2 2 2 5 6" xfId="27121" xr:uid="{00000000-0005-0000-0000-00000F6C0000}"/>
    <cellStyle name="Normal 19 2 2 2 5 7" xfId="14057" xr:uid="{00000000-0005-0000-0000-0000106C0000}"/>
    <cellStyle name="Normal 19 2 2 2 6" xfId="3937" xr:uid="{00000000-0005-0000-0000-0000116C0000}"/>
    <cellStyle name="Normal 19 2 2 2 6 2" xfId="35678" xr:uid="{00000000-0005-0000-0000-0000126C0000}"/>
    <cellStyle name="Normal 19 2 2 2 6 2 2" xfId="51778" xr:uid="{00000000-0005-0000-0000-0000136C0000}"/>
    <cellStyle name="Normal 19 2 2 2 6 3" xfId="42211" xr:uid="{00000000-0005-0000-0000-0000146C0000}"/>
    <cellStyle name="Normal 19 2 2 2 6 4" xfId="26111" xr:uid="{00000000-0005-0000-0000-0000156C0000}"/>
    <cellStyle name="Normal 19 2 2 2 6 5" xfId="16542" xr:uid="{00000000-0005-0000-0000-0000166C0000}"/>
    <cellStyle name="Normal 19 2 2 2 7" xfId="6973" xr:uid="{00000000-0005-0000-0000-0000176C0000}"/>
    <cellStyle name="Normal 19 2 2 2 7 2" xfId="38714" xr:uid="{00000000-0005-0000-0000-0000186C0000}"/>
    <cellStyle name="Normal 19 2 2 2 7 2 2" xfId="54814" xr:uid="{00000000-0005-0000-0000-0000196C0000}"/>
    <cellStyle name="Normal 19 2 2 2 7 3" xfId="45247" xr:uid="{00000000-0005-0000-0000-00001A6C0000}"/>
    <cellStyle name="Normal 19 2 2 2 7 4" xfId="29147" xr:uid="{00000000-0005-0000-0000-00001B6C0000}"/>
    <cellStyle name="Normal 19 2 2 2 7 5" xfId="19578" xr:uid="{00000000-0005-0000-0000-00001C6C0000}"/>
    <cellStyle name="Normal 19 2 2 2 8" xfId="10009" xr:uid="{00000000-0005-0000-0000-00001D6C0000}"/>
    <cellStyle name="Normal 19 2 2 2 8 2" xfId="48283" xr:uid="{00000000-0005-0000-0000-00001E6C0000}"/>
    <cellStyle name="Normal 19 2 2 2 8 3" xfId="32183" xr:uid="{00000000-0005-0000-0000-00001F6C0000}"/>
    <cellStyle name="Normal 19 2 2 2 8 4" xfId="22614" xr:uid="{00000000-0005-0000-0000-0000206C0000}"/>
    <cellStyle name="Normal 19 2 2 2 9" xfId="3397" xr:uid="{00000000-0005-0000-0000-0000216C0000}"/>
    <cellStyle name="Normal 19 2 2 2 9 2" xfId="51238" xr:uid="{00000000-0005-0000-0000-0000226C0000}"/>
    <cellStyle name="Normal 19 2 2 2 9 3" xfId="35138" xr:uid="{00000000-0005-0000-0000-0000236C0000}"/>
    <cellStyle name="Normal 19 2 2 2 9 4" xfId="16002" xr:uid="{00000000-0005-0000-0000-0000246C0000}"/>
    <cellStyle name="Normal 19 2 2 3" xfId="324" xr:uid="{00000000-0005-0000-0000-0000256C0000}"/>
    <cellStyle name="Normal 19 2 2 3 2" xfId="2343" xr:uid="{00000000-0005-0000-0000-0000266C0000}"/>
    <cellStyle name="Normal 19 2 2 3 2 2" xfId="8877" xr:uid="{00000000-0005-0000-0000-0000276C0000}"/>
    <cellStyle name="Normal 19 2 2 3 2 2 2" xfId="40618" xr:uid="{00000000-0005-0000-0000-0000286C0000}"/>
    <cellStyle name="Normal 19 2 2 3 2 2 2 2" xfId="56718" xr:uid="{00000000-0005-0000-0000-0000296C0000}"/>
    <cellStyle name="Normal 19 2 2 3 2 2 3" xfId="47151" xr:uid="{00000000-0005-0000-0000-00002A6C0000}"/>
    <cellStyle name="Normal 19 2 2 3 2 2 4" xfId="31051" xr:uid="{00000000-0005-0000-0000-00002B6C0000}"/>
    <cellStyle name="Normal 19 2 2 3 2 2 5" xfId="21482" xr:uid="{00000000-0005-0000-0000-00002C6C0000}"/>
    <cellStyle name="Normal 19 2 2 3 2 3" xfId="11913" xr:uid="{00000000-0005-0000-0000-00002D6C0000}"/>
    <cellStyle name="Normal 19 2 2 3 2 3 2" xfId="50187" xr:uid="{00000000-0005-0000-0000-00002E6C0000}"/>
    <cellStyle name="Normal 19 2 2 3 2 3 3" xfId="34087" xr:uid="{00000000-0005-0000-0000-00002F6C0000}"/>
    <cellStyle name="Normal 19 2 2 3 2 3 4" xfId="24518" xr:uid="{00000000-0005-0000-0000-0000306C0000}"/>
    <cellStyle name="Normal 19 2 2 3 2 4" xfId="5841" xr:uid="{00000000-0005-0000-0000-0000316C0000}"/>
    <cellStyle name="Normal 19 2 2 3 2 4 2" xfId="53682" xr:uid="{00000000-0005-0000-0000-0000326C0000}"/>
    <cellStyle name="Normal 19 2 2 3 2 4 3" xfId="37582" xr:uid="{00000000-0005-0000-0000-0000336C0000}"/>
    <cellStyle name="Normal 19 2 2 3 2 4 4" xfId="18446" xr:uid="{00000000-0005-0000-0000-0000346C0000}"/>
    <cellStyle name="Normal 19 2 2 3 2 5" xfId="44115" xr:uid="{00000000-0005-0000-0000-0000356C0000}"/>
    <cellStyle name="Normal 19 2 2 3 2 6" xfId="28015" xr:uid="{00000000-0005-0000-0000-0000366C0000}"/>
    <cellStyle name="Normal 19 2 2 3 2 7" xfId="14951" xr:uid="{00000000-0005-0000-0000-0000376C0000}"/>
    <cellStyle name="Normal 19 2 2 3 3" xfId="1555" xr:uid="{00000000-0005-0000-0000-0000386C0000}"/>
    <cellStyle name="Normal 19 2 2 3 3 2" xfId="8089" xr:uid="{00000000-0005-0000-0000-0000396C0000}"/>
    <cellStyle name="Normal 19 2 2 3 3 2 2" xfId="39830" xr:uid="{00000000-0005-0000-0000-00003A6C0000}"/>
    <cellStyle name="Normal 19 2 2 3 3 2 2 2" xfId="55930" xr:uid="{00000000-0005-0000-0000-00003B6C0000}"/>
    <cellStyle name="Normal 19 2 2 3 3 2 3" xfId="46363" xr:uid="{00000000-0005-0000-0000-00003C6C0000}"/>
    <cellStyle name="Normal 19 2 2 3 3 2 4" xfId="30263" xr:uid="{00000000-0005-0000-0000-00003D6C0000}"/>
    <cellStyle name="Normal 19 2 2 3 3 2 5" xfId="20694" xr:uid="{00000000-0005-0000-0000-00003E6C0000}"/>
    <cellStyle name="Normal 19 2 2 3 3 3" xfId="11125" xr:uid="{00000000-0005-0000-0000-00003F6C0000}"/>
    <cellStyle name="Normal 19 2 2 3 3 3 2" xfId="49399" xr:uid="{00000000-0005-0000-0000-0000406C0000}"/>
    <cellStyle name="Normal 19 2 2 3 3 3 3" xfId="33299" xr:uid="{00000000-0005-0000-0000-0000416C0000}"/>
    <cellStyle name="Normal 19 2 2 3 3 3 4" xfId="23730" xr:uid="{00000000-0005-0000-0000-0000426C0000}"/>
    <cellStyle name="Normal 19 2 2 3 3 4" xfId="5053" xr:uid="{00000000-0005-0000-0000-0000436C0000}"/>
    <cellStyle name="Normal 19 2 2 3 3 4 2" xfId="52894" xr:uid="{00000000-0005-0000-0000-0000446C0000}"/>
    <cellStyle name="Normal 19 2 2 3 3 4 3" xfId="36794" xr:uid="{00000000-0005-0000-0000-0000456C0000}"/>
    <cellStyle name="Normal 19 2 2 3 3 4 4" xfId="17658" xr:uid="{00000000-0005-0000-0000-0000466C0000}"/>
    <cellStyle name="Normal 19 2 2 3 3 5" xfId="43327" xr:uid="{00000000-0005-0000-0000-0000476C0000}"/>
    <cellStyle name="Normal 19 2 2 3 3 6" xfId="27227" xr:uid="{00000000-0005-0000-0000-0000486C0000}"/>
    <cellStyle name="Normal 19 2 2 3 3 7" xfId="14163" xr:uid="{00000000-0005-0000-0000-0000496C0000}"/>
    <cellStyle name="Normal 19 2 2 3 4" xfId="7079" xr:uid="{00000000-0005-0000-0000-00004A6C0000}"/>
    <cellStyle name="Normal 19 2 2 3 4 2" xfId="38820" xr:uid="{00000000-0005-0000-0000-00004B6C0000}"/>
    <cellStyle name="Normal 19 2 2 3 4 2 2" xfId="54920" xr:uid="{00000000-0005-0000-0000-00004C6C0000}"/>
    <cellStyle name="Normal 19 2 2 3 4 3" xfId="45353" xr:uid="{00000000-0005-0000-0000-00004D6C0000}"/>
    <cellStyle name="Normal 19 2 2 3 4 4" xfId="29253" xr:uid="{00000000-0005-0000-0000-00004E6C0000}"/>
    <cellStyle name="Normal 19 2 2 3 4 5" xfId="19684" xr:uid="{00000000-0005-0000-0000-00004F6C0000}"/>
    <cellStyle name="Normal 19 2 2 3 5" xfId="10115" xr:uid="{00000000-0005-0000-0000-0000506C0000}"/>
    <cellStyle name="Normal 19 2 2 3 5 2" xfId="48389" xr:uid="{00000000-0005-0000-0000-0000516C0000}"/>
    <cellStyle name="Normal 19 2 2 3 5 3" xfId="32289" xr:uid="{00000000-0005-0000-0000-0000526C0000}"/>
    <cellStyle name="Normal 19 2 2 3 5 4" xfId="22720" xr:uid="{00000000-0005-0000-0000-0000536C0000}"/>
    <cellStyle name="Normal 19 2 2 3 6" xfId="4043" xr:uid="{00000000-0005-0000-0000-0000546C0000}"/>
    <cellStyle name="Normal 19 2 2 3 6 2" xfId="51884" xr:uid="{00000000-0005-0000-0000-0000556C0000}"/>
    <cellStyle name="Normal 19 2 2 3 6 3" xfId="35784" xr:uid="{00000000-0005-0000-0000-0000566C0000}"/>
    <cellStyle name="Normal 19 2 2 3 6 4" xfId="16648" xr:uid="{00000000-0005-0000-0000-0000576C0000}"/>
    <cellStyle name="Normal 19 2 2 3 7" xfId="42317" xr:uid="{00000000-0005-0000-0000-0000586C0000}"/>
    <cellStyle name="Normal 19 2 2 3 8" xfId="26217" xr:uid="{00000000-0005-0000-0000-0000596C0000}"/>
    <cellStyle name="Normal 19 2 2 3 9" xfId="13153" xr:uid="{00000000-0005-0000-0000-00005A6C0000}"/>
    <cellStyle name="Normal 19 2 2 4" xfId="581" xr:uid="{00000000-0005-0000-0000-00005B6C0000}"/>
    <cellStyle name="Normal 19 2 2 4 2" xfId="2610" xr:uid="{00000000-0005-0000-0000-00005C6C0000}"/>
    <cellStyle name="Normal 19 2 2 4 2 2" xfId="9142" xr:uid="{00000000-0005-0000-0000-00005D6C0000}"/>
    <cellStyle name="Normal 19 2 2 4 2 2 2" xfId="40883" xr:uid="{00000000-0005-0000-0000-00005E6C0000}"/>
    <cellStyle name="Normal 19 2 2 4 2 2 2 2" xfId="56983" xr:uid="{00000000-0005-0000-0000-00005F6C0000}"/>
    <cellStyle name="Normal 19 2 2 4 2 2 3" xfId="47416" xr:uid="{00000000-0005-0000-0000-0000606C0000}"/>
    <cellStyle name="Normal 19 2 2 4 2 2 4" xfId="31316" xr:uid="{00000000-0005-0000-0000-0000616C0000}"/>
    <cellStyle name="Normal 19 2 2 4 2 2 5" xfId="21747" xr:uid="{00000000-0005-0000-0000-0000626C0000}"/>
    <cellStyle name="Normal 19 2 2 4 2 3" xfId="12178" xr:uid="{00000000-0005-0000-0000-0000636C0000}"/>
    <cellStyle name="Normal 19 2 2 4 2 3 2" xfId="50452" xr:uid="{00000000-0005-0000-0000-0000646C0000}"/>
    <cellStyle name="Normal 19 2 2 4 2 3 3" xfId="34352" xr:uid="{00000000-0005-0000-0000-0000656C0000}"/>
    <cellStyle name="Normal 19 2 2 4 2 3 4" xfId="24783" xr:uid="{00000000-0005-0000-0000-0000666C0000}"/>
    <cellStyle name="Normal 19 2 2 4 2 4" xfId="6106" xr:uid="{00000000-0005-0000-0000-0000676C0000}"/>
    <cellStyle name="Normal 19 2 2 4 2 4 2" xfId="53947" xr:uid="{00000000-0005-0000-0000-0000686C0000}"/>
    <cellStyle name="Normal 19 2 2 4 2 4 3" xfId="37847" xr:uid="{00000000-0005-0000-0000-0000696C0000}"/>
    <cellStyle name="Normal 19 2 2 4 2 4 4" xfId="18711" xr:uid="{00000000-0005-0000-0000-00006A6C0000}"/>
    <cellStyle name="Normal 19 2 2 4 2 5" xfId="44380" xr:uid="{00000000-0005-0000-0000-00006B6C0000}"/>
    <cellStyle name="Normal 19 2 2 4 2 6" xfId="28280" xr:uid="{00000000-0005-0000-0000-00006C6C0000}"/>
    <cellStyle name="Normal 19 2 2 4 2 7" xfId="15216" xr:uid="{00000000-0005-0000-0000-00006D6C0000}"/>
    <cellStyle name="Normal 19 2 2 4 3" xfId="1378" xr:uid="{00000000-0005-0000-0000-00006E6C0000}"/>
    <cellStyle name="Normal 19 2 2 4 3 2" xfId="7912" xr:uid="{00000000-0005-0000-0000-00006F6C0000}"/>
    <cellStyle name="Normal 19 2 2 4 3 2 2" xfId="39653" xr:uid="{00000000-0005-0000-0000-0000706C0000}"/>
    <cellStyle name="Normal 19 2 2 4 3 2 2 2" xfId="55753" xr:uid="{00000000-0005-0000-0000-0000716C0000}"/>
    <cellStyle name="Normal 19 2 2 4 3 2 3" xfId="46186" xr:uid="{00000000-0005-0000-0000-0000726C0000}"/>
    <cellStyle name="Normal 19 2 2 4 3 2 4" xfId="30086" xr:uid="{00000000-0005-0000-0000-0000736C0000}"/>
    <cellStyle name="Normal 19 2 2 4 3 2 5" xfId="20517" xr:uid="{00000000-0005-0000-0000-0000746C0000}"/>
    <cellStyle name="Normal 19 2 2 4 3 3" xfId="10948" xr:uid="{00000000-0005-0000-0000-0000756C0000}"/>
    <cellStyle name="Normal 19 2 2 4 3 3 2" xfId="49222" xr:uid="{00000000-0005-0000-0000-0000766C0000}"/>
    <cellStyle name="Normal 19 2 2 4 3 3 3" xfId="33122" xr:uid="{00000000-0005-0000-0000-0000776C0000}"/>
    <cellStyle name="Normal 19 2 2 4 3 3 4" xfId="23553" xr:uid="{00000000-0005-0000-0000-0000786C0000}"/>
    <cellStyle name="Normal 19 2 2 4 3 4" xfId="4876" xr:uid="{00000000-0005-0000-0000-0000796C0000}"/>
    <cellStyle name="Normal 19 2 2 4 3 4 2" xfId="52717" xr:uid="{00000000-0005-0000-0000-00007A6C0000}"/>
    <cellStyle name="Normal 19 2 2 4 3 4 3" xfId="36617" xr:uid="{00000000-0005-0000-0000-00007B6C0000}"/>
    <cellStyle name="Normal 19 2 2 4 3 4 4" xfId="17481" xr:uid="{00000000-0005-0000-0000-00007C6C0000}"/>
    <cellStyle name="Normal 19 2 2 4 3 5" xfId="43150" xr:uid="{00000000-0005-0000-0000-00007D6C0000}"/>
    <cellStyle name="Normal 19 2 2 4 3 6" xfId="27050" xr:uid="{00000000-0005-0000-0000-00007E6C0000}"/>
    <cellStyle name="Normal 19 2 2 4 3 7" xfId="13986" xr:uid="{00000000-0005-0000-0000-00007F6C0000}"/>
    <cellStyle name="Normal 19 2 2 4 4" xfId="6902" xr:uid="{00000000-0005-0000-0000-0000806C0000}"/>
    <cellStyle name="Normal 19 2 2 4 4 2" xfId="38643" xr:uid="{00000000-0005-0000-0000-0000816C0000}"/>
    <cellStyle name="Normal 19 2 2 4 4 2 2" xfId="54743" xr:uid="{00000000-0005-0000-0000-0000826C0000}"/>
    <cellStyle name="Normal 19 2 2 4 4 3" xfId="45176" xr:uid="{00000000-0005-0000-0000-0000836C0000}"/>
    <cellStyle name="Normal 19 2 2 4 4 4" xfId="29076" xr:uid="{00000000-0005-0000-0000-0000846C0000}"/>
    <cellStyle name="Normal 19 2 2 4 4 5" xfId="19507" xr:uid="{00000000-0005-0000-0000-0000856C0000}"/>
    <cellStyle name="Normal 19 2 2 4 5" xfId="9938" xr:uid="{00000000-0005-0000-0000-0000866C0000}"/>
    <cellStyle name="Normal 19 2 2 4 5 2" xfId="48212" xr:uid="{00000000-0005-0000-0000-0000876C0000}"/>
    <cellStyle name="Normal 19 2 2 4 5 3" xfId="32112" xr:uid="{00000000-0005-0000-0000-0000886C0000}"/>
    <cellStyle name="Normal 19 2 2 4 5 4" xfId="22543" xr:uid="{00000000-0005-0000-0000-0000896C0000}"/>
    <cellStyle name="Normal 19 2 2 4 6" xfId="3866" xr:uid="{00000000-0005-0000-0000-00008A6C0000}"/>
    <cellStyle name="Normal 19 2 2 4 6 2" xfId="51707" xr:uid="{00000000-0005-0000-0000-00008B6C0000}"/>
    <cellStyle name="Normal 19 2 2 4 6 3" xfId="35607" xr:uid="{00000000-0005-0000-0000-00008C6C0000}"/>
    <cellStyle name="Normal 19 2 2 4 6 4" xfId="16471" xr:uid="{00000000-0005-0000-0000-00008D6C0000}"/>
    <cellStyle name="Normal 19 2 2 4 7" xfId="42140" xr:uid="{00000000-0005-0000-0000-00008E6C0000}"/>
    <cellStyle name="Normal 19 2 2 4 8" xfId="26040" xr:uid="{00000000-0005-0000-0000-00008F6C0000}"/>
    <cellStyle name="Normal 19 2 2 4 9" xfId="12976" xr:uid="{00000000-0005-0000-0000-0000906C0000}"/>
    <cellStyle name="Normal 19 2 2 5" xfId="804" xr:uid="{00000000-0005-0000-0000-0000916C0000}"/>
    <cellStyle name="Normal 19 2 2 5 2" xfId="2832" xr:uid="{00000000-0005-0000-0000-0000926C0000}"/>
    <cellStyle name="Normal 19 2 2 5 2 2" xfId="9364" xr:uid="{00000000-0005-0000-0000-0000936C0000}"/>
    <cellStyle name="Normal 19 2 2 5 2 2 2" xfId="41105" xr:uid="{00000000-0005-0000-0000-0000946C0000}"/>
    <cellStyle name="Normal 19 2 2 5 2 2 2 2" xfId="57205" xr:uid="{00000000-0005-0000-0000-0000956C0000}"/>
    <cellStyle name="Normal 19 2 2 5 2 2 3" xfId="47638" xr:uid="{00000000-0005-0000-0000-0000966C0000}"/>
    <cellStyle name="Normal 19 2 2 5 2 2 4" xfId="31538" xr:uid="{00000000-0005-0000-0000-0000976C0000}"/>
    <cellStyle name="Normal 19 2 2 5 2 2 5" xfId="21969" xr:uid="{00000000-0005-0000-0000-0000986C0000}"/>
    <cellStyle name="Normal 19 2 2 5 2 3" xfId="12400" xr:uid="{00000000-0005-0000-0000-0000996C0000}"/>
    <cellStyle name="Normal 19 2 2 5 2 3 2" xfId="50674" xr:uid="{00000000-0005-0000-0000-00009A6C0000}"/>
    <cellStyle name="Normal 19 2 2 5 2 3 3" xfId="34574" xr:uid="{00000000-0005-0000-0000-00009B6C0000}"/>
    <cellStyle name="Normal 19 2 2 5 2 3 4" xfId="25005" xr:uid="{00000000-0005-0000-0000-00009C6C0000}"/>
    <cellStyle name="Normal 19 2 2 5 2 4" xfId="6328" xr:uid="{00000000-0005-0000-0000-00009D6C0000}"/>
    <cellStyle name="Normal 19 2 2 5 2 4 2" xfId="54169" xr:uid="{00000000-0005-0000-0000-00009E6C0000}"/>
    <cellStyle name="Normal 19 2 2 5 2 4 3" xfId="38069" xr:uid="{00000000-0005-0000-0000-00009F6C0000}"/>
    <cellStyle name="Normal 19 2 2 5 2 4 4" xfId="18933" xr:uid="{00000000-0005-0000-0000-0000A06C0000}"/>
    <cellStyle name="Normal 19 2 2 5 2 5" xfId="44602" xr:uid="{00000000-0005-0000-0000-0000A16C0000}"/>
    <cellStyle name="Normal 19 2 2 5 2 6" xfId="28502" xr:uid="{00000000-0005-0000-0000-0000A26C0000}"/>
    <cellStyle name="Normal 19 2 2 5 2 7" xfId="15438" xr:uid="{00000000-0005-0000-0000-0000A36C0000}"/>
    <cellStyle name="Normal 19 2 2 5 3" xfId="1814" xr:uid="{00000000-0005-0000-0000-0000A46C0000}"/>
    <cellStyle name="Normal 19 2 2 5 3 2" xfId="8348" xr:uid="{00000000-0005-0000-0000-0000A56C0000}"/>
    <cellStyle name="Normal 19 2 2 5 3 2 2" xfId="40089" xr:uid="{00000000-0005-0000-0000-0000A66C0000}"/>
    <cellStyle name="Normal 19 2 2 5 3 2 2 2" xfId="56189" xr:uid="{00000000-0005-0000-0000-0000A76C0000}"/>
    <cellStyle name="Normal 19 2 2 5 3 2 3" xfId="46622" xr:uid="{00000000-0005-0000-0000-0000A86C0000}"/>
    <cellStyle name="Normal 19 2 2 5 3 2 4" xfId="30522" xr:uid="{00000000-0005-0000-0000-0000A96C0000}"/>
    <cellStyle name="Normal 19 2 2 5 3 2 5" xfId="20953" xr:uid="{00000000-0005-0000-0000-0000AA6C0000}"/>
    <cellStyle name="Normal 19 2 2 5 3 3" xfId="11384" xr:uid="{00000000-0005-0000-0000-0000AB6C0000}"/>
    <cellStyle name="Normal 19 2 2 5 3 3 2" xfId="49658" xr:uid="{00000000-0005-0000-0000-0000AC6C0000}"/>
    <cellStyle name="Normal 19 2 2 5 3 3 3" xfId="33558" xr:uid="{00000000-0005-0000-0000-0000AD6C0000}"/>
    <cellStyle name="Normal 19 2 2 5 3 3 4" xfId="23989" xr:uid="{00000000-0005-0000-0000-0000AE6C0000}"/>
    <cellStyle name="Normal 19 2 2 5 3 4" xfId="5312" xr:uid="{00000000-0005-0000-0000-0000AF6C0000}"/>
    <cellStyle name="Normal 19 2 2 5 3 4 2" xfId="53153" xr:uid="{00000000-0005-0000-0000-0000B06C0000}"/>
    <cellStyle name="Normal 19 2 2 5 3 4 3" xfId="37053" xr:uid="{00000000-0005-0000-0000-0000B16C0000}"/>
    <cellStyle name="Normal 19 2 2 5 3 4 4" xfId="17917" xr:uid="{00000000-0005-0000-0000-0000B26C0000}"/>
    <cellStyle name="Normal 19 2 2 5 3 5" xfId="43586" xr:uid="{00000000-0005-0000-0000-0000B36C0000}"/>
    <cellStyle name="Normal 19 2 2 5 3 6" xfId="27486" xr:uid="{00000000-0005-0000-0000-0000B46C0000}"/>
    <cellStyle name="Normal 19 2 2 5 3 7" xfId="14422" xr:uid="{00000000-0005-0000-0000-0000B56C0000}"/>
    <cellStyle name="Normal 19 2 2 5 4" xfId="7338" xr:uid="{00000000-0005-0000-0000-0000B66C0000}"/>
    <cellStyle name="Normal 19 2 2 5 4 2" xfId="39079" xr:uid="{00000000-0005-0000-0000-0000B76C0000}"/>
    <cellStyle name="Normal 19 2 2 5 4 2 2" xfId="55179" xr:uid="{00000000-0005-0000-0000-0000B86C0000}"/>
    <cellStyle name="Normal 19 2 2 5 4 3" xfId="45612" xr:uid="{00000000-0005-0000-0000-0000B96C0000}"/>
    <cellStyle name="Normal 19 2 2 5 4 4" xfId="29512" xr:uid="{00000000-0005-0000-0000-0000BA6C0000}"/>
    <cellStyle name="Normal 19 2 2 5 4 5" xfId="19943" xr:uid="{00000000-0005-0000-0000-0000BB6C0000}"/>
    <cellStyle name="Normal 19 2 2 5 5" xfId="10374" xr:uid="{00000000-0005-0000-0000-0000BC6C0000}"/>
    <cellStyle name="Normal 19 2 2 5 5 2" xfId="48648" xr:uid="{00000000-0005-0000-0000-0000BD6C0000}"/>
    <cellStyle name="Normal 19 2 2 5 5 3" xfId="32548" xr:uid="{00000000-0005-0000-0000-0000BE6C0000}"/>
    <cellStyle name="Normal 19 2 2 5 5 4" xfId="22979" xr:uid="{00000000-0005-0000-0000-0000BF6C0000}"/>
    <cellStyle name="Normal 19 2 2 5 6" xfId="4302" xr:uid="{00000000-0005-0000-0000-0000C06C0000}"/>
    <cellStyle name="Normal 19 2 2 5 6 2" xfId="52143" xr:uid="{00000000-0005-0000-0000-0000C16C0000}"/>
    <cellStyle name="Normal 19 2 2 5 6 3" xfId="36043" xr:uid="{00000000-0005-0000-0000-0000C26C0000}"/>
    <cellStyle name="Normal 19 2 2 5 6 4" xfId="16907" xr:uid="{00000000-0005-0000-0000-0000C36C0000}"/>
    <cellStyle name="Normal 19 2 2 5 7" xfId="42576" xr:uid="{00000000-0005-0000-0000-0000C46C0000}"/>
    <cellStyle name="Normal 19 2 2 5 8" xfId="26476" xr:uid="{00000000-0005-0000-0000-0000C56C0000}"/>
    <cellStyle name="Normal 19 2 2 5 9" xfId="13412" xr:uid="{00000000-0005-0000-0000-0000C66C0000}"/>
    <cellStyle name="Normal 19 2 2 6" xfId="2166" xr:uid="{00000000-0005-0000-0000-0000C76C0000}"/>
    <cellStyle name="Normal 19 2 2 6 2" xfId="8700" xr:uid="{00000000-0005-0000-0000-0000C86C0000}"/>
    <cellStyle name="Normal 19 2 2 6 2 2" xfId="40441" xr:uid="{00000000-0005-0000-0000-0000C96C0000}"/>
    <cellStyle name="Normal 19 2 2 6 2 2 2" xfId="56541" xr:uid="{00000000-0005-0000-0000-0000CA6C0000}"/>
    <cellStyle name="Normal 19 2 2 6 2 3" xfId="46974" xr:uid="{00000000-0005-0000-0000-0000CB6C0000}"/>
    <cellStyle name="Normal 19 2 2 6 2 4" xfId="30874" xr:uid="{00000000-0005-0000-0000-0000CC6C0000}"/>
    <cellStyle name="Normal 19 2 2 6 2 5" xfId="21305" xr:uid="{00000000-0005-0000-0000-0000CD6C0000}"/>
    <cellStyle name="Normal 19 2 2 6 3" xfId="11736" xr:uid="{00000000-0005-0000-0000-0000CE6C0000}"/>
    <cellStyle name="Normal 19 2 2 6 3 2" xfId="50010" xr:uid="{00000000-0005-0000-0000-0000CF6C0000}"/>
    <cellStyle name="Normal 19 2 2 6 3 3" xfId="33910" xr:uid="{00000000-0005-0000-0000-0000D06C0000}"/>
    <cellStyle name="Normal 19 2 2 6 3 4" xfId="24341" xr:uid="{00000000-0005-0000-0000-0000D16C0000}"/>
    <cellStyle name="Normal 19 2 2 6 4" xfId="5664" xr:uid="{00000000-0005-0000-0000-0000D26C0000}"/>
    <cellStyle name="Normal 19 2 2 6 4 2" xfId="53505" xr:uid="{00000000-0005-0000-0000-0000D36C0000}"/>
    <cellStyle name="Normal 19 2 2 6 4 3" xfId="37405" xr:uid="{00000000-0005-0000-0000-0000D46C0000}"/>
    <cellStyle name="Normal 19 2 2 6 4 4" xfId="18269" xr:uid="{00000000-0005-0000-0000-0000D56C0000}"/>
    <cellStyle name="Normal 19 2 2 6 5" xfId="43938" xr:uid="{00000000-0005-0000-0000-0000D66C0000}"/>
    <cellStyle name="Normal 19 2 2 6 6" xfId="27838" xr:uid="{00000000-0005-0000-0000-0000D76C0000}"/>
    <cellStyle name="Normal 19 2 2 6 7" xfId="14774" xr:uid="{00000000-0005-0000-0000-0000D86C0000}"/>
    <cellStyle name="Normal 19 2 2 7" xfId="1131" xr:uid="{00000000-0005-0000-0000-0000D96C0000}"/>
    <cellStyle name="Normal 19 2 2 7 2" xfId="7665" xr:uid="{00000000-0005-0000-0000-0000DA6C0000}"/>
    <cellStyle name="Normal 19 2 2 7 2 2" xfId="39406" xr:uid="{00000000-0005-0000-0000-0000DB6C0000}"/>
    <cellStyle name="Normal 19 2 2 7 2 2 2" xfId="55506" xr:uid="{00000000-0005-0000-0000-0000DC6C0000}"/>
    <cellStyle name="Normal 19 2 2 7 2 3" xfId="45939" xr:uid="{00000000-0005-0000-0000-0000DD6C0000}"/>
    <cellStyle name="Normal 19 2 2 7 2 4" xfId="29839" xr:uid="{00000000-0005-0000-0000-0000DE6C0000}"/>
    <cellStyle name="Normal 19 2 2 7 2 5" xfId="20270" xr:uid="{00000000-0005-0000-0000-0000DF6C0000}"/>
    <cellStyle name="Normal 19 2 2 7 3" xfId="10701" xr:uid="{00000000-0005-0000-0000-0000E06C0000}"/>
    <cellStyle name="Normal 19 2 2 7 3 2" xfId="48975" xr:uid="{00000000-0005-0000-0000-0000E16C0000}"/>
    <cellStyle name="Normal 19 2 2 7 3 3" xfId="32875" xr:uid="{00000000-0005-0000-0000-0000E26C0000}"/>
    <cellStyle name="Normal 19 2 2 7 3 4" xfId="23306" xr:uid="{00000000-0005-0000-0000-0000E36C0000}"/>
    <cellStyle name="Normal 19 2 2 7 4" xfId="4629" xr:uid="{00000000-0005-0000-0000-0000E46C0000}"/>
    <cellStyle name="Normal 19 2 2 7 4 2" xfId="52470" xr:uid="{00000000-0005-0000-0000-0000E56C0000}"/>
    <cellStyle name="Normal 19 2 2 7 4 3" xfId="36370" xr:uid="{00000000-0005-0000-0000-0000E66C0000}"/>
    <cellStyle name="Normal 19 2 2 7 4 4" xfId="17234" xr:uid="{00000000-0005-0000-0000-0000E76C0000}"/>
    <cellStyle name="Normal 19 2 2 7 5" xfId="42903" xr:uid="{00000000-0005-0000-0000-0000E86C0000}"/>
    <cellStyle name="Normal 19 2 2 7 6" xfId="26803" xr:uid="{00000000-0005-0000-0000-0000E96C0000}"/>
    <cellStyle name="Normal 19 2 2 7 7" xfId="13739" xr:uid="{00000000-0005-0000-0000-0000EA6C0000}"/>
    <cellStyle name="Normal 19 2 2 8" xfId="3619" xr:uid="{00000000-0005-0000-0000-0000EB6C0000}"/>
    <cellStyle name="Normal 19 2 2 8 2" xfId="35360" xr:uid="{00000000-0005-0000-0000-0000EC6C0000}"/>
    <cellStyle name="Normal 19 2 2 8 2 2" xfId="51460" xr:uid="{00000000-0005-0000-0000-0000ED6C0000}"/>
    <cellStyle name="Normal 19 2 2 8 3" xfId="41893" xr:uid="{00000000-0005-0000-0000-0000EE6C0000}"/>
    <cellStyle name="Normal 19 2 2 8 4" xfId="25793" xr:uid="{00000000-0005-0000-0000-0000EF6C0000}"/>
    <cellStyle name="Normal 19 2 2 8 5" xfId="16224" xr:uid="{00000000-0005-0000-0000-0000F06C0000}"/>
    <cellStyle name="Normal 19 2 2 9" xfId="6655" xr:uid="{00000000-0005-0000-0000-0000F16C0000}"/>
    <cellStyle name="Normal 19 2 2 9 2" xfId="38396" xr:uid="{00000000-0005-0000-0000-0000F26C0000}"/>
    <cellStyle name="Normal 19 2 2 9 2 2" xfId="54496" xr:uid="{00000000-0005-0000-0000-0000F36C0000}"/>
    <cellStyle name="Normal 19 2 2 9 3" xfId="44929" xr:uid="{00000000-0005-0000-0000-0000F46C0000}"/>
    <cellStyle name="Normal 19 2 2 9 4" xfId="28829" xr:uid="{00000000-0005-0000-0000-0000F56C0000}"/>
    <cellStyle name="Normal 19 2 2 9 5" xfId="19260" xr:uid="{00000000-0005-0000-0000-0000F66C0000}"/>
    <cellStyle name="Normal 19 2 3" xfId="107" xr:uid="{00000000-0005-0000-0000-0000F76C0000}"/>
    <cellStyle name="Normal 19 2 3 10" xfId="41625" xr:uid="{00000000-0005-0000-0000-0000F86C0000}"/>
    <cellStyle name="Normal 19 2 3 11" xfId="25525" xr:uid="{00000000-0005-0000-0000-0000F96C0000}"/>
    <cellStyle name="Normal 19 2 3 12" xfId="12940" xr:uid="{00000000-0005-0000-0000-0000FA6C0000}"/>
    <cellStyle name="Normal 19 2 3 2" xfId="288" xr:uid="{00000000-0005-0000-0000-0000FB6C0000}"/>
    <cellStyle name="Normal 19 2 3 2 2" xfId="2307" xr:uid="{00000000-0005-0000-0000-0000FC6C0000}"/>
    <cellStyle name="Normal 19 2 3 2 2 2" xfId="8841" xr:uid="{00000000-0005-0000-0000-0000FD6C0000}"/>
    <cellStyle name="Normal 19 2 3 2 2 2 2" xfId="40582" xr:uid="{00000000-0005-0000-0000-0000FE6C0000}"/>
    <cellStyle name="Normal 19 2 3 2 2 2 2 2" xfId="56682" xr:uid="{00000000-0005-0000-0000-0000FF6C0000}"/>
    <cellStyle name="Normal 19 2 3 2 2 2 3" xfId="47115" xr:uid="{00000000-0005-0000-0000-0000006D0000}"/>
    <cellStyle name="Normal 19 2 3 2 2 2 4" xfId="31015" xr:uid="{00000000-0005-0000-0000-0000016D0000}"/>
    <cellStyle name="Normal 19 2 3 2 2 2 5" xfId="21446" xr:uid="{00000000-0005-0000-0000-0000026D0000}"/>
    <cellStyle name="Normal 19 2 3 2 2 3" xfId="11877" xr:uid="{00000000-0005-0000-0000-0000036D0000}"/>
    <cellStyle name="Normal 19 2 3 2 2 3 2" xfId="50151" xr:uid="{00000000-0005-0000-0000-0000046D0000}"/>
    <cellStyle name="Normal 19 2 3 2 2 3 3" xfId="34051" xr:uid="{00000000-0005-0000-0000-0000056D0000}"/>
    <cellStyle name="Normal 19 2 3 2 2 3 4" xfId="24482" xr:uid="{00000000-0005-0000-0000-0000066D0000}"/>
    <cellStyle name="Normal 19 2 3 2 2 4" xfId="5805" xr:uid="{00000000-0005-0000-0000-0000076D0000}"/>
    <cellStyle name="Normal 19 2 3 2 2 4 2" xfId="53646" xr:uid="{00000000-0005-0000-0000-0000086D0000}"/>
    <cellStyle name="Normal 19 2 3 2 2 4 3" xfId="37546" xr:uid="{00000000-0005-0000-0000-0000096D0000}"/>
    <cellStyle name="Normal 19 2 3 2 2 4 4" xfId="18410" xr:uid="{00000000-0005-0000-0000-00000A6D0000}"/>
    <cellStyle name="Normal 19 2 3 2 2 5" xfId="44079" xr:uid="{00000000-0005-0000-0000-00000B6D0000}"/>
    <cellStyle name="Normal 19 2 3 2 2 6" xfId="27979" xr:uid="{00000000-0005-0000-0000-00000C6D0000}"/>
    <cellStyle name="Normal 19 2 3 2 2 7" xfId="14915" xr:uid="{00000000-0005-0000-0000-00000D6D0000}"/>
    <cellStyle name="Normal 19 2 3 2 3" xfId="1519" xr:uid="{00000000-0005-0000-0000-00000E6D0000}"/>
    <cellStyle name="Normal 19 2 3 2 3 2" xfId="8053" xr:uid="{00000000-0005-0000-0000-00000F6D0000}"/>
    <cellStyle name="Normal 19 2 3 2 3 2 2" xfId="39794" xr:uid="{00000000-0005-0000-0000-0000106D0000}"/>
    <cellStyle name="Normal 19 2 3 2 3 2 2 2" xfId="55894" xr:uid="{00000000-0005-0000-0000-0000116D0000}"/>
    <cellStyle name="Normal 19 2 3 2 3 2 3" xfId="46327" xr:uid="{00000000-0005-0000-0000-0000126D0000}"/>
    <cellStyle name="Normal 19 2 3 2 3 2 4" xfId="30227" xr:uid="{00000000-0005-0000-0000-0000136D0000}"/>
    <cellStyle name="Normal 19 2 3 2 3 2 5" xfId="20658" xr:uid="{00000000-0005-0000-0000-0000146D0000}"/>
    <cellStyle name="Normal 19 2 3 2 3 3" xfId="11089" xr:uid="{00000000-0005-0000-0000-0000156D0000}"/>
    <cellStyle name="Normal 19 2 3 2 3 3 2" xfId="49363" xr:uid="{00000000-0005-0000-0000-0000166D0000}"/>
    <cellStyle name="Normal 19 2 3 2 3 3 3" xfId="33263" xr:uid="{00000000-0005-0000-0000-0000176D0000}"/>
    <cellStyle name="Normal 19 2 3 2 3 3 4" xfId="23694" xr:uid="{00000000-0005-0000-0000-0000186D0000}"/>
    <cellStyle name="Normal 19 2 3 2 3 4" xfId="5017" xr:uid="{00000000-0005-0000-0000-0000196D0000}"/>
    <cellStyle name="Normal 19 2 3 2 3 4 2" xfId="52858" xr:uid="{00000000-0005-0000-0000-00001A6D0000}"/>
    <cellStyle name="Normal 19 2 3 2 3 4 3" xfId="36758" xr:uid="{00000000-0005-0000-0000-00001B6D0000}"/>
    <cellStyle name="Normal 19 2 3 2 3 4 4" xfId="17622" xr:uid="{00000000-0005-0000-0000-00001C6D0000}"/>
    <cellStyle name="Normal 19 2 3 2 3 5" xfId="43291" xr:uid="{00000000-0005-0000-0000-00001D6D0000}"/>
    <cellStyle name="Normal 19 2 3 2 3 6" xfId="27191" xr:uid="{00000000-0005-0000-0000-00001E6D0000}"/>
    <cellStyle name="Normal 19 2 3 2 3 7" xfId="14127" xr:uid="{00000000-0005-0000-0000-00001F6D0000}"/>
    <cellStyle name="Normal 19 2 3 2 4" xfId="7043" xr:uid="{00000000-0005-0000-0000-0000206D0000}"/>
    <cellStyle name="Normal 19 2 3 2 4 2" xfId="38784" xr:uid="{00000000-0005-0000-0000-0000216D0000}"/>
    <cellStyle name="Normal 19 2 3 2 4 2 2" xfId="54884" xr:uid="{00000000-0005-0000-0000-0000226D0000}"/>
    <cellStyle name="Normal 19 2 3 2 4 3" xfId="45317" xr:uid="{00000000-0005-0000-0000-0000236D0000}"/>
    <cellStyle name="Normal 19 2 3 2 4 4" xfId="29217" xr:uid="{00000000-0005-0000-0000-0000246D0000}"/>
    <cellStyle name="Normal 19 2 3 2 4 5" xfId="19648" xr:uid="{00000000-0005-0000-0000-0000256D0000}"/>
    <cellStyle name="Normal 19 2 3 2 5" xfId="10079" xr:uid="{00000000-0005-0000-0000-0000266D0000}"/>
    <cellStyle name="Normal 19 2 3 2 5 2" xfId="48353" xr:uid="{00000000-0005-0000-0000-0000276D0000}"/>
    <cellStyle name="Normal 19 2 3 2 5 3" xfId="32253" xr:uid="{00000000-0005-0000-0000-0000286D0000}"/>
    <cellStyle name="Normal 19 2 3 2 5 4" xfId="22684" xr:uid="{00000000-0005-0000-0000-0000296D0000}"/>
    <cellStyle name="Normal 19 2 3 2 6" xfId="4007" xr:uid="{00000000-0005-0000-0000-00002A6D0000}"/>
    <cellStyle name="Normal 19 2 3 2 6 2" xfId="51848" xr:uid="{00000000-0005-0000-0000-00002B6D0000}"/>
    <cellStyle name="Normal 19 2 3 2 6 3" xfId="35748" xr:uid="{00000000-0005-0000-0000-00002C6D0000}"/>
    <cellStyle name="Normal 19 2 3 2 6 4" xfId="16612" xr:uid="{00000000-0005-0000-0000-00002D6D0000}"/>
    <cellStyle name="Normal 19 2 3 2 7" xfId="42281" xr:uid="{00000000-0005-0000-0000-00002E6D0000}"/>
    <cellStyle name="Normal 19 2 3 2 8" xfId="26181" xr:uid="{00000000-0005-0000-0000-00002F6D0000}"/>
    <cellStyle name="Normal 19 2 3 2 9" xfId="13117" xr:uid="{00000000-0005-0000-0000-0000306D0000}"/>
    <cellStyle name="Normal 19 2 3 3" xfId="980" xr:uid="{00000000-0005-0000-0000-0000316D0000}"/>
    <cellStyle name="Normal 19 2 3 3 2" xfId="3008" xr:uid="{00000000-0005-0000-0000-0000326D0000}"/>
    <cellStyle name="Normal 19 2 3 3 2 2" xfId="9540" xr:uid="{00000000-0005-0000-0000-0000336D0000}"/>
    <cellStyle name="Normal 19 2 3 3 2 2 2" xfId="41281" xr:uid="{00000000-0005-0000-0000-0000346D0000}"/>
    <cellStyle name="Normal 19 2 3 3 2 2 2 2" xfId="57381" xr:uid="{00000000-0005-0000-0000-0000356D0000}"/>
    <cellStyle name="Normal 19 2 3 3 2 2 3" xfId="47814" xr:uid="{00000000-0005-0000-0000-0000366D0000}"/>
    <cellStyle name="Normal 19 2 3 3 2 2 4" xfId="31714" xr:uid="{00000000-0005-0000-0000-0000376D0000}"/>
    <cellStyle name="Normal 19 2 3 3 2 2 5" xfId="22145" xr:uid="{00000000-0005-0000-0000-0000386D0000}"/>
    <cellStyle name="Normal 19 2 3 3 2 3" xfId="12576" xr:uid="{00000000-0005-0000-0000-0000396D0000}"/>
    <cellStyle name="Normal 19 2 3 3 2 3 2" xfId="50850" xr:uid="{00000000-0005-0000-0000-00003A6D0000}"/>
    <cellStyle name="Normal 19 2 3 3 2 3 3" xfId="34750" xr:uid="{00000000-0005-0000-0000-00003B6D0000}"/>
    <cellStyle name="Normal 19 2 3 3 2 3 4" xfId="25181" xr:uid="{00000000-0005-0000-0000-00003C6D0000}"/>
    <cellStyle name="Normal 19 2 3 3 2 4" xfId="6504" xr:uid="{00000000-0005-0000-0000-00003D6D0000}"/>
    <cellStyle name="Normal 19 2 3 3 2 4 2" xfId="54345" xr:uid="{00000000-0005-0000-0000-00003E6D0000}"/>
    <cellStyle name="Normal 19 2 3 3 2 4 3" xfId="38245" xr:uid="{00000000-0005-0000-0000-00003F6D0000}"/>
    <cellStyle name="Normal 19 2 3 3 2 4 4" xfId="19109" xr:uid="{00000000-0005-0000-0000-0000406D0000}"/>
    <cellStyle name="Normal 19 2 3 3 2 5" xfId="44778" xr:uid="{00000000-0005-0000-0000-0000416D0000}"/>
    <cellStyle name="Normal 19 2 3 3 2 6" xfId="28678" xr:uid="{00000000-0005-0000-0000-0000426D0000}"/>
    <cellStyle name="Normal 19 2 3 3 2 7" xfId="15614" xr:uid="{00000000-0005-0000-0000-0000436D0000}"/>
    <cellStyle name="Normal 19 2 3 3 3" xfId="1990" xr:uid="{00000000-0005-0000-0000-0000446D0000}"/>
    <cellStyle name="Normal 19 2 3 3 3 2" xfId="8524" xr:uid="{00000000-0005-0000-0000-0000456D0000}"/>
    <cellStyle name="Normal 19 2 3 3 3 2 2" xfId="40265" xr:uid="{00000000-0005-0000-0000-0000466D0000}"/>
    <cellStyle name="Normal 19 2 3 3 3 2 2 2" xfId="56365" xr:uid="{00000000-0005-0000-0000-0000476D0000}"/>
    <cellStyle name="Normal 19 2 3 3 3 2 3" xfId="46798" xr:uid="{00000000-0005-0000-0000-0000486D0000}"/>
    <cellStyle name="Normal 19 2 3 3 3 2 4" xfId="30698" xr:uid="{00000000-0005-0000-0000-0000496D0000}"/>
    <cellStyle name="Normal 19 2 3 3 3 2 5" xfId="21129" xr:uid="{00000000-0005-0000-0000-00004A6D0000}"/>
    <cellStyle name="Normal 19 2 3 3 3 3" xfId="11560" xr:uid="{00000000-0005-0000-0000-00004B6D0000}"/>
    <cellStyle name="Normal 19 2 3 3 3 3 2" xfId="49834" xr:uid="{00000000-0005-0000-0000-00004C6D0000}"/>
    <cellStyle name="Normal 19 2 3 3 3 3 3" xfId="33734" xr:uid="{00000000-0005-0000-0000-00004D6D0000}"/>
    <cellStyle name="Normal 19 2 3 3 3 3 4" xfId="24165" xr:uid="{00000000-0005-0000-0000-00004E6D0000}"/>
    <cellStyle name="Normal 19 2 3 3 3 4" xfId="5488" xr:uid="{00000000-0005-0000-0000-00004F6D0000}"/>
    <cellStyle name="Normal 19 2 3 3 3 4 2" xfId="53329" xr:uid="{00000000-0005-0000-0000-0000506D0000}"/>
    <cellStyle name="Normal 19 2 3 3 3 4 3" xfId="37229" xr:uid="{00000000-0005-0000-0000-0000516D0000}"/>
    <cellStyle name="Normal 19 2 3 3 3 4 4" xfId="18093" xr:uid="{00000000-0005-0000-0000-0000526D0000}"/>
    <cellStyle name="Normal 19 2 3 3 3 5" xfId="43762" xr:uid="{00000000-0005-0000-0000-0000536D0000}"/>
    <cellStyle name="Normal 19 2 3 3 3 6" xfId="27662" xr:uid="{00000000-0005-0000-0000-0000546D0000}"/>
    <cellStyle name="Normal 19 2 3 3 3 7" xfId="14598" xr:uid="{00000000-0005-0000-0000-0000556D0000}"/>
    <cellStyle name="Normal 19 2 3 3 4" xfId="7514" xr:uid="{00000000-0005-0000-0000-0000566D0000}"/>
    <cellStyle name="Normal 19 2 3 3 4 2" xfId="39255" xr:uid="{00000000-0005-0000-0000-0000576D0000}"/>
    <cellStyle name="Normal 19 2 3 3 4 2 2" xfId="55355" xr:uid="{00000000-0005-0000-0000-0000586D0000}"/>
    <cellStyle name="Normal 19 2 3 3 4 3" xfId="45788" xr:uid="{00000000-0005-0000-0000-0000596D0000}"/>
    <cellStyle name="Normal 19 2 3 3 4 4" xfId="29688" xr:uid="{00000000-0005-0000-0000-00005A6D0000}"/>
    <cellStyle name="Normal 19 2 3 3 4 5" xfId="20119" xr:uid="{00000000-0005-0000-0000-00005B6D0000}"/>
    <cellStyle name="Normal 19 2 3 3 5" xfId="10550" xr:uid="{00000000-0005-0000-0000-00005C6D0000}"/>
    <cellStyle name="Normal 19 2 3 3 5 2" xfId="48824" xr:uid="{00000000-0005-0000-0000-00005D6D0000}"/>
    <cellStyle name="Normal 19 2 3 3 5 3" xfId="32724" xr:uid="{00000000-0005-0000-0000-00005E6D0000}"/>
    <cellStyle name="Normal 19 2 3 3 5 4" xfId="23155" xr:uid="{00000000-0005-0000-0000-00005F6D0000}"/>
    <cellStyle name="Normal 19 2 3 3 6" xfId="4478" xr:uid="{00000000-0005-0000-0000-0000606D0000}"/>
    <cellStyle name="Normal 19 2 3 3 6 2" xfId="52319" xr:uid="{00000000-0005-0000-0000-0000616D0000}"/>
    <cellStyle name="Normal 19 2 3 3 6 3" xfId="36219" xr:uid="{00000000-0005-0000-0000-0000626D0000}"/>
    <cellStyle name="Normal 19 2 3 3 6 4" xfId="17083" xr:uid="{00000000-0005-0000-0000-0000636D0000}"/>
    <cellStyle name="Normal 19 2 3 3 7" xfId="42752" xr:uid="{00000000-0005-0000-0000-0000646D0000}"/>
    <cellStyle name="Normal 19 2 3 3 8" xfId="26652" xr:uid="{00000000-0005-0000-0000-0000656D0000}"/>
    <cellStyle name="Normal 19 2 3 3 9" xfId="13588" xr:uid="{00000000-0005-0000-0000-0000666D0000}"/>
    <cellStyle name="Normal 19 2 3 4" xfId="2130" xr:uid="{00000000-0005-0000-0000-0000676D0000}"/>
    <cellStyle name="Normal 19 2 3 4 2" xfId="8664" xr:uid="{00000000-0005-0000-0000-0000686D0000}"/>
    <cellStyle name="Normal 19 2 3 4 2 2" xfId="40405" xr:uid="{00000000-0005-0000-0000-0000696D0000}"/>
    <cellStyle name="Normal 19 2 3 4 2 2 2" xfId="56505" xr:uid="{00000000-0005-0000-0000-00006A6D0000}"/>
    <cellStyle name="Normal 19 2 3 4 2 3" xfId="46938" xr:uid="{00000000-0005-0000-0000-00006B6D0000}"/>
    <cellStyle name="Normal 19 2 3 4 2 4" xfId="30838" xr:uid="{00000000-0005-0000-0000-00006C6D0000}"/>
    <cellStyle name="Normal 19 2 3 4 2 5" xfId="21269" xr:uid="{00000000-0005-0000-0000-00006D6D0000}"/>
    <cellStyle name="Normal 19 2 3 4 3" xfId="11700" xr:uid="{00000000-0005-0000-0000-00006E6D0000}"/>
    <cellStyle name="Normal 19 2 3 4 3 2" xfId="49974" xr:uid="{00000000-0005-0000-0000-00006F6D0000}"/>
    <cellStyle name="Normal 19 2 3 4 3 3" xfId="33874" xr:uid="{00000000-0005-0000-0000-0000706D0000}"/>
    <cellStyle name="Normal 19 2 3 4 3 4" xfId="24305" xr:uid="{00000000-0005-0000-0000-0000716D0000}"/>
    <cellStyle name="Normal 19 2 3 4 4" xfId="5628" xr:uid="{00000000-0005-0000-0000-0000726D0000}"/>
    <cellStyle name="Normal 19 2 3 4 4 2" xfId="53469" xr:uid="{00000000-0005-0000-0000-0000736D0000}"/>
    <cellStyle name="Normal 19 2 3 4 4 3" xfId="37369" xr:uid="{00000000-0005-0000-0000-0000746D0000}"/>
    <cellStyle name="Normal 19 2 3 4 4 4" xfId="18233" xr:uid="{00000000-0005-0000-0000-0000756D0000}"/>
    <cellStyle name="Normal 19 2 3 4 5" xfId="43902" xr:uid="{00000000-0005-0000-0000-0000766D0000}"/>
    <cellStyle name="Normal 19 2 3 4 6" xfId="27802" xr:uid="{00000000-0005-0000-0000-0000776D0000}"/>
    <cellStyle name="Normal 19 2 3 4 7" xfId="14738" xr:uid="{00000000-0005-0000-0000-0000786D0000}"/>
    <cellStyle name="Normal 19 2 3 5" xfId="1342" xr:uid="{00000000-0005-0000-0000-0000796D0000}"/>
    <cellStyle name="Normal 19 2 3 5 2" xfId="7876" xr:uid="{00000000-0005-0000-0000-00007A6D0000}"/>
    <cellStyle name="Normal 19 2 3 5 2 2" xfId="39617" xr:uid="{00000000-0005-0000-0000-00007B6D0000}"/>
    <cellStyle name="Normal 19 2 3 5 2 2 2" xfId="55717" xr:uid="{00000000-0005-0000-0000-00007C6D0000}"/>
    <cellStyle name="Normal 19 2 3 5 2 3" xfId="46150" xr:uid="{00000000-0005-0000-0000-00007D6D0000}"/>
    <cellStyle name="Normal 19 2 3 5 2 4" xfId="30050" xr:uid="{00000000-0005-0000-0000-00007E6D0000}"/>
    <cellStyle name="Normal 19 2 3 5 2 5" xfId="20481" xr:uid="{00000000-0005-0000-0000-00007F6D0000}"/>
    <cellStyle name="Normal 19 2 3 5 3" xfId="10912" xr:uid="{00000000-0005-0000-0000-0000806D0000}"/>
    <cellStyle name="Normal 19 2 3 5 3 2" xfId="49186" xr:uid="{00000000-0005-0000-0000-0000816D0000}"/>
    <cellStyle name="Normal 19 2 3 5 3 3" xfId="33086" xr:uid="{00000000-0005-0000-0000-0000826D0000}"/>
    <cellStyle name="Normal 19 2 3 5 3 4" xfId="23517" xr:uid="{00000000-0005-0000-0000-0000836D0000}"/>
    <cellStyle name="Normal 19 2 3 5 4" xfId="4840" xr:uid="{00000000-0005-0000-0000-0000846D0000}"/>
    <cellStyle name="Normal 19 2 3 5 4 2" xfId="52681" xr:uid="{00000000-0005-0000-0000-0000856D0000}"/>
    <cellStyle name="Normal 19 2 3 5 4 3" xfId="36581" xr:uid="{00000000-0005-0000-0000-0000866D0000}"/>
    <cellStyle name="Normal 19 2 3 5 4 4" xfId="17445" xr:uid="{00000000-0005-0000-0000-0000876D0000}"/>
    <cellStyle name="Normal 19 2 3 5 5" xfId="43114" xr:uid="{00000000-0005-0000-0000-0000886D0000}"/>
    <cellStyle name="Normal 19 2 3 5 6" xfId="27014" xr:uid="{00000000-0005-0000-0000-0000896D0000}"/>
    <cellStyle name="Normal 19 2 3 5 7" xfId="13950" xr:uid="{00000000-0005-0000-0000-00008A6D0000}"/>
    <cellStyle name="Normal 19 2 3 6" xfId="3830" xr:uid="{00000000-0005-0000-0000-00008B6D0000}"/>
    <cellStyle name="Normal 19 2 3 6 2" xfId="35571" xr:uid="{00000000-0005-0000-0000-00008C6D0000}"/>
    <cellStyle name="Normal 19 2 3 6 2 2" xfId="51671" xr:uid="{00000000-0005-0000-0000-00008D6D0000}"/>
    <cellStyle name="Normal 19 2 3 6 3" xfId="42104" xr:uid="{00000000-0005-0000-0000-00008E6D0000}"/>
    <cellStyle name="Normal 19 2 3 6 4" xfId="26004" xr:uid="{00000000-0005-0000-0000-00008F6D0000}"/>
    <cellStyle name="Normal 19 2 3 6 5" xfId="16435" xr:uid="{00000000-0005-0000-0000-0000906D0000}"/>
    <cellStyle name="Normal 19 2 3 7" xfId="6866" xr:uid="{00000000-0005-0000-0000-0000916D0000}"/>
    <cellStyle name="Normal 19 2 3 7 2" xfId="38607" xr:uid="{00000000-0005-0000-0000-0000926D0000}"/>
    <cellStyle name="Normal 19 2 3 7 2 2" xfId="54707" xr:uid="{00000000-0005-0000-0000-0000936D0000}"/>
    <cellStyle name="Normal 19 2 3 7 3" xfId="45140" xr:uid="{00000000-0005-0000-0000-0000946D0000}"/>
    <cellStyle name="Normal 19 2 3 7 4" xfId="29040" xr:uid="{00000000-0005-0000-0000-0000956D0000}"/>
    <cellStyle name="Normal 19 2 3 7 5" xfId="19471" xr:uid="{00000000-0005-0000-0000-0000966D0000}"/>
    <cellStyle name="Normal 19 2 3 8" xfId="9902" xr:uid="{00000000-0005-0000-0000-0000976D0000}"/>
    <cellStyle name="Normal 19 2 3 8 2" xfId="48176" xr:uid="{00000000-0005-0000-0000-0000986D0000}"/>
    <cellStyle name="Normal 19 2 3 8 3" xfId="32076" xr:uid="{00000000-0005-0000-0000-0000996D0000}"/>
    <cellStyle name="Normal 19 2 3 8 4" xfId="22507" xr:uid="{00000000-0005-0000-0000-00009A6D0000}"/>
    <cellStyle name="Normal 19 2 3 9" xfId="3351" xr:uid="{00000000-0005-0000-0000-00009B6D0000}"/>
    <cellStyle name="Normal 19 2 3 9 2" xfId="51192" xr:uid="{00000000-0005-0000-0000-00009C6D0000}"/>
    <cellStyle name="Normal 19 2 3 9 3" xfId="35092" xr:uid="{00000000-0005-0000-0000-00009D6D0000}"/>
    <cellStyle name="Normal 19 2 3 9 4" xfId="15956" xr:uid="{00000000-0005-0000-0000-00009E6D0000}"/>
    <cellStyle name="Normal 19 2 4" xfId="182" xr:uid="{00000000-0005-0000-0000-00009F6D0000}"/>
    <cellStyle name="Normal 19 2 4 10" xfId="26075" xr:uid="{00000000-0005-0000-0000-0000A06D0000}"/>
    <cellStyle name="Normal 19 2 4 11" xfId="13011" xr:uid="{00000000-0005-0000-0000-0000A16D0000}"/>
    <cellStyle name="Normal 19 2 4 2" xfId="359" xr:uid="{00000000-0005-0000-0000-0000A26D0000}"/>
    <cellStyle name="Normal 19 2 4 2 2" xfId="2378" xr:uid="{00000000-0005-0000-0000-0000A36D0000}"/>
    <cellStyle name="Normal 19 2 4 2 2 2" xfId="8912" xr:uid="{00000000-0005-0000-0000-0000A46D0000}"/>
    <cellStyle name="Normal 19 2 4 2 2 2 2" xfId="40653" xr:uid="{00000000-0005-0000-0000-0000A56D0000}"/>
    <cellStyle name="Normal 19 2 4 2 2 2 2 2" xfId="56753" xr:uid="{00000000-0005-0000-0000-0000A66D0000}"/>
    <cellStyle name="Normal 19 2 4 2 2 2 3" xfId="47186" xr:uid="{00000000-0005-0000-0000-0000A76D0000}"/>
    <cellStyle name="Normal 19 2 4 2 2 2 4" xfId="31086" xr:uid="{00000000-0005-0000-0000-0000A86D0000}"/>
    <cellStyle name="Normal 19 2 4 2 2 2 5" xfId="21517" xr:uid="{00000000-0005-0000-0000-0000A96D0000}"/>
    <cellStyle name="Normal 19 2 4 2 2 3" xfId="11948" xr:uid="{00000000-0005-0000-0000-0000AA6D0000}"/>
    <cellStyle name="Normal 19 2 4 2 2 3 2" xfId="50222" xr:uid="{00000000-0005-0000-0000-0000AB6D0000}"/>
    <cellStyle name="Normal 19 2 4 2 2 3 3" xfId="34122" xr:uid="{00000000-0005-0000-0000-0000AC6D0000}"/>
    <cellStyle name="Normal 19 2 4 2 2 3 4" xfId="24553" xr:uid="{00000000-0005-0000-0000-0000AD6D0000}"/>
    <cellStyle name="Normal 19 2 4 2 2 4" xfId="5876" xr:uid="{00000000-0005-0000-0000-0000AE6D0000}"/>
    <cellStyle name="Normal 19 2 4 2 2 4 2" xfId="53717" xr:uid="{00000000-0005-0000-0000-0000AF6D0000}"/>
    <cellStyle name="Normal 19 2 4 2 2 4 3" xfId="37617" xr:uid="{00000000-0005-0000-0000-0000B06D0000}"/>
    <cellStyle name="Normal 19 2 4 2 2 4 4" xfId="18481" xr:uid="{00000000-0005-0000-0000-0000B16D0000}"/>
    <cellStyle name="Normal 19 2 4 2 2 5" xfId="44150" xr:uid="{00000000-0005-0000-0000-0000B26D0000}"/>
    <cellStyle name="Normal 19 2 4 2 2 6" xfId="28050" xr:uid="{00000000-0005-0000-0000-0000B36D0000}"/>
    <cellStyle name="Normal 19 2 4 2 2 7" xfId="14986" xr:uid="{00000000-0005-0000-0000-0000B46D0000}"/>
    <cellStyle name="Normal 19 2 4 2 3" xfId="1590" xr:uid="{00000000-0005-0000-0000-0000B56D0000}"/>
    <cellStyle name="Normal 19 2 4 2 3 2" xfId="8124" xr:uid="{00000000-0005-0000-0000-0000B66D0000}"/>
    <cellStyle name="Normal 19 2 4 2 3 2 2" xfId="39865" xr:uid="{00000000-0005-0000-0000-0000B76D0000}"/>
    <cellStyle name="Normal 19 2 4 2 3 2 2 2" xfId="55965" xr:uid="{00000000-0005-0000-0000-0000B86D0000}"/>
    <cellStyle name="Normal 19 2 4 2 3 2 3" xfId="46398" xr:uid="{00000000-0005-0000-0000-0000B96D0000}"/>
    <cellStyle name="Normal 19 2 4 2 3 2 4" xfId="30298" xr:uid="{00000000-0005-0000-0000-0000BA6D0000}"/>
    <cellStyle name="Normal 19 2 4 2 3 2 5" xfId="20729" xr:uid="{00000000-0005-0000-0000-0000BB6D0000}"/>
    <cellStyle name="Normal 19 2 4 2 3 3" xfId="11160" xr:uid="{00000000-0005-0000-0000-0000BC6D0000}"/>
    <cellStyle name="Normal 19 2 4 2 3 3 2" xfId="49434" xr:uid="{00000000-0005-0000-0000-0000BD6D0000}"/>
    <cellStyle name="Normal 19 2 4 2 3 3 3" xfId="33334" xr:uid="{00000000-0005-0000-0000-0000BE6D0000}"/>
    <cellStyle name="Normal 19 2 4 2 3 3 4" xfId="23765" xr:uid="{00000000-0005-0000-0000-0000BF6D0000}"/>
    <cellStyle name="Normal 19 2 4 2 3 4" xfId="5088" xr:uid="{00000000-0005-0000-0000-0000C06D0000}"/>
    <cellStyle name="Normal 19 2 4 2 3 4 2" xfId="52929" xr:uid="{00000000-0005-0000-0000-0000C16D0000}"/>
    <cellStyle name="Normal 19 2 4 2 3 4 3" xfId="36829" xr:uid="{00000000-0005-0000-0000-0000C26D0000}"/>
    <cellStyle name="Normal 19 2 4 2 3 4 4" xfId="17693" xr:uid="{00000000-0005-0000-0000-0000C36D0000}"/>
    <cellStyle name="Normal 19 2 4 2 3 5" xfId="43362" xr:uid="{00000000-0005-0000-0000-0000C46D0000}"/>
    <cellStyle name="Normal 19 2 4 2 3 6" xfId="27262" xr:uid="{00000000-0005-0000-0000-0000C56D0000}"/>
    <cellStyle name="Normal 19 2 4 2 3 7" xfId="14198" xr:uid="{00000000-0005-0000-0000-0000C66D0000}"/>
    <cellStyle name="Normal 19 2 4 2 4" xfId="7114" xr:uid="{00000000-0005-0000-0000-0000C76D0000}"/>
    <cellStyle name="Normal 19 2 4 2 4 2" xfId="38855" xr:uid="{00000000-0005-0000-0000-0000C86D0000}"/>
    <cellStyle name="Normal 19 2 4 2 4 2 2" xfId="54955" xr:uid="{00000000-0005-0000-0000-0000C96D0000}"/>
    <cellStyle name="Normal 19 2 4 2 4 3" xfId="45388" xr:uid="{00000000-0005-0000-0000-0000CA6D0000}"/>
    <cellStyle name="Normal 19 2 4 2 4 4" xfId="29288" xr:uid="{00000000-0005-0000-0000-0000CB6D0000}"/>
    <cellStyle name="Normal 19 2 4 2 4 5" xfId="19719" xr:uid="{00000000-0005-0000-0000-0000CC6D0000}"/>
    <cellStyle name="Normal 19 2 4 2 5" xfId="10150" xr:uid="{00000000-0005-0000-0000-0000CD6D0000}"/>
    <cellStyle name="Normal 19 2 4 2 5 2" xfId="48424" xr:uid="{00000000-0005-0000-0000-0000CE6D0000}"/>
    <cellStyle name="Normal 19 2 4 2 5 3" xfId="32324" xr:uid="{00000000-0005-0000-0000-0000CF6D0000}"/>
    <cellStyle name="Normal 19 2 4 2 5 4" xfId="22755" xr:uid="{00000000-0005-0000-0000-0000D06D0000}"/>
    <cellStyle name="Normal 19 2 4 2 6" xfId="4078" xr:uid="{00000000-0005-0000-0000-0000D16D0000}"/>
    <cellStyle name="Normal 19 2 4 2 6 2" xfId="51919" xr:uid="{00000000-0005-0000-0000-0000D26D0000}"/>
    <cellStyle name="Normal 19 2 4 2 6 3" xfId="35819" xr:uid="{00000000-0005-0000-0000-0000D36D0000}"/>
    <cellStyle name="Normal 19 2 4 2 6 4" xfId="16683" xr:uid="{00000000-0005-0000-0000-0000D46D0000}"/>
    <cellStyle name="Normal 19 2 4 2 7" xfId="42352" xr:uid="{00000000-0005-0000-0000-0000D56D0000}"/>
    <cellStyle name="Normal 19 2 4 2 8" xfId="26252" xr:uid="{00000000-0005-0000-0000-0000D66D0000}"/>
    <cellStyle name="Normal 19 2 4 2 9" xfId="13188" xr:uid="{00000000-0005-0000-0000-0000D76D0000}"/>
    <cellStyle name="Normal 19 2 4 3" xfId="999" xr:uid="{00000000-0005-0000-0000-0000D86D0000}"/>
    <cellStyle name="Normal 19 2 4 3 2" xfId="3027" xr:uid="{00000000-0005-0000-0000-0000D96D0000}"/>
    <cellStyle name="Normal 19 2 4 3 2 2" xfId="9559" xr:uid="{00000000-0005-0000-0000-0000DA6D0000}"/>
    <cellStyle name="Normal 19 2 4 3 2 2 2" xfId="41300" xr:uid="{00000000-0005-0000-0000-0000DB6D0000}"/>
    <cellStyle name="Normal 19 2 4 3 2 2 2 2" xfId="57400" xr:uid="{00000000-0005-0000-0000-0000DC6D0000}"/>
    <cellStyle name="Normal 19 2 4 3 2 2 3" xfId="47833" xr:uid="{00000000-0005-0000-0000-0000DD6D0000}"/>
    <cellStyle name="Normal 19 2 4 3 2 2 4" xfId="31733" xr:uid="{00000000-0005-0000-0000-0000DE6D0000}"/>
    <cellStyle name="Normal 19 2 4 3 2 2 5" xfId="22164" xr:uid="{00000000-0005-0000-0000-0000DF6D0000}"/>
    <cellStyle name="Normal 19 2 4 3 2 3" xfId="12595" xr:uid="{00000000-0005-0000-0000-0000E06D0000}"/>
    <cellStyle name="Normal 19 2 4 3 2 3 2" xfId="50869" xr:uid="{00000000-0005-0000-0000-0000E16D0000}"/>
    <cellStyle name="Normal 19 2 4 3 2 3 3" xfId="34769" xr:uid="{00000000-0005-0000-0000-0000E26D0000}"/>
    <cellStyle name="Normal 19 2 4 3 2 3 4" xfId="25200" xr:uid="{00000000-0005-0000-0000-0000E36D0000}"/>
    <cellStyle name="Normal 19 2 4 3 2 4" xfId="6523" xr:uid="{00000000-0005-0000-0000-0000E46D0000}"/>
    <cellStyle name="Normal 19 2 4 3 2 4 2" xfId="54364" xr:uid="{00000000-0005-0000-0000-0000E56D0000}"/>
    <cellStyle name="Normal 19 2 4 3 2 4 3" xfId="38264" xr:uid="{00000000-0005-0000-0000-0000E66D0000}"/>
    <cellStyle name="Normal 19 2 4 3 2 4 4" xfId="19128" xr:uid="{00000000-0005-0000-0000-0000E76D0000}"/>
    <cellStyle name="Normal 19 2 4 3 2 5" xfId="44797" xr:uid="{00000000-0005-0000-0000-0000E86D0000}"/>
    <cellStyle name="Normal 19 2 4 3 2 6" xfId="28697" xr:uid="{00000000-0005-0000-0000-0000E96D0000}"/>
    <cellStyle name="Normal 19 2 4 3 2 7" xfId="15633" xr:uid="{00000000-0005-0000-0000-0000EA6D0000}"/>
    <cellStyle name="Normal 19 2 4 3 3" xfId="2009" xr:uid="{00000000-0005-0000-0000-0000EB6D0000}"/>
    <cellStyle name="Normal 19 2 4 3 3 2" xfId="8543" xr:uid="{00000000-0005-0000-0000-0000EC6D0000}"/>
    <cellStyle name="Normal 19 2 4 3 3 2 2" xfId="40284" xr:uid="{00000000-0005-0000-0000-0000ED6D0000}"/>
    <cellStyle name="Normal 19 2 4 3 3 2 2 2" xfId="56384" xr:uid="{00000000-0005-0000-0000-0000EE6D0000}"/>
    <cellStyle name="Normal 19 2 4 3 3 2 3" xfId="46817" xr:uid="{00000000-0005-0000-0000-0000EF6D0000}"/>
    <cellStyle name="Normal 19 2 4 3 3 2 4" xfId="30717" xr:uid="{00000000-0005-0000-0000-0000F06D0000}"/>
    <cellStyle name="Normal 19 2 4 3 3 2 5" xfId="21148" xr:uid="{00000000-0005-0000-0000-0000F16D0000}"/>
    <cellStyle name="Normal 19 2 4 3 3 3" xfId="11579" xr:uid="{00000000-0005-0000-0000-0000F26D0000}"/>
    <cellStyle name="Normal 19 2 4 3 3 3 2" xfId="49853" xr:uid="{00000000-0005-0000-0000-0000F36D0000}"/>
    <cellStyle name="Normal 19 2 4 3 3 3 3" xfId="33753" xr:uid="{00000000-0005-0000-0000-0000F46D0000}"/>
    <cellStyle name="Normal 19 2 4 3 3 3 4" xfId="24184" xr:uid="{00000000-0005-0000-0000-0000F56D0000}"/>
    <cellStyle name="Normal 19 2 4 3 3 4" xfId="5507" xr:uid="{00000000-0005-0000-0000-0000F66D0000}"/>
    <cellStyle name="Normal 19 2 4 3 3 4 2" xfId="53348" xr:uid="{00000000-0005-0000-0000-0000F76D0000}"/>
    <cellStyle name="Normal 19 2 4 3 3 4 3" xfId="37248" xr:uid="{00000000-0005-0000-0000-0000F86D0000}"/>
    <cellStyle name="Normal 19 2 4 3 3 4 4" xfId="18112" xr:uid="{00000000-0005-0000-0000-0000F96D0000}"/>
    <cellStyle name="Normal 19 2 4 3 3 5" xfId="43781" xr:uid="{00000000-0005-0000-0000-0000FA6D0000}"/>
    <cellStyle name="Normal 19 2 4 3 3 6" xfId="27681" xr:uid="{00000000-0005-0000-0000-0000FB6D0000}"/>
    <cellStyle name="Normal 19 2 4 3 3 7" xfId="14617" xr:uid="{00000000-0005-0000-0000-0000FC6D0000}"/>
    <cellStyle name="Normal 19 2 4 3 4" xfId="7533" xr:uid="{00000000-0005-0000-0000-0000FD6D0000}"/>
    <cellStyle name="Normal 19 2 4 3 4 2" xfId="39274" xr:uid="{00000000-0005-0000-0000-0000FE6D0000}"/>
    <cellStyle name="Normal 19 2 4 3 4 2 2" xfId="55374" xr:uid="{00000000-0005-0000-0000-0000FF6D0000}"/>
    <cellStyle name="Normal 19 2 4 3 4 3" xfId="45807" xr:uid="{00000000-0005-0000-0000-0000006E0000}"/>
    <cellStyle name="Normal 19 2 4 3 4 4" xfId="29707" xr:uid="{00000000-0005-0000-0000-0000016E0000}"/>
    <cellStyle name="Normal 19 2 4 3 4 5" xfId="20138" xr:uid="{00000000-0005-0000-0000-0000026E0000}"/>
    <cellStyle name="Normal 19 2 4 3 5" xfId="10569" xr:uid="{00000000-0005-0000-0000-0000036E0000}"/>
    <cellStyle name="Normal 19 2 4 3 5 2" xfId="48843" xr:uid="{00000000-0005-0000-0000-0000046E0000}"/>
    <cellStyle name="Normal 19 2 4 3 5 3" xfId="32743" xr:uid="{00000000-0005-0000-0000-0000056E0000}"/>
    <cellStyle name="Normal 19 2 4 3 5 4" xfId="23174" xr:uid="{00000000-0005-0000-0000-0000066E0000}"/>
    <cellStyle name="Normal 19 2 4 3 6" xfId="4497" xr:uid="{00000000-0005-0000-0000-0000076E0000}"/>
    <cellStyle name="Normal 19 2 4 3 6 2" xfId="52338" xr:uid="{00000000-0005-0000-0000-0000086E0000}"/>
    <cellStyle name="Normal 19 2 4 3 6 3" xfId="36238" xr:uid="{00000000-0005-0000-0000-0000096E0000}"/>
    <cellStyle name="Normal 19 2 4 3 6 4" xfId="17102" xr:uid="{00000000-0005-0000-0000-00000A6E0000}"/>
    <cellStyle name="Normal 19 2 4 3 7" xfId="42771" xr:uid="{00000000-0005-0000-0000-00000B6E0000}"/>
    <cellStyle name="Normal 19 2 4 3 8" xfId="26671" xr:uid="{00000000-0005-0000-0000-00000C6E0000}"/>
    <cellStyle name="Normal 19 2 4 3 9" xfId="13607" xr:uid="{00000000-0005-0000-0000-00000D6E0000}"/>
    <cellStyle name="Normal 19 2 4 4" xfId="2201" xr:uid="{00000000-0005-0000-0000-00000E6E0000}"/>
    <cellStyle name="Normal 19 2 4 4 2" xfId="8735" xr:uid="{00000000-0005-0000-0000-00000F6E0000}"/>
    <cellStyle name="Normal 19 2 4 4 2 2" xfId="40476" xr:uid="{00000000-0005-0000-0000-0000106E0000}"/>
    <cellStyle name="Normal 19 2 4 4 2 2 2" xfId="56576" xr:uid="{00000000-0005-0000-0000-0000116E0000}"/>
    <cellStyle name="Normal 19 2 4 4 2 3" xfId="47009" xr:uid="{00000000-0005-0000-0000-0000126E0000}"/>
    <cellStyle name="Normal 19 2 4 4 2 4" xfId="30909" xr:uid="{00000000-0005-0000-0000-0000136E0000}"/>
    <cellStyle name="Normal 19 2 4 4 2 5" xfId="21340" xr:uid="{00000000-0005-0000-0000-0000146E0000}"/>
    <cellStyle name="Normal 19 2 4 4 3" xfId="11771" xr:uid="{00000000-0005-0000-0000-0000156E0000}"/>
    <cellStyle name="Normal 19 2 4 4 3 2" xfId="50045" xr:uid="{00000000-0005-0000-0000-0000166E0000}"/>
    <cellStyle name="Normal 19 2 4 4 3 3" xfId="33945" xr:uid="{00000000-0005-0000-0000-0000176E0000}"/>
    <cellStyle name="Normal 19 2 4 4 3 4" xfId="24376" xr:uid="{00000000-0005-0000-0000-0000186E0000}"/>
    <cellStyle name="Normal 19 2 4 4 4" xfId="5699" xr:uid="{00000000-0005-0000-0000-0000196E0000}"/>
    <cellStyle name="Normal 19 2 4 4 4 2" xfId="53540" xr:uid="{00000000-0005-0000-0000-00001A6E0000}"/>
    <cellStyle name="Normal 19 2 4 4 4 3" xfId="37440" xr:uid="{00000000-0005-0000-0000-00001B6E0000}"/>
    <cellStyle name="Normal 19 2 4 4 4 4" xfId="18304" xr:uid="{00000000-0005-0000-0000-00001C6E0000}"/>
    <cellStyle name="Normal 19 2 4 4 5" xfId="43973" xr:uid="{00000000-0005-0000-0000-00001D6E0000}"/>
    <cellStyle name="Normal 19 2 4 4 6" xfId="27873" xr:uid="{00000000-0005-0000-0000-00001E6E0000}"/>
    <cellStyle name="Normal 19 2 4 4 7" xfId="14809" xr:uid="{00000000-0005-0000-0000-00001F6E0000}"/>
    <cellStyle name="Normal 19 2 4 5" xfId="1413" xr:uid="{00000000-0005-0000-0000-0000206E0000}"/>
    <cellStyle name="Normal 19 2 4 5 2" xfId="7947" xr:uid="{00000000-0005-0000-0000-0000216E0000}"/>
    <cellStyle name="Normal 19 2 4 5 2 2" xfId="39688" xr:uid="{00000000-0005-0000-0000-0000226E0000}"/>
    <cellStyle name="Normal 19 2 4 5 2 2 2" xfId="55788" xr:uid="{00000000-0005-0000-0000-0000236E0000}"/>
    <cellStyle name="Normal 19 2 4 5 2 3" xfId="46221" xr:uid="{00000000-0005-0000-0000-0000246E0000}"/>
    <cellStyle name="Normal 19 2 4 5 2 4" xfId="30121" xr:uid="{00000000-0005-0000-0000-0000256E0000}"/>
    <cellStyle name="Normal 19 2 4 5 2 5" xfId="20552" xr:uid="{00000000-0005-0000-0000-0000266E0000}"/>
    <cellStyle name="Normal 19 2 4 5 3" xfId="10983" xr:uid="{00000000-0005-0000-0000-0000276E0000}"/>
    <cellStyle name="Normal 19 2 4 5 3 2" xfId="49257" xr:uid="{00000000-0005-0000-0000-0000286E0000}"/>
    <cellStyle name="Normal 19 2 4 5 3 3" xfId="33157" xr:uid="{00000000-0005-0000-0000-0000296E0000}"/>
    <cellStyle name="Normal 19 2 4 5 3 4" xfId="23588" xr:uid="{00000000-0005-0000-0000-00002A6E0000}"/>
    <cellStyle name="Normal 19 2 4 5 4" xfId="4911" xr:uid="{00000000-0005-0000-0000-00002B6E0000}"/>
    <cellStyle name="Normal 19 2 4 5 4 2" xfId="52752" xr:uid="{00000000-0005-0000-0000-00002C6E0000}"/>
    <cellStyle name="Normal 19 2 4 5 4 3" xfId="36652" xr:uid="{00000000-0005-0000-0000-00002D6E0000}"/>
    <cellStyle name="Normal 19 2 4 5 4 4" xfId="17516" xr:uid="{00000000-0005-0000-0000-00002E6E0000}"/>
    <cellStyle name="Normal 19 2 4 5 5" xfId="43185" xr:uid="{00000000-0005-0000-0000-00002F6E0000}"/>
    <cellStyle name="Normal 19 2 4 5 6" xfId="27085" xr:uid="{00000000-0005-0000-0000-0000306E0000}"/>
    <cellStyle name="Normal 19 2 4 5 7" xfId="14021" xr:uid="{00000000-0005-0000-0000-0000316E0000}"/>
    <cellStyle name="Normal 19 2 4 6" xfId="6937" xr:uid="{00000000-0005-0000-0000-0000326E0000}"/>
    <cellStyle name="Normal 19 2 4 6 2" xfId="38678" xr:uid="{00000000-0005-0000-0000-0000336E0000}"/>
    <cellStyle name="Normal 19 2 4 6 2 2" xfId="54778" xr:uid="{00000000-0005-0000-0000-0000346E0000}"/>
    <cellStyle name="Normal 19 2 4 6 3" xfId="45211" xr:uid="{00000000-0005-0000-0000-0000356E0000}"/>
    <cellStyle name="Normal 19 2 4 6 4" xfId="29111" xr:uid="{00000000-0005-0000-0000-0000366E0000}"/>
    <cellStyle name="Normal 19 2 4 6 5" xfId="19542" xr:uid="{00000000-0005-0000-0000-0000376E0000}"/>
    <cellStyle name="Normal 19 2 4 7" xfId="9973" xr:uid="{00000000-0005-0000-0000-0000386E0000}"/>
    <cellStyle name="Normal 19 2 4 7 2" xfId="48247" xr:uid="{00000000-0005-0000-0000-0000396E0000}"/>
    <cellStyle name="Normal 19 2 4 7 3" xfId="32147" xr:uid="{00000000-0005-0000-0000-00003A6E0000}"/>
    <cellStyle name="Normal 19 2 4 7 4" xfId="22578" xr:uid="{00000000-0005-0000-0000-00003B6E0000}"/>
    <cellStyle name="Normal 19 2 4 8" xfId="3901" xr:uid="{00000000-0005-0000-0000-00003C6E0000}"/>
    <cellStyle name="Normal 19 2 4 8 2" xfId="51742" xr:uid="{00000000-0005-0000-0000-00003D6E0000}"/>
    <cellStyle name="Normal 19 2 4 8 3" xfId="35642" xr:uid="{00000000-0005-0000-0000-00003E6E0000}"/>
    <cellStyle name="Normal 19 2 4 8 4" xfId="16506" xr:uid="{00000000-0005-0000-0000-00003F6E0000}"/>
    <cellStyle name="Normal 19 2 4 9" xfId="42175" xr:uid="{00000000-0005-0000-0000-0000406E0000}"/>
    <cellStyle name="Normal 19 2 5" xfId="253" xr:uid="{00000000-0005-0000-0000-0000416E0000}"/>
    <cellStyle name="Normal 19 2 5 2" xfId="2272" xr:uid="{00000000-0005-0000-0000-0000426E0000}"/>
    <cellStyle name="Normal 19 2 5 2 2" xfId="8806" xr:uid="{00000000-0005-0000-0000-0000436E0000}"/>
    <cellStyle name="Normal 19 2 5 2 2 2" xfId="40547" xr:uid="{00000000-0005-0000-0000-0000446E0000}"/>
    <cellStyle name="Normal 19 2 5 2 2 2 2" xfId="56647" xr:uid="{00000000-0005-0000-0000-0000456E0000}"/>
    <cellStyle name="Normal 19 2 5 2 2 3" xfId="47080" xr:uid="{00000000-0005-0000-0000-0000466E0000}"/>
    <cellStyle name="Normal 19 2 5 2 2 4" xfId="30980" xr:uid="{00000000-0005-0000-0000-0000476E0000}"/>
    <cellStyle name="Normal 19 2 5 2 2 5" xfId="21411" xr:uid="{00000000-0005-0000-0000-0000486E0000}"/>
    <cellStyle name="Normal 19 2 5 2 3" xfId="11842" xr:uid="{00000000-0005-0000-0000-0000496E0000}"/>
    <cellStyle name="Normal 19 2 5 2 3 2" xfId="50116" xr:uid="{00000000-0005-0000-0000-00004A6E0000}"/>
    <cellStyle name="Normal 19 2 5 2 3 3" xfId="34016" xr:uid="{00000000-0005-0000-0000-00004B6E0000}"/>
    <cellStyle name="Normal 19 2 5 2 3 4" xfId="24447" xr:uid="{00000000-0005-0000-0000-00004C6E0000}"/>
    <cellStyle name="Normal 19 2 5 2 4" xfId="5770" xr:uid="{00000000-0005-0000-0000-00004D6E0000}"/>
    <cellStyle name="Normal 19 2 5 2 4 2" xfId="53611" xr:uid="{00000000-0005-0000-0000-00004E6E0000}"/>
    <cellStyle name="Normal 19 2 5 2 4 3" xfId="37511" xr:uid="{00000000-0005-0000-0000-00004F6E0000}"/>
    <cellStyle name="Normal 19 2 5 2 4 4" xfId="18375" xr:uid="{00000000-0005-0000-0000-0000506E0000}"/>
    <cellStyle name="Normal 19 2 5 2 5" xfId="44044" xr:uid="{00000000-0005-0000-0000-0000516E0000}"/>
    <cellStyle name="Normal 19 2 5 2 6" xfId="27944" xr:uid="{00000000-0005-0000-0000-0000526E0000}"/>
    <cellStyle name="Normal 19 2 5 2 7" xfId="14880" xr:uid="{00000000-0005-0000-0000-0000536E0000}"/>
    <cellStyle name="Normal 19 2 5 3" xfId="1484" xr:uid="{00000000-0005-0000-0000-0000546E0000}"/>
    <cellStyle name="Normal 19 2 5 3 2" xfId="8018" xr:uid="{00000000-0005-0000-0000-0000556E0000}"/>
    <cellStyle name="Normal 19 2 5 3 2 2" xfId="39759" xr:uid="{00000000-0005-0000-0000-0000566E0000}"/>
    <cellStyle name="Normal 19 2 5 3 2 2 2" xfId="55859" xr:uid="{00000000-0005-0000-0000-0000576E0000}"/>
    <cellStyle name="Normal 19 2 5 3 2 3" xfId="46292" xr:uid="{00000000-0005-0000-0000-0000586E0000}"/>
    <cellStyle name="Normal 19 2 5 3 2 4" xfId="30192" xr:uid="{00000000-0005-0000-0000-0000596E0000}"/>
    <cellStyle name="Normal 19 2 5 3 2 5" xfId="20623" xr:uid="{00000000-0005-0000-0000-00005A6E0000}"/>
    <cellStyle name="Normal 19 2 5 3 3" xfId="11054" xr:uid="{00000000-0005-0000-0000-00005B6E0000}"/>
    <cellStyle name="Normal 19 2 5 3 3 2" xfId="49328" xr:uid="{00000000-0005-0000-0000-00005C6E0000}"/>
    <cellStyle name="Normal 19 2 5 3 3 3" xfId="33228" xr:uid="{00000000-0005-0000-0000-00005D6E0000}"/>
    <cellStyle name="Normal 19 2 5 3 3 4" xfId="23659" xr:uid="{00000000-0005-0000-0000-00005E6E0000}"/>
    <cellStyle name="Normal 19 2 5 3 4" xfId="4982" xr:uid="{00000000-0005-0000-0000-00005F6E0000}"/>
    <cellStyle name="Normal 19 2 5 3 4 2" xfId="52823" xr:uid="{00000000-0005-0000-0000-0000606E0000}"/>
    <cellStyle name="Normal 19 2 5 3 4 3" xfId="36723" xr:uid="{00000000-0005-0000-0000-0000616E0000}"/>
    <cellStyle name="Normal 19 2 5 3 4 4" xfId="17587" xr:uid="{00000000-0005-0000-0000-0000626E0000}"/>
    <cellStyle name="Normal 19 2 5 3 5" xfId="43256" xr:uid="{00000000-0005-0000-0000-0000636E0000}"/>
    <cellStyle name="Normal 19 2 5 3 6" xfId="27156" xr:uid="{00000000-0005-0000-0000-0000646E0000}"/>
    <cellStyle name="Normal 19 2 5 3 7" xfId="14092" xr:uid="{00000000-0005-0000-0000-0000656E0000}"/>
    <cellStyle name="Normal 19 2 5 4" xfId="7008" xr:uid="{00000000-0005-0000-0000-0000666E0000}"/>
    <cellStyle name="Normal 19 2 5 4 2" xfId="38749" xr:uid="{00000000-0005-0000-0000-0000676E0000}"/>
    <cellStyle name="Normal 19 2 5 4 2 2" xfId="54849" xr:uid="{00000000-0005-0000-0000-0000686E0000}"/>
    <cellStyle name="Normal 19 2 5 4 3" xfId="45282" xr:uid="{00000000-0005-0000-0000-0000696E0000}"/>
    <cellStyle name="Normal 19 2 5 4 4" xfId="29182" xr:uid="{00000000-0005-0000-0000-00006A6E0000}"/>
    <cellStyle name="Normal 19 2 5 4 5" xfId="19613" xr:uid="{00000000-0005-0000-0000-00006B6E0000}"/>
    <cellStyle name="Normal 19 2 5 5" xfId="10044" xr:uid="{00000000-0005-0000-0000-00006C6E0000}"/>
    <cellStyle name="Normal 19 2 5 5 2" xfId="48318" xr:uid="{00000000-0005-0000-0000-00006D6E0000}"/>
    <cellStyle name="Normal 19 2 5 5 3" xfId="32218" xr:uid="{00000000-0005-0000-0000-00006E6E0000}"/>
    <cellStyle name="Normal 19 2 5 5 4" xfId="22649" xr:uid="{00000000-0005-0000-0000-00006F6E0000}"/>
    <cellStyle name="Normal 19 2 5 6" xfId="3972" xr:uid="{00000000-0005-0000-0000-0000706E0000}"/>
    <cellStyle name="Normal 19 2 5 6 2" xfId="51813" xr:uid="{00000000-0005-0000-0000-0000716E0000}"/>
    <cellStyle name="Normal 19 2 5 6 3" xfId="35713" xr:uid="{00000000-0005-0000-0000-0000726E0000}"/>
    <cellStyle name="Normal 19 2 5 6 4" xfId="16577" xr:uid="{00000000-0005-0000-0000-0000736E0000}"/>
    <cellStyle name="Normal 19 2 5 7" xfId="42246" xr:uid="{00000000-0005-0000-0000-0000746E0000}"/>
    <cellStyle name="Normal 19 2 5 8" xfId="26146" xr:uid="{00000000-0005-0000-0000-0000756E0000}"/>
    <cellStyle name="Normal 19 2 5 9" xfId="13082" xr:uid="{00000000-0005-0000-0000-0000766E0000}"/>
    <cellStyle name="Normal 19 2 6" xfId="528" xr:uid="{00000000-0005-0000-0000-0000776E0000}"/>
    <cellStyle name="Normal 19 2 6 2" xfId="2558" xr:uid="{00000000-0005-0000-0000-0000786E0000}"/>
    <cellStyle name="Normal 19 2 6 2 2" xfId="9090" xr:uid="{00000000-0005-0000-0000-0000796E0000}"/>
    <cellStyle name="Normal 19 2 6 2 2 2" xfId="40831" xr:uid="{00000000-0005-0000-0000-00007A6E0000}"/>
    <cellStyle name="Normal 19 2 6 2 2 2 2" xfId="56931" xr:uid="{00000000-0005-0000-0000-00007B6E0000}"/>
    <cellStyle name="Normal 19 2 6 2 2 3" xfId="47364" xr:uid="{00000000-0005-0000-0000-00007C6E0000}"/>
    <cellStyle name="Normal 19 2 6 2 2 4" xfId="31264" xr:uid="{00000000-0005-0000-0000-00007D6E0000}"/>
    <cellStyle name="Normal 19 2 6 2 2 5" xfId="21695" xr:uid="{00000000-0005-0000-0000-00007E6E0000}"/>
    <cellStyle name="Normal 19 2 6 2 3" xfId="12126" xr:uid="{00000000-0005-0000-0000-00007F6E0000}"/>
    <cellStyle name="Normal 19 2 6 2 3 2" xfId="50400" xr:uid="{00000000-0005-0000-0000-0000806E0000}"/>
    <cellStyle name="Normal 19 2 6 2 3 3" xfId="34300" xr:uid="{00000000-0005-0000-0000-0000816E0000}"/>
    <cellStyle name="Normal 19 2 6 2 3 4" xfId="24731" xr:uid="{00000000-0005-0000-0000-0000826E0000}"/>
    <cellStyle name="Normal 19 2 6 2 4" xfId="6054" xr:uid="{00000000-0005-0000-0000-0000836E0000}"/>
    <cellStyle name="Normal 19 2 6 2 4 2" xfId="53895" xr:uid="{00000000-0005-0000-0000-0000846E0000}"/>
    <cellStyle name="Normal 19 2 6 2 4 3" xfId="37795" xr:uid="{00000000-0005-0000-0000-0000856E0000}"/>
    <cellStyle name="Normal 19 2 6 2 4 4" xfId="18659" xr:uid="{00000000-0005-0000-0000-0000866E0000}"/>
    <cellStyle name="Normal 19 2 6 2 5" xfId="44328" xr:uid="{00000000-0005-0000-0000-0000876E0000}"/>
    <cellStyle name="Normal 19 2 6 2 6" xfId="28228" xr:uid="{00000000-0005-0000-0000-0000886E0000}"/>
    <cellStyle name="Normal 19 2 6 2 7" xfId="15164" xr:uid="{00000000-0005-0000-0000-0000896E0000}"/>
    <cellStyle name="Normal 19 2 6 3" xfId="1307" xr:uid="{00000000-0005-0000-0000-00008A6E0000}"/>
    <cellStyle name="Normal 19 2 6 3 2" xfId="7841" xr:uid="{00000000-0005-0000-0000-00008B6E0000}"/>
    <cellStyle name="Normal 19 2 6 3 2 2" xfId="39582" xr:uid="{00000000-0005-0000-0000-00008C6E0000}"/>
    <cellStyle name="Normal 19 2 6 3 2 2 2" xfId="55682" xr:uid="{00000000-0005-0000-0000-00008D6E0000}"/>
    <cellStyle name="Normal 19 2 6 3 2 3" xfId="46115" xr:uid="{00000000-0005-0000-0000-00008E6E0000}"/>
    <cellStyle name="Normal 19 2 6 3 2 4" xfId="30015" xr:uid="{00000000-0005-0000-0000-00008F6E0000}"/>
    <cellStyle name="Normal 19 2 6 3 2 5" xfId="20446" xr:uid="{00000000-0005-0000-0000-0000906E0000}"/>
    <cellStyle name="Normal 19 2 6 3 3" xfId="10877" xr:uid="{00000000-0005-0000-0000-0000916E0000}"/>
    <cellStyle name="Normal 19 2 6 3 3 2" xfId="49151" xr:uid="{00000000-0005-0000-0000-0000926E0000}"/>
    <cellStyle name="Normal 19 2 6 3 3 3" xfId="33051" xr:uid="{00000000-0005-0000-0000-0000936E0000}"/>
    <cellStyle name="Normal 19 2 6 3 3 4" xfId="23482" xr:uid="{00000000-0005-0000-0000-0000946E0000}"/>
    <cellStyle name="Normal 19 2 6 3 4" xfId="4805" xr:uid="{00000000-0005-0000-0000-0000956E0000}"/>
    <cellStyle name="Normal 19 2 6 3 4 2" xfId="52646" xr:uid="{00000000-0005-0000-0000-0000966E0000}"/>
    <cellStyle name="Normal 19 2 6 3 4 3" xfId="36546" xr:uid="{00000000-0005-0000-0000-0000976E0000}"/>
    <cellStyle name="Normal 19 2 6 3 4 4" xfId="17410" xr:uid="{00000000-0005-0000-0000-0000986E0000}"/>
    <cellStyle name="Normal 19 2 6 3 5" xfId="43079" xr:uid="{00000000-0005-0000-0000-0000996E0000}"/>
    <cellStyle name="Normal 19 2 6 3 6" xfId="26979" xr:uid="{00000000-0005-0000-0000-00009A6E0000}"/>
    <cellStyle name="Normal 19 2 6 3 7" xfId="13915" xr:uid="{00000000-0005-0000-0000-00009B6E0000}"/>
    <cellStyle name="Normal 19 2 6 4" xfId="6831" xr:uid="{00000000-0005-0000-0000-00009C6E0000}"/>
    <cellStyle name="Normal 19 2 6 4 2" xfId="38572" xr:uid="{00000000-0005-0000-0000-00009D6E0000}"/>
    <cellStyle name="Normal 19 2 6 4 2 2" xfId="54672" xr:uid="{00000000-0005-0000-0000-00009E6E0000}"/>
    <cellStyle name="Normal 19 2 6 4 3" xfId="45105" xr:uid="{00000000-0005-0000-0000-00009F6E0000}"/>
    <cellStyle name="Normal 19 2 6 4 4" xfId="29005" xr:uid="{00000000-0005-0000-0000-0000A06E0000}"/>
    <cellStyle name="Normal 19 2 6 4 5" xfId="19436" xr:uid="{00000000-0005-0000-0000-0000A16E0000}"/>
    <cellStyle name="Normal 19 2 6 5" xfId="9867" xr:uid="{00000000-0005-0000-0000-0000A26E0000}"/>
    <cellStyle name="Normal 19 2 6 5 2" xfId="48141" xr:uid="{00000000-0005-0000-0000-0000A36E0000}"/>
    <cellStyle name="Normal 19 2 6 5 3" xfId="32041" xr:uid="{00000000-0005-0000-0000-0000A46E0000}"/>
    <cellStyle name="Normal 19 2 6 5 4" xfId="22472" xr:uid="{00000000-0005-0000-0000-0000A56E0000}"/>
    <cellStyle name="Normal 19 2 6 6" xfId="3795" xr:uid="{00000000-0005-0000-0000-0000A66E0000}"/>
    <cellStyle name="Normal 19 2 6 6 2" xfId="51636" xr:uid="{00000000-0005-0000-0000-0000A76E0000}"/>
    <cellStyle name="Normal 19 2 6 6 3" xfId="35536" xr:uid="{00000000-0005-0000-0000-0000A86E0000}"/>
    <cellStyle name="Normal 19 2 6 6 4" xfId="16400" xr:uid="{00000000-0005-0000-0000-0000A96E0000}"/>
    <cellStyle name="Normal 19 2 6 7" xfId="42069" xr:uid="{00000000-0005-0000-0000-0000AA6E0000}"/>
    <cellStyle name="Normal 19 2 6 8" xfId="25969" xr:uid="{00000000-0005-0000-0000-0000AB6E0000}"/>
    <cellStyle name="Normal 19 2 6 9" xfId="12905" xr:uid="{00000000-0005-0000-0000-0000AC6E0000}"/>
    <cellStyle name="Normal 19 2 7" xfId="758" xr:uid="{00000000-0005-0000-0000-0000AD6E0000}"/>
    <cellStyle name="Normal 19 2 7 2" xfId="2786" xr:uid="{00000000-0005-0000-0000-0000AE6E0000}"/>
    <cellStyle name="Normal 19 2 7 2 2" xfId="9318" xr:uid="{00000000-0005-0000-0000-0000AF6E0000}"/>
    <cellStyle name="Normal 19 2 7 2 2 2" xfId="41059" xr:uid="{00000000-0005-0000-0000-0000B06E0000}"/>
    <cellStyle name="Normal 19 2 7 2 2 2 2" xfId="57159" xr:uid="{00000000-0005-0000-0000-0000B16E0000}"/>
    <cellStyle name="Normal 19 2 7 2 2 3" xfId="47592" xr:uid="{00000000-0005-0000-0000-0000B26E0000}"/>
    <cellStyle name="Normal 19 2 7 2 2 4" xfId="31492" xr:uid="{00000000-0005-0000-0000-0000B36E0000}"/>
    <cellStyle name="Normal 19 2 7 2 2 5" xfId="21923" xr:uid="{00000000-0005-0000-0000-0000B46E0000}"/>
    <cellStyle name="Normal 19 2 7 2 3" xfId="12354" xr:uid="{00000000-0005-0000-0000-0000B56E0000}"/>
    <cellStyle name="Normal 19 2 7 2 3 2" xfId="50628" xr:uid="{00000000-0005-0000-0000-0000B66E0000}"/>
    <cellStyle name="Normal 19 2 7 2 3 3" xfId="34528" xr:uid="{00000000-0005-0000-0000-0000B76E0000}"/>
    <cellStyle name="Normal 19 2 7 2 3 4" xfId="24959" xr:uid="{00000000-0005-0000-0000-0000B86E0000}"/>
    <cellStyle name="Normal 19 2 7 2 4" xfId="6282" xr:uid="{00000000-0005-0000-0000-0000B96E0000}"/>
    <cellStyle name="Normal 19 2 7 2 4 2" xfId="54123" xr:uid="{00000000-0005-0000-0000-0000BA6E0000}"/>
    <cellStyle name="Normal 19 2 7 2 4 3" xfId="38023" xr:uid="{00000000-0005-0000-0000-0000BB6E0000}"/>
    <cellStyle name="Normal 19 2 7 2 4 4" xfId="18887" xr:uid="{00000000-0005-0000-0000-0000BC6E0000}"/>
    <cellStyle name="Normal 19 2 7 2 5" xfId="44556" xr:uid="{00000000-0005-0000-0000-0000BD6E0000}"/>
    <cellStyle name="Normal 19 2 7 2 6" xfId="28456" xr:uid="{00000000-0005-0000-0000-0000BE6E0000}"/>
    <cellStyle name="Normal 19 2 7 2 7" xfId="15392" xr:uid="{00000000-0005-0000-0000-0000BF6E0000}"/>
    <cellStyle name="Normal 19 2 7 3" xfId="1768" xr:uid="{00000000-0005-0000-0000-0000C06E0000}"/>
    <cellStyle name="Normal 19 2 7 3 2" xfId="8302" xr:uid="{00000000-0005-0000-0000-0000C16E0000}"/>
    <cellStyle name="Normal 19 2 7 3 2 2" xfId="40043" xr:uid="{00000000-0005-0000-0000-0000C26E0000}"/>
    <cellStyle name="Normal 19 2 7 3 2 2 2" xfId="56143" xr:uid="{00000000-0005-0000-0000-0000C36E0000}"/>
    <cellStyle name="Normal 19 2 7 3 2 3" xfId="46576" xr:uid="{00000000-0005-0000-0000-0000C46E0000}"/>
    <cellStyle name="Normal 19 2 7 3 2 4" xfId="30476" xr:uid="{00000000-0005-0000-0000-0000C56E0000}"/>
    <cellStyle name="Normal 19 2 7 3 2 5" xfId="20907" xr:uid="{00000000-0005-0000-0000-0000C66E0000}"/>
    <cellStyle name="Normal 19 2 7 3 3" xfId="11338" xr:uid="{00000000-0005-0000-0000-0000C76E0000}"/>
    <cellStyle name="Normal 19 2 7 3 3 2" xfId="49612" xr:uid="{00000000-0005-0000-0000-0000C86E0000}"/>
    <cellStyle name="Normal 19 2 7 3 3 3" xfId="33512" xr:uid="{00000000-0005-0000-0000-0000C96E0000}"/>
    <cellStyle name="Normal 19 2 7 3 3 4" xfId="23943" xr:uid="{00000000-0005-0000-0000-0000CA6E0000}"/>
    <cellStyle name="Normal 19 2 7 3 4" xfId="5266" xr:uid="{00000000-0005-0000-0000-0000CB6E0000}"/>
    <cellStyle name="Normal 19 2 7 3 4 2" xfId="53107" xr:uid="{00000000-0005-0000-0000-0000CC6E0000}"/>
    <cellStyle name="Normal 19 2 7 3 4 3" xfId="37007" xr:uid="{00000000-0005-0000-0000-0000CD6E0000}"/>
    <cellStyle name="Normal 19 2 7 3 4 4" xfId="17871" xr:uid="{00000000-0005-0000-0000-0000CE6E0000}"/>
    <cellStyle name="Normal 19 2 7 3 5" xfId="43540" xr:uid="{00000000-0005-0000-0000-0000CF6E0000}"/>
    <cellStyle name="Normal 19 2 7 3 6" xfId="27440" xr:uid="{00000000-0005-0000-0000-0000D06E0000}"/>
    <cellStyle name="Normal 19 2 7 3 7" xfId="14376" xr:uid="{00000000-0005-0000-0000-0000D16E0000}"/>
    <cellStyle name="Normal 19 2 7 4" xfId="7292" xr:uid="{00000000-0005-0000-0000-0000D26E0000}"/>
    <cellStyle name="Normal 19 2 7 4 2" xfId="39033" xr:uid="{00000000-0005-0000-0000-0000D36E0000}"/>
    <cellStyle name="Normal 19 2 7 4 2 2" xfId="55133" xr:uid="{00000000-0005-0000-0000-0000D46E0000}"/>
    <cellStyle name="Normal 19 2 7 4 3" xfId="45566" xr:uid="{00000000-0005-0000-0000-0000D56E0000}"/>
    <cellStyle name="Normal 19 2 7 4 4" xfId="29466" xr:uid="{00000000-0005-0000-0000-0000D66E0000}"/>
    <cellStyle name="Normal 19 2 7 4 5" xfId="19897" xr:uid="{00000000-0005-0000-0000-0000D76E0000}"/>
    <cellStyle name="Normal 19 2 7 5" xfId="10328" xr:uid="{00000000-0005-0000-0000-0000D86E0000}"/>
    <cellStyle name="Normal 19 2 7 5 2" xfId="48602" xr:uid="{00000000-0005-0000-0000-0000D96E0000}"/>
    <cellStyle name="Normal 19 2 7 5 3" xfId="32502" xr:uid="{00000000-0005-0000-0000-0000DA6E0000}"/>
    <cellStyle name="Normal 19 2 7 5 4" xfId="22933" xr:uid="{00000000-0005-0000-0000-0000DB6E0000}"/>
    <cellStyle name="Normal 19 2 7 6" xfId="4256" xr:uid="{00000000-0005-0000-0000-0000DC6E0000}"/>
    <cellStyle name="Normal 19 2 7 6 2" xfId="52097" xr:uid="{00000000-0005-0000-0000-0000DD6E0000}"/>
    <cellStyle name="Normal 19 2 7 6 3" xfId="35997" xr:uid="{00000000-0005-0000-0000-0000DE6E0000}"/>
    <cellStyle name="Normal 19 2 7 6 4" xfId="16861" xr:uid="{00000000-0005-0000-0000-0000DF6E0000}"/>
    <cellStyle name="Normal 19 2 7 7" xfId="42530" xr:uid="{00000000-0005-0000-0000-0000E06E0000}"/>
    <cellStyle name="Normal 19 2 7 8" xfId="26430" xr:uid="{00000000-0005-0000-0000-0000E16E0000}"/>
    <cellStyle name="Normal 19 2 7 9" xfId="13366" xr:uid="{00000000-0005-0000-0000-0000E26E0000}"/>
    <cellStyle name="Normal 19 2 8" xfId="2095" xr:uid="{00000000-0005-0000-0000-0000E36E0000}"/>
    <cellStyle name="Normal 19 2 8 2" xfId="8629" xr:uid="{00000000-0005-0000-0000-0000E46E0000}"/>
    <cellStyle name="Normal 19 2 8 2 2" xfId="40370" xr:uid="{00000000-0005-0000-0000-0000E56E0000}"/>
    <cellStyle name="Normal 19 2 8 2 2 2" xfId="56470" xr:uid="{00000000-0005-0000-0000-0000E66E0000}"/>
    <cellStyle name="Normal 19 2 8 2 3" xfId="46903" xr:uid="{00000000-0005-0000-0000-0000E76E0000}"/>
    <cellStyle name="Normal 19 2 8 2 4" xfId="30803" xr:uid="{00000000-0005-0000-0000-0000E86E0000}"/>
    <cellStyle name="Normal 19 2 8 2 5" xfId="21234" xr:uid="{00000000-0005-0000-0000-0000E96E0000}"/>
    <cellStyle name="Normal 19 2 8 3" xfId="11665" xr:uid="{00000000-0005-0000-0000-0000EA6E0000}"/>
    <cellStyle name="Normal 19 2 8 3 2" xfId="49939" xr:uid="{00000000-0005-0000-0000-0000EB6E0000}"/>
    <cellStyle name="Normal 19 2 8 3 3" xfId="33839" xr:uid="{00000000-0005-0000-0000-0000EC6E0000}"/>
    <cellStyle name="Normal 19 2 8 3 4" xfId="24270" xr:uid="{00000000-0005-0000-0000-0000ED6E0000}"/>
    <cellStyle name="Normal 19 2 8 4" xfId="5593" xr:uid="{00000000-0005-0000-0000-0000EE6E0000}"/>
    <cellStyle name="Normal 19 2 8 4 2" xfId="53434" xr:uid="{00000000-0005-0000-0000-0000EF6E0000}"/>
    <cellStyle name="Normal 19 2 8 4 3" xfId="37334" xr:uid="{00000000-0005-0000-0000-0000F06E0000}"/>
    <cellStyle name="Normal 19 2 8 4 4" xfId="18198" xr:uid="{00000000-0005-0000-0000-0000F16E0000}"/>
    <cellStyle name="Normal 19 2 8 5" xfId="43867" xr:uid="{00000000-0005-0000-0000-0000F26E0000}"/>
    <cellStyle name="Normal 19 2 8 6" xfId="27767" xr:uid="{00000000-0005-0000-0000-0000F36E0000}"/>
    <cellStyle name="Normal 19 2 8 7" xfId="14703" xr:uid="{00000000-0005-0000-0000-0000F46E0000}"/>
    <cellStyle name="Normal 19 2 9" xfId="1085" xr:uid="{00000000-0005-0000-0000-0000F56E0000}"/>
    <cellStyle name="Normal 19 2 9 2" xfId="7619" xr:uid="{00000000-0005-0000-0000-0000F66E0000}"/>
    <cellStyle name="Normal 19 2 9 2 2" xfId="39360" xr:uid="{00000000-0005-0000-0000-0000F76E0000}"/>
    <cellStyle name="Normal 19 2 9 2 2 2" xfId="55460" xr:uid="{00000000-0005-0000-0000-0000F86E0000}"/>
    <cellStyle name="Normal 19 2 9 2 3" xfId="45893" xr:uid="{00000000-0005-0000-0000-0000F96E0000}"/>
    <cellStyle name="Normal 19 2 9 2 4" xfId="29793" xr:uid="{00000000-0005-0000-0000-0000FA6E0000}"/>
    <cellStyle name="Normal 19 2 9 2 5" xfId="20224" xr:uid="{00000000-0005-0000-0000-0000FB6E0000}"/>
    <cellStyle name="Normal 19 2 9 3" xfId="10655" xr:uid="{00000000-0005-0000-0000-0000FC6E0000}"/>
    <cellStyle name="Normal 19 2 9 3 2" xfId="48929" xr:uid="{00000000-0005-0000-0000-0000FD6E0000}"/>
    <cellStyle name="Normal 19 2 9 3 3" xfId="32829" xr:uid="{00000000-0005-0000-0000-0000FE6E0000}"/>
    <cellStyle name="Normal 19 2 9 3 4" xfId="23260" xr:uid="{00000000-0005-0000-0000-0000FF6E0000}"/>
    <cellStyle name="Normal 19 2 9 4" xfId="4583" xr:uid="{00000000-0005-0000-0000-0000006F0000}"/>
    <cellStyle name="Normal 19 2 9 4 2" xfId="52424" xr:uid="{00000000-0005-0000-0000-0000016F0000}"/>
    <cellStyle name="Normal 19 2 9 4 3" xfId="36324" xr:uid="{00000000-0005-0000-0000-0000026F0000}"/>
    <cellStyle name="Normal 19 2 9 4 4" xfId="17188" xr:uid="{00000000-0005-0000-0000-0000036F0000}"/>
    <cellStyle name="Normal 19 2 9 5" xfId="42857" xr:uid="{00000000-0005-0000-0000-0000046F0000}"/>
    <cellStyle name="Normal 19 2 9 6" xfId="26757" xr:uid="{00000000-0005-0000-0000-0000056F0000}"/>
    <cellStyle name="Normal 19 2 9 7" xfId="13693" xr:uid="{00000000-0005-0000-0000-0000066F0000}"/>
    <cellStyle name="Normal 19 20" xfId="3095" xr:uid="{00000000-0005-0000-0000-0000076F0000}"/>
    <cellStyle name="Normal 19 20 2" xfId="50937" xr:uid="{00000000-0005-0000-0000-0000086F0000}"/>
    <cellStyle name="Normal 19 20 3" xfId="34837" xr:uid="{00000000-0005-0000-0000-0000096F0000}"/>
    <cellStyle name="Normal 19 20 4" xfId="15701" xr:uid="{00000000-0005-0000-0000-00000A6F0000}"/>
    <cellStyle name="Normal 19 21" xfId="41370" xr:uid="{00000000-0005-0000-0000-00000B6F0000}"/>
    <cellStyle name="Normal 19 22" xfId="25270" xr:uid="{00000000-0005-0000-0000-00000C6F0000}"/>
    <cellStyle name="Normal 19 23" xfId="12665" xr:uid="{00000000-0005-0000-0000-00000D6F0000}"/>
    <cellStyle name="Normal 19 3" xfId="125" xr:uid="{00000000-0005-0000-0000-00000E6F0000}"/>
    <cellStyle name="Normal 19 3 10" xfId="9708" xr:uid="{00000000-0005-0000-0000-00000F6F0000}"/>
    <cellStyle name="Normal 19 3 10 2" xfId="47982" xr:uid="{00000000-0005-0000-0000-0000106F0000}"/>
    <cellStyle name="Normal 19 3 10 3" xfId="31882" xr:uid="{00000000-0005-0000-0000-0000116F0000}"/>
    <cellStyle name="Normal 19 3 10 4" xfId="22313" xr:uid="{00000000-0005-0000-0000-0000126F0000}"/>
    <cellStyle name="Normal 19 3 11" xfId="3176" xr:uid="{00000000-0005-0000-0000-0000136F0000}"/>
    <cellStyle name="Normal 19 3 11 2" xfId="51018" xr:uid="{00000000-0005-0000-0000-0000146F0000}"/>
    <cellStyle name="Normal 19 3 11 3" xfId="34918" xr:uid="{00000000-0005-0000-0000-0000156F0000}"/>
    <cellStyle name="Normal 19 3 11 4" xfId="15782" xr:uid="{00000000-0005-0000-0000-0000166F0000}"/>
    <cellStyle name="Normal 19 3 12" xfId="41451" xr:uid="{00000000-0005-0000-0000-0000176F0000}"/>
    <cellStyle name="Normal 19 3 13" xfId="25351" xr:uid="{00000000-0005-0000-0000-0000186F0000}"/>
    <cellStyle name="Normal 19 3 14" xfId="12746" xr:uid="{00000000-0005-0000-0000-0000196F0000}"/>
    <cellStyle name="Normal 19 3 2" xfId="200" xr:uid="{00000000-0005-0000-0000-00001A6F0000}"/>
    <cellStyle name="Normal 19 3 2 10" xfId="41688" xr:uid="{00000000-0005-0000-0000-00001B6F0000}"/>
    <cellStyle name="Normal 19 3 2 11" xfId="25588" xr:uid="{00000000-0005-0000-0000-00001C6F0000}"/>
    <cellStyle name="Normal 19 3 2 12" xfId="13029" xr:uid="{00000000-0005-0000-0000-00001D6F0000}"/>
    <cellStyle name="Normal 19 3 2 2" xfId="377" xr:uid="{00000000-0005-0000-0000-00001E6F0000}"/>
    <cellStyle name="Normal 19 3 2 2 2" xfId="2396" xr:uid="{00000000-0005-0000-0000-00001F6F0000}"/>
    <cellStyle name="Normal 19 3 2 2 2 2" xfId="8930" xr:uid="{00000000-0005-0000-0000-0000206F0000}"/>
    <cellStyle name="Normal 19 3 2 2 2 2 2" xfId="40671" xr:uid="{00000000-0005-0000-0000-0000216F0000}"/>
    <cellStyle name="Normal 19 3 2 2 2 2 2 2" xfId="56771" xr:uid="{00000000-0005-0000-0000-0000226F0000}"/>
    <cellStyle name="Normal 19 3 2 2 2 2 3" xfId="47204" xr:uid="{00000000-0005-0000-0000-0000236F0000}"/>
    <cellStyle name="Normal 19 3 2 2 2 2 4" xfId="31104" xr:uid="{00000000-0005-0000-0000-0000246F0000}"/>
    <cellStyle name="Normal 19 3 2 2 2 2 5" xfId="21535" xr:uid="{00000000-0005-0000-0000-0000256F0000}"/>
    <cellStyle name="Normal 19 3 2 2 2 3" xfId="11966" xr:uid="{00000000-0005-0000-0000-0000266F0000}"/>
    <cellStyle name="Normal 19 3 2 2 2 3 2" xfId="50240" xr:uid="{00000000-0005-0000-0000-0000276F0000}"/>
    <cellStyle name="Normal 19 3 2 2 2 3 3" xfId="34140" xr:uid="{00000000-0005-0000-0000-0000286F0000}"/>
    <cellStyle name="Normal 19 3 2 2 2 3 4" xfId="24571" xr:uid="{00000000-0005-0000-0000-0000296F0000}"/>
    <cellStyle name="Normal 19 3 2 2 2 4" xfId="5894" xr:uid="{00000000-0005-0000-0000-00002A6F0000}"/>
    <cellStyle name="Normal 19 3 2 2 2 4 2" xfId="53735" xr:uid="{00000000-0005-0000-0000-00002B6F0000}"/>
    <cellStyle name="Normal 19 3 2 2 2 4 3" xfId="37635" xr:uid="{00000000-0005-0000-0000-00002C6F0000}"/>
    <cellStyle name="Normal 19 3 2 2 2 4 4" xfId="18499" xr:uid="{00000000-0005-0000-0000-00002D6F0000}"/>
    <cellStyle name="Normal 19 3 2 2 2 5" xfId="44168" xr:uid="{00000000-0005-0000-0000-00002E6F0000}"/>
    <cellStyle name="Normal 19 3 2 2 2 6" xfId="28068" xr:uid="{00000000-0005-0000-0000-00002F6F0000}"/>
    <cellStyle name="Normal 19 3 2 2 2 7" xfId="15004" xr:uid="{00000000-0005-0000-0000-0000306F0000}"/>
    <cellStyle name="Normal 19 3 2 2 3" xfId="1608" xr:uid="{00000000-0005-0000-0000-0000316F0000}"/>
    <cellStyle name="Normal 19 3 2 2 3 2" xfId="8142" xr:uid="{00000000-0005-0000-0000-0000326F0000}"/>
    <cellStyle name="Normal 19 3 2 2 3 2 2" xfId="39883" xr:uid="{00000000-0005-0000-0000-0000336F0000}"/>
    <cellStyle name="Normal 19 3 2 2 3 2 2 2" xfId="55983" xr:uid="{00000000-0005-0000-0000-0000346F0000}"/>
    <cellStyle name="Normal 19 3 2 2 3 2 3" xfId="46416" xr:uid="{00000000-0005-0000-0000-0000356F0000}"/>
    <cellStyle name="Normal 19 3 2 2 3 2 4" xfId="30316" xr:uid="{00000000-0005-0000-0000-0000366F0000}"/>
    <cellStyle name="Normal 19 3 2 2 3 2 5" xfId="20747" xr:uid="{00000000-0005-0000-0000-0000376F0000}"/>
    <cellStyle name="Normal 19 3 2 2 3 3" xfId="11178" xr:uid="{00000000-0005-0000-0000-0000386F0000}"/>
    <cellStyle name="Normal 19 3 2 2 3 3 2" xfId="49452" xr:uid="{00000000-0005-0000-0000-0000396F0000}"/>
    <cellStyle name="Normal 19 3 2 2 3 3 3" xfId="33352" xr:uid="{00000000-0005-0000-0000-00003A6F0000}"/>
    <cellStyle name="Normal 19 3 2 2 3 3 4" xfId="23783" xr:uid="{00000000-0005-0000-0000-00003B6F0000}"/>
    <cellStyle name="Normal 19 3 2 2 3 4" xfId="5106" xr:uid="{00000000-0005-0000-0000-00003C6F0000}"/>
    <cellStyle name="Normal 19 3 2 2 3 4 2" xfId="52947" xr:uid="{00000000-0005-0000-0000-00003D6F0000}"/>
    <cellStyle name="Normal 19 3 2 2 3 4 3" xfId="36847" xr:uid="{00000000-0005-0000-0000-00003E6F0000}"/>
    <cellStyle name="Normal 19 3 2 2 3 4 4" xfId="17711" xr:uid="{00000000-0005-0000-0000-00003F6F0000}"/>
    <cellStyle name="Normal 19 3 2 2 3 5" xfId="43380" xr:uid="{00000000-0005-0000-0000-0000406F0000}"/>
    <cellStyle name="Normal 19 3 2 2 3 6" xfId="27280" xr:uid="{00000000-0005-0000-0000-0000416F0000}"/>
    <cellStyle name="Normal 19 3 2 2 3 7" xfId="14216" xr:uid="{00000000-0005-0000-0000-0000426F0000}"/>
    <cellStyle name="Normal 19 3 2 2 4" xfId="7132" xr:uid="{00000000-0005-0000-0000-0000436F0000}"/>
    <cellStyle name="Normal 19 3 2 2 4 2" xfId="38873" xr:uid="{00000000-0005-0000-0000-0000446F0000}"/>
    <cellStyle name="Normal 19 3 2 2 4 2 2" xfId="54973" xr:uid="{00000000-0005-0000-0000-0000456F0000}"/>
    <cellStyle name="Normal 19 3 2 2 4 3" xfId="45406" xr:uid="{00000000-0005-0000-0000-0000466F0000}"/>
    <cellStyle name="Normal 19 3 2 2 4 4" xfId="29306" xr:uid="{00000000-0005-0000-0000-0000476F0000}"/>
    <cellStyle name="Normal 19 3 2 2 4 5" xfId="19737" xr:uid="{00000000-0005-0000-0000-0000486F0000}"/>
    <cellStyle name="Normal 19 3 2 2 5" xfId="10168" xr:uid="{00000000-0005-0000-0000-0000496F0000}"/>
    <cellStyle name="Normal 19 3 2 2 5 2" xfId="48442" xr:uid="{00000000-0005-0000-0000-00004A6F0000}"/>
    <cellStyle name="Normal 19 3 2 2 5 3" xfId="32342" xr:uid="{00000000-0005-0000-0000-00004B6F0000}"/>
    <cellStyle name="Normal 19 3 2 2 5 4" xfId="22773" xr:uid="{00000000-0005-0000-0000-00004C6F0000}"/>
    <cellStyle name="Normal 19 3 2 2 6" xfId="4096" xr:uid="{00000000-0005-0000-0000-00004D6F0000}"/>
    <cellStyle name="Normal 19 3 2 2 6 2" xfId="51937" xr:uid="{00000000-0005-0000-0000-00004E6F0000}"/>
    <cellStyle name="Normal 19 3 2 2 6 3" xfId="35837" xr:uid="{00000000-0005-0000-0000-00004F6F0000}"/>
    <cellStyle name="Normal 19 3 2 2 6 4" xfId="16701" xr:uid="{00000000-0005-0000-0000-0000506F0000}"/>
    <cellStyle name="Normal 19 3 2 2 7" xfId="42370" xr:uid="{00000000-0005-0000-0000-0000516F0000}"/>
    <cellStyle name="Normal 19 3 2 2 8" xfId="26270" xr:uid="{00000000-0005-0000-0000-0000526F0000}"/>
    <cellStyle name="Normal 19 3 2 2 9" xfId="13206" xr:uid="{00000000-0005-0000-0000-0000536F0000}"/>
    <cellStyle name="Normal 19 3 2 3" xfId="1016" xr:uid="{00000000-0005-0000-0000-0000546F0000}"/>
    <cellStyle name="Normal 19 3 2 3 2" xfId="3044" xr:uid="{00000000-0005-0000-0000-0000556F0000}"/>
    <cellStyle name="Normal 19 3 2 3 2 2" xfId="9576" xr:uid="{00000000-0005-0000-0000-0000566F0000}"/>
    <cellStyle name="Normal 19 3 2 3 2 2 2" xfId="41317" xr:uid="{00000000-0005-0000-0000-0000576F0000}"/>
    <cellStyle name="Normal 19 3 2 3 2 2 2 2" xfId="57417" xr:uid="{00000000-0005-0000-0000-0000586F0000}"/>
    <cellStyle name="Normal 19 3 2 3 2 2 3" xfId="47850" xr:uid="{00000000-0005-0000-0000-0000596F0000}"/>
    <cellStyle name="Normal 19 3 2 3 2 2 4" xfId="31750" xr:uid="{00000000-0005-0000-0000-00005A6F0000}"/>
    <cellStyle name="Normal 19 3 2 3 2 2 5" xfId="22181" xr:uid="{00000000-0005-0000-0000-00005B6F0000}"/>
    <cellStyle name="Normal 19 3 2 3 2 3" xfId="12612" xr:uid="{00000000-0005-0000-0000-00005C6F0000}"/>
    <cellStyle name="Normal 19 3 2 3 2 3 2" xfId="50886" xr:uid="{00000000-0005-0000-0000-00005D6F0000}"/>
    <cellStyle name="Normal 19 3 2 3 2 3 3" xfId="34786" xr:uid="{00000000-0005-0000-0000-00005E6F0000}"/>
    <cellStyle name="Normal 19 3 2 3 2 3 4" xfId="25217" xr:uid="{00000000-0005-0000-0000-00005F6F0000}"/>
    <cellStyle name="Normal 19 3 2 3 2 4" xfId="6540" xr:uid="{00000000-0005-0000-0000-0000606F0000}"/>
    <cellStyle name="Normal 19 3 2 3 2 4 2" xfId="54381" xr:uid="{00000000-0005-0000-0000-0000616F0000}"/>
    <cellStyle name="Normal 19 3 2 3 2 4 3" xfId="38281" xr:uid="{00000000-0005-0000-0000-0000626F0000}"/>
    <cellStyle name="Normal 19 3 2 3 2 4 4" xfId="19145" xr:uid="{00000000-0005-0000-0000-0000636F0000}"/>
    <cellStyle name="Normal 19 3 2 3 2 5" xfId="44814" xr:uid="{00000000-0005-0000-0000-0000646F0000}"/>
    <cellStyle name="Normal 19 3 2 3 2 6" xfId="28714" xr:uid="{00000000-0005-0000-0000-0000656F0000}"/>
    <cellStyle name="Normal 19 3 2 3 2 7" xfId="15650" xr:uid="{00000000-0005-0000-0000-0000666F0000}"/>
    <cellStyle name="Normal 19 3 2 3 3" xfId="2026" xr:uid="{00000000-0005-0000-0000-0000676F0000}"/>
    <cellStyle name="Normal 19 3 2 3 3 2" xfId="8560" xr:uid="{00000000-0005-0000-0000-0000686F0000}"/>
    <cellStyle name="Normal 19 3 2 3 3 2 2" xfId="40301" xr:uid="{00000000-0005-0000-0000-0000696F0000}"/>
    <cellStyle name="Normal 19 3 2 3 3 2 2 2" xfId="56401" xr:uid="{00000000-0005-0000-0000-00006A6F0000}"/>
    <cellStyle name="Normal 19 3 2 3 3 2 3" xfId="46834" xr:uid="{00000000-0005-0000-0000-00006B6F0000}"/>
    <cellStyle name="Normal 19 3 2 3 3 2 4" xfId="30734" xr:uid="{00000000-0005-0000-0000-00006C6F0000}"/>
    <cellStyle name="Normal 19 3 2 3 3 2 5" xfId="21165" xr:uid="{00000000-0005-0000-0000-00006D6F0000}"/>
    <cellStyle name="Normal 19 3 2 3 3 3" xfId="11596" xr:uid="{00000000-0005-0000-0000-00006E6F0000}"/>
    <cellStyle name="Normal 19 3 2 3 3 3 2" xfId="49870" xr:uid="{00000000-0005-0000-0000-00006F6F0000}"/>
    <cellStyle name="Normal 19 3 2 3 3 3 3" xfId="33770" xr:uid="{00000000-0005-0000-0000-0000706F0000}"/>
    <cellStyle name="Normal 19 3 2 3 3 3 4" xfId="24201" xr:uid="{00000000-0005-0000-0000-0000716F0000}"/>
    <cellStyle name="Normal 19 3 2 3 3 4" xfId="5524" xr:uid="{00000000-0005-0000-0000-0000726F0000}"/>
    <cellStyle name="Normal 19 3 2 3 3 4 2" xfId="53365" xr:uid="{00000000-0005-0000-0000-0000736F0000}"/>
    <cellStyle name="Normal 19 3 2 3 3 4 3" xfId="37265" xr:uid="{00000000-0005-0000-0000-0000746F0000}"/>
    <cellStyle name="Normal 19 3 2 3 3 4 4" xfId="18129" xr:uid="{00000000-0005-0000-0000-0000756F0000}"/>
    <cellStyle name="Normal 19 3 2 3 3 5" xfId="43798" xr:uid="{00000000-0005-0000-0000-0000766F0000}"/>
    <cellStyle name="Normal 19 3 2 3 3 6" xfId="27698" xr:uid="{00000000-0005-0000-0000-0000776F0000}"/>
    <cellStyle name="Normal 19 3 2 3 3 7" xfId="14634" xr:uid="{00000000-0005-0000-0000-0000786F0000}"/>
    <cellStyle name="Normal 19 3 2 3 4" xfId="7550" xr:uid="{00000000-0005-0000-0000-0000796F0000}"/>
    <cellStyle name="Normal 19 3 2 3 4 2" xfId="39291" xr:uid="{00000000-0005-0000-0000-00007A6F0000}"/>
    <cellStyle name="Normal 19 3 2 3 4 2 2" xfId="55391" xr:uid="{00000000-0005-0000-0000-00007B6F0000}"/>
    <cellStyle name="Normal 19 3 2 3 4 3" xfId="45824" xr:uid="{00000000-0005-0000-0000-00007C6F0000}"/>
    <cellStyle name="Normal 19 3 2 3 4 4" xfId="29724" xr:uid="{00000000-0005-0000-0000-00007D6F0000}"/>
    <cellStyle name="Normal 19 3 2 3 4 5" xfId="20155" xr:uid="{00000000-0005-0000-0000-00007E6F0000}"/>
    <cellStyle name="Normal 19 3 2 3 5" xfId="10586" xr:uid="{00000000-0005-0000-0000-00007F6F0000}"/>
    <cellStyle name="Normal 19 3 2 3 5 2" xfId="48860" xr:uid="{00000000-0005-0000-0000-0000806F0000}"/>
    <cellStyle name="Normal 19 3 2 3 5 3" xfId="32760" xr:uid="{00000000-0005-0000-0000-0000816F0000}"/>
    <cellStyle name="Normal 19 3 2 3 5 4" xfId="23191" xr:uid="{00000000-0005-0000-0000-0000826F0000}"/>
    <cellStyle name="Normal 19 3 2 3 6" xfId="4514" xr:uid="{00000000-0005-0000-0000-0000836F0000}"/>
    <cellStyle name="Normal 19 3 2 3 6 2" xfId="52355" xr:uid="{00000000-0005-0000-0000-0000846F0000}"/>
    <cellStyle name="Normal 19 3 2 3 6 3" xfId="36255" xr:uid="{00000000-0005-0000-0000-0000856F0000}"/>
    <cellStyle name="Normal 19 3 2 3 6 4" xfId="17119" xr:uid="{00000000-0005-0000-0000-0000866F0000}"/>
    <cellStyle name="Normal 19 3 2 3 7" xfId="42788" xr:uid="{00000000-0005-0000-0000-0000876F0000}"/>
    <cellStyle name="Normal 19 3 2 3 8" xfId="26688" xr:uid="{00000000-0005-0000-0000-0000886F0000}"/>
    <cellStyle name="Normal 19 3 2 3 9" xfId="13624" xr:uid="{00000000-0005-0000-0000-0000896F0000}"/>
    <cellStyle name="Normal 19 3 2 4" xfId="2219" xr:uid="{00000000-0005-0000-0000-00008A6F0000}"/>
    <cellStyle name="Normal 19 3 2 4 2" xfId="8753" xr:uid="{00000000-0005-0000-0000-00008B6F0000}"/>
    <cellStyle name="Normal 19 3 2 4 2 2" xfId="40494" xr:uid="{00000000-0005-0000-0000-00008C6F0000}"/>
    <cellStyle name="Normal 19 3 2 4 2 2 2" xfId="56594" xr:uid="{00000000-0005-0000-0000-00008D6F0000}"/>
    <cellStyle name="Normal 19 3 2 4 2 3" xfId="47027" xr:uid="{00000000-0005-0000-0000-00008E6F0000}"/>
    <cellStyle name="Normal 19 3 2 4 2 4" xfId="30927" xr:uid="{00000000-0005-0000-0000-00008F6F0000}"/>
    <cellStyle name="Normal 19 3 2 4 2 5" xfId="21358" xr:uid="{00000000-0005-0000-0000-0000906F0000}"/>
    <cellStyle name="Normal 19 3 2 4 3" xfId="11789" xr:uid="{00000000-0005-0000-0000-0000916F0000}"/>
    <cellStyle name="Normal 19 3 2 4 3 2" xfId="50063" xr:uid="{00000000-0005-0000-0000-0000926F0000}"/>
    <cellStyle name="Normal 19 3 2 4 3 3" xfId="33963" xr:uid="{00000000-0005-0000-0000-0000936F0000}"/>
    <cellStyle name="Normal 19 3 2 4 3 4" xfId="24394" xr:uid="{00000000-0005-0000-0000-0000946F0000}"/>
    <cellStyle name="Normal 19 3 2 4 4" xfId="5717" xr:uid="{00000000-0005-0000-0000-0000956F0000}"/>
    <cellStyle name="Normal 19 3 2 4 4 2" xfId="53558" xr:uid="{00000000-0005-0000-0000-0000966F0000}"/>
    <cellStyle name="Normal 19 3 2 4 4 3" xfId="37458" xr:uid="{00000000-0005-0000-0000-0000976F0000}"/>
    <cellStyle name="Normal 19 3 2 4 4 4" xfId="18322" xr:uid="{00000000-0005-0000-0000-0000986F0000}"/>
    <cellStyle name="Normal 19 3 2 4 5" xfId="43991" xr:uid="{00000000-0005-0000-0000-0000996F0000}"/>
    <cellStyle name="Normal 19 3 2 4 6" xfId="27891" xr:uid="{00000000-0005-0000-0000-00009A6F0000}"/>
    <cellStyle name="Normal 19 3 2 4 7" xfId="14827" xr:uid="{00000000-0005-0000-0000-00009B6F0000}"/>
    <cellStyle name="Normal 19 3 2 5" xfId="1431" xr:uid="{00000000-0005-0000-0000-00009C6F0000}"/>
    <cellStyle name="Normal 19 3 2 5 2" xfId="7965" xr:uid="{00000000-0005-0000-0000-00009D6F0000}"/>
    <cellStyle name="Normal 19 3 2 5 2 2" xfId="39706" xr:uid="{00000000-0005-0000-0000-00009E6F0000}"/>
    <cellStyle name="Normal 19 3 2 5 2 2 2" xfId="55806" xr:uid="{00000000-0005-0000-0000-00009F6F0000}"/>
    <cellStyle name="Normal 19 3 2 5 2 3" xfId="46239" xr:uid="{00000000-0005-0000-0000-0000A06F0000}"/>
    <cellStyle name="Normal 19 3 2 5 2 4" xfId="30139" xr:uid="{00000000-0005-0000-0000-0000A16F0000}"/>
    <cellStyle name="Normal 19 3 2 5 2 5" xfId="20570" xr:uid="{00000000-0005-0000-0000-0000A26F0000}"/>
    <cellStyle name="Normal 19 3 2 5 3" xfId="11001" xr:uid="{00000000-0005-0000-0000-0000A36F0000}"/>
    <cellStyle name="Normal 19 3 2 5 3 2" xfId="49275" xr:uid="{00000000-0005-0000-0000-0000A46F0000}"/>
    <cellStyle name="Normal 19 3 2 5 3 3" xfId="33175" xr:uid="{00000000-0005-0000-0000-0000A56F0000}"/>
    <cellStyle name="Normal 19 3 2 5 3 4" xfId="23606" xr:uid="{00000000-0005-0000-0000-0000A66F0000}"/>
    <cellStyle name="Normal 19 3 2 5 4" xfId="4929" xr:uid="{00000000-0005-0000-0000-0000A76F0000}"/>
    <cellStyle name="Normal 19 3 2 5 4 2" xfId="52770" xr:uid="{00000000-0005-0000-0000-0000A86F0000}"/>
    <cellStyle name="Normal 19 3 2 5 4 3" xfId="36670" xr:uid="{00000000-0005-0000-0000-0000A96F0000}"/>
    <cellStyle name="Normal 19 3 2 5 4 4" xfId="17534" xr:uid="{00000000-0005-0000-0000-0000AA6F0000}"/>
    <cellStyle name="Normal 19 3 2 5 5" xfId="43203" xr:uid="{00000000-0005-0000-0000-0000AB6F0000}"/>
    <cellStyle name="Normal 19 3 2 5 6" xfId="27103" xr:uid="{00000000-0005-0000-0000-0000AC6F0000}"/>
    <cellStyle name="Normal 19 3 2 5 7" xfId="14039" xr:uid="{00000000-0005-0000-0000-0000AD6F0000}"/>
    <cellStyle name="Normal 19 3 2 6" xfId="3919" xr:uid="{00000000-0005-0000-0000-0000AE6F0000}"/>
    <cellStyle name="Normal 19 3 2 6 2" xfId="35660" xr:uid="{00000000-0005-0000-0000-0000AF6F0000}"/>
    <cellStyle name="Normal 19 3 2 6 2 2" xfId="51760" xr:uid="{00000000-0005-0000-0000-0000B06F0000}"/>
    <cellStyle name="Normal 19 3 2 6 3" xfId="42193" xr:uid="{00000000-0005-0000-0000-0000B16F0000}"/>
    <cellStyle name="Normal 19 3 2 6 4" xfId="26093" xr:uid="{00000000-0005-0000-0000-0000B26F0000}"/>
    <cellStyle name="Normal 19 3 2 6 5" xfId="16524" xr:uid="{00000000-0005-0000-0000-0000B36F0000}"/>
    <cellStyle name="Normal 19 3 2 7" xfId="6955" xr:uid="{00000000-0005-0000-0000-0000B46F0000}"/>
    <cellStyle name="Normal 19 3 2 7 2" xfId="38696" xr:uid="{00000000-0005-0000-0000-0000B56F0000}"/>
    <cellStyle name="Normal 19 3 2 7 2 2" xfId="54796" xr:uid="{00000000-0005-0000-0000-0000B66F0000}"/>
    <cellStyle name="Normal 19 3 2 7 3" xfId="45229" xr:uid="{00000000-0005-0000-0000-0000B76F0000}"/>
    <cellStyle name="Normal 19 3 2 7 4" xfId="29129" xr:uid="{00000000-0005-0000-0000-0000B86F0000}"/>
    <cellStyle name="Normal 19 3 2 7 5" xfId="19560" xr:uid="{00000000-0005-0000-0000-0000B96F0000}"/>
    <cellStyle name="Normal 19 3 2 8" xfId="9991" xr:uid="{00000000-0005-0000-0000-0000BA6F0000}"/>
    <cellStyle name="Normal 19 3 2 8 2" xfId="48265" xr:uid="{00000000-0005-0000-0000-0000BB6F0000}"/>
    <cellStyle name="Normal 19 3 2 8 3" xfId="32165" xr:uid="{00000000-0005-0000-0000-0000BC6F0000}"/>
    <cellStyle name="Normal 19 3 2 8 4" xfId="22596" xr:uid="{00000000-0005-0000-0000-0000BD6F0000}"/>
    <cellStyle name="Normal 19 3 2 9" xfId="3414" xr:uid="{00000000-0005-0000-0000-0000BE6F0000}"/>
    <cellStyle name="Normal 19 3 2 9 2" xfId="51255" xr:uid="{00000000-0005-0000-0000-0000BF6F0000}"/>
    <cellStyle name="Normal 19 3 2 9 3" xfId="35155" xr:uid="{00000000-0005-0000-0000-0000C06F0000}"/>
    <cellStyle name="Normal 19 3 2 9 4" xfId="16019" xr:uid="{00000000-0005-0000-0000-0000C16F0000}"/>
    <cellStyle name="Normal 19 3 3" xfId="306" xr:uid="{00000000-0005-0000-0000-0000C26F0000}"/>
    <cellStyle name="Normal 19 3 3 2" xfId="2325" xr:uid="{00000000-0005-0000-0000-0000C36F0000}"/>
    <cellStyle name="Normal 19 3 3 2 2" xfId="8859" xr:uid="{00000000-0005-0000-0000-0000C46F0000}"/>
    <cellStyle name="Normal 19 3 3 2 2 2" xfId="40600" xr:uid="{00000000-0005-0000-0000-0000C56F0000}"/>
    <cellStyle name="Normal 19 3 3 2 2 2 2" xfId="56700" xr:uid="{00000000-0005-0000-0000-0000C66F0000}"/>
    <cellStyle name="Normal 19 3 3 2 2 3" xfId="47133" xr:uid="{00000000-0005-0000-0000-0000C76F0000}"/>
    <cellStyle name="Normal 19 3 3 2 2 4" xfId="31033" xr:uid="{00000000-0005-0000-0000-0000C86F0000}"/>
    <cellStyle name="Normal 19 3 3 2 2 5" xfId="21464" xr:uid="{00000000-0005-0000-0000-0000C96F0000}"/>
    <cellStyle name="Normal 19 3 3 2 3" xfId="11895" xr:uid="{00000000-0005-0000-0000-0000CA6F0000}"/>
    <cellStyle name="Normal 19 3 3 2 3 2" xfId="50169" xr:uid="{00000000-0005-0000-0000-0000CB6F0000}"/>
    <cellStyle name="Normal 19 3 3 2 3 3" xfId="34069" xr:uid="{00000000-0005-0000-0000-0000CC6F0000}"/>
    <cellStyle name="Normal 19 3 3 2 3 4" xfId="24500" xr:uid="{00000000-0005-0000-0000-0000CD6F0000}"/>
    <cellStyle name="Normal 19 3 3 2 4" xfId="5823" xr:uid="{00000000-0005-0000-0000-0000CE6F0000}"/>
    <cellStyle name="Normal 19 3 3 2 4 2" xfId="53664" xr:uid="{00000000-0005-0000-0000-0000CF6F0000}"/>
    <cellStyle name="Normal 19 3 3 2 4 3" xfId="37564" xr:uid="{00000000-0005-0000-0000-0000D06F0000}"/>
    <cellStyle name="Normal 19 3 3 2 4 4" xfId="18428" xr:uid="{00000000-0005-0000-0000-0000D16F0000}"/>
    <cellStyle name="Normal 19 3 3 2 5" xfId="44097" xr:uid="{00000000-0005-0000-0000-0000D26F0000}"/>
    <cellStyle name="Normal 19 3 3 2 6" xfId="27997" xr:uid="{00000000-0005-0000-0000-0000D36F0000}"/>
    <cellStyle name="Normal 19 3 3 2 7" xfId="14933" xr:uid="{00000000-0005-0000-0000-0000D46F0000}"/>
    <cellStyle name="Normal 19 3 3 3" xfId="1537" xr:uid="{00000000-0005-0000-0000-0000D56F0000}"/>
    <cellStyle name="Normal 19 3 3 3 2" xfId="8071" xr:uid="{00000000-0005-0000-0000-0000D66F0000}"/>
    <cellStyle name="Normal 19 3 3 3 2 2" xfId="39812" xr:uid="{00000000-0005-0000-0000-0000D76F0000}"/>
    <cellStyle name="Normal 19 3 3 3 2 2 2" xfId="55912" xr:uid="{00000000-0005-0000-0000-0000D86F0000}"/>
    <cellStyle name="Normal 19 3 3 3 2 3" xfId="46345" xr:uid="{00000000-0005-0000-0000-0000D96F0000}"/>
    <cellStyle name="Normal 19 3 3 3 2 4" xfId="30245" xr:uid="{00000000-0005-0000-0000-0000DA6F0000}"/>
    <cellStyle name="Normal 19 3 3 3 2 5" xfId="20676" xr:uid="{00000000-0005-0000-0000-0000DB6F0000}"/>
    <cellStyle name="Normal 19 3 3 3 3" xfId="11107" xr:uid="{00000000-0005-0000-0000-0000DC6F0000}"/>
    <cellStyle name="Normal 19 3 3 3 3 2" xfId="49381" xr:uid="{00000000-0005-0000-0000-0000DD6F0000}"/>
    <cellStyle name="Normal 19 3 3 3 3 3" xfId="33281" xr:uid="{00000000-0005-0000-0000-0000DE6F0000}"/>
    <cellStyle name="Normal 19 3 3 3 3 4" xfId="23712" xr:uid="{00000000-0005-0000-0000-0000DF6F0000}"/>
    <cellStyle name="Normal 19 3 3 3 4" xfId="5035" xr:uid="{00000000-0005-0000-0000-0000E06F0000}"/>
    <cellStyle name="Normal 19 3 3 3 4 2" xfId="52876" xr:uid="{00000000-0005-0000-0000-0000E16F0000}"/>
    <cellStyle name="Normal 19 3 3 3 4 3" xfId="36776" xr:uid="{00000000-0005-0000-0000-0000E26F0000}"/>
    <cellStyle name="Normal 19 3 3 3 4 4" xfId="17640" xr:uid="{00000000-0005-0000-0000-0000E36F0000}"/>
    <cellStyle name="Normal 19 3 3 3 5" xfId="43309" xr:uid="{00000000-0005-0000-0000-0000E46F0000}"/>
    <cellStyle name="Normal 19 3 3 3 6" xfId="27209" xr:uid="{00000000-0005-0000-0000-0000E56F0000}"/>
    <cellStyle name="Normal 19 3 3 3 7" xfId="14145" xr:uid="{00000000-0005-0000-0000-0000E66F0000}"/>
    <cellStyle name="Normal 19 3 3 4" xfId="7061" xr:uid="{00000000-0005-0000-0000-0000E76F0000}"/>
    <cellStyle name="Normal 19 3 3 4 2" xfId="38802" xr:uid="{00000000-0005-0000-0000-0000E86F0000}"/>
    <cellStyle name="Normal 19 3 3 4 2 2" xfId="54902" xr:uid="{00000000-0005-0000-0000-0000E96F0000}"/>
    <cellStyle name="Normal 19 3 3 4 3" xfId="45335" xr:uid="{00000000-0005-0000-0000-0000EA6F0000}"/>
    <cellStyle name="Normal 19 3 3 4 4" xfId="29235" xr:uid="{00000000-0005-0000-0000-0000EB6F0000}"/>
    <cellStyle name="Normal 19 3 3 4 5" xfId="19666" xr:uid="{00000000-0005-0000-0000-0000EC6F0000}"/>
    <cellStyle name="Normal 19 3 3 5" xfId="10097" xr:uid="{00000000-0005-0000-0000-0000ED6F0000}"/>
    <cellStyle name="Normal 19 3 3 5 2" xfId="48371" xr:uid="{00000000-0005-0000-0000-0000EE6F0000}"/>
    <cellStyle name="Normal 19 3 3 5 3" xfId="32271" xr:uid="{00000000-0005-0000-0000-0000EF6F0000}"/>
    <cellStyle name="Normal 19 3 3 5 4" xfId="22702" xr:uid="{00000000-0005-0000-0000-0000F06F0000}"/>
    <cellStyle name="Normal 19 3 3 6" xfId="4025" xr:uid="{00000000-0005-0000-0000-0000F16F0000}"/>
    <cellStyle name="Normal 19 3 3 6 2" xfId="51866" xr:uid="{00000000-0005-0000-0000-0000F26F0000}"/>
    <cellStyle name="Normal 19 3 3 6 3" xfId="35766" xr:uid="{00000000-0005-0000-0000-0000F36F0000}"/>
    <cellStyle name="Normal 19 3 3 6 4" xfId="16630" xr:uid="{00000000-0005-0000-0000-0000F46F0000}"/>
    <cellStyle name="Normal 19 3 3 7" xfId="42299" xr:uid="{00000000-0005-0000-0000-0000F56F0000}"/>
    <cellStyle name="Normal 19 3 3 8" xfId="26199" xr:uid="{00000000-0005-0000-0000-0000F66F0000}"/>
    <cellStyle name="Normal 19 3 3 9" xfId="13135" xr:uid="{00000000-0005-0000-0000-0000F76F0000}"/>
    <cellStyle name="Normal 19 3 4" xfId="564" xr:uid="{00000000-0005-0000-0000-0000F86F0000}"/>
    <cellStyle name="Normal 19 3 4 2" xfId="2593" xr:uid="{00000000-0005-0000-0000-0000F96F0000}"/>
    <cellStyle name="Normal 19 3 4 2 2" xfId="9125" xr:uid="{00000000-0005-0000-0000-0000FA6F0000}"/>
    <cellStyle name="Normal 19 3 4 2 2 2" xfId="40866" xr:uid="{00000000-0005-0000-0000-0000FB6F0000}"/>
    <cellStyle name="Normal 19 3 4 2 2 2 2" xfId="56966" xr:uid="{00000000-0005-0000-0000-0000FC6F0000}"/>
    <cellStyle name="Normal 19 3 4 2 2 3" xfId="47399" xr:uid="{00000000-0005-0000-0000-0000FD6F0000}"/>
    <cellStyle name="Normal 19 3 4 2 2 4" xfId="31299" xr:uid="{00000000-0005-0000-0000-0000FE6F0000}"/>
    <cellStyle name="Normal 19 3 4 2 2 5" xfId="21730" xr:uid="{00000000-0005-0000-0000-0000FF6F0000}"/>
    <cellStyle name="Normal 19 3 4 2 3" xfId="12161" xr:uid="{00000000-0005-0000-0000-000000700000}"/>
    <cellStyle name="Normal 19 3 4 2 3 2" xfId="50435" xr:uid="{00000000-0005-0000-0000-000001700000}"/>
    <cellStyle name="Normal 19 3 4 2 3 3" xfId="34335" xr:uid="{00000000-0005-0000-0000-000002700000}"/>
    <cellStyle name="Normal 19 3 4 2 3 4" xfId="24766" xr:uid="{00000000-0005-0000-0000-000003700000}"/>
    <cellStyle name="Normal 19 3 4 2 4" xfId="6089" xr:uid="{00000000-0005-0000-0000-000004700000}"/>
    <cellStyle name="Normal 19 3 4 2 4 2" xfId="53930" xr:uid="{00000000-0005-0000-0000-000005700000}"/>
    <cellStyle name="Normal 19 3 4 2 4 3" xfId="37830" xr:uid="{00000000-0005-0000-0000-000006700000}"/>
    <cellStyle name="Normal 19 3 4 2 4 4" xfId="18694" xr:uid="{00000000-0005-0000-0000-000007700000}"/>
    <cellStyle name="Normal 19 3 4 2 5" xfId="44363" xr:uid="{00000000-0005-0000-0000-000008700000}"/>
    <cellStyle name="Normal 19 3 4 2 6" xfId="28263" xr:uid="{00000000-0005-0000-0000-000009700000}"/>
    <cellStyle name="Normal 19 3 4 2 7" xfId="15199" xr:uid="{00000000-0005-0000-0000-00000A700000}"/>
    <cellStyle name="Normal 19 3 4 3" xfId="1360" xr:uid="{00000000-0005-0000-0000-00000B700000}"/>
    <cellStyle name="Normal 19 3 4 3 2" xfId="7894" xr:uid="{00000000-0005-0000-0000-00000C700000}"/>
    <cellStyle name="Normal 19 3 4 3 2 2" xfId="39635" xr:uid="{00000000-0005-0000-0000-00000D700000}"/>
    <cellStyle name="Normal 19 3 4 3 2 2 2" xfId="55735" xr:uid="{00000000-0005-0000-0000-00000E700000}"/>
    <cellStyle name="Normal 19 3 4 3 2 3" xfId="46168" xr:uid="{00000000-0005-0000-0000-00000F700000}"/>
    <cellStyle name="Normal 19 3 4 3 2 4" xfId="30068" xr:uid="{00000000-0005-0000-0000-000010700000}"/>
    <cellStyle name="Normal 19 3 4 3 2 5" xfId="20499" xr:uid="{00000000-0005-0000-0000-000011700000}"/>
    <cellStyle name="Normal 19 3 4 3 3" xfId="10930" xr:uid="{00000000-0005-0000-0000-000012700000}"/>
    <cellStyle name="Normal 19 3 4 3 3 2" xfId="49204" xr:uid="{00000000-0005-0000-0000-000013700000}"/>
    <cellStyle name="Normal 19 3 4 3 3 3" xfId="33104" xr:uid="{00000000-0005-0000-0000-000014700000}"/>
    <cellStyle name="Normal 19 3 4 3 3 4" xfId="23535" xr:uid="{00000000-0005-0000-0000-000015700000}"/>
    <cellStyle name="Normal 19 3 4 3 4" xfId="4858" xr:uid="{00000000-0005-0000-0000-000016700000}"/>
    <cellStyle name="Normal 19 3 4 3 4 2" xfId="52699" xr:uid="{00000000-0005-0000-0000-000017700000}"/>
    <cellStyle name="Normal 19 3 4 3 4 3" xfId="36599" xr:uid="{00000000-0005-0000-0000-000018700000}"/>
    <cellStyle name="Normal 19 3 4 3 4 4" xfId="17463" xr:uid="{00000000-0005-0000-0000-000019700000}"/>
    <cellStyle name="Normal 19 3 4 3 5" xfId="43132" xr:uid="{00000000-0005-0000-0000-00001A700000}"/>
    <cellStyle name="Normal 19 3 4 3 6" xfId="27032" xr:uid="{00000000-0005-0000-0000-00001B700000}"/>
    <cellStyle name="Normal 19 3 4 3 7" xfId="13968" xr:uid="{00000000-0005-0000-0000-00001C700000}"/>
    <cellStyle name="Normal 19 3 4 4" xfId="6884" xr:uid="{00000000-0005-0000-0000-00001D700000}"/>
    <cellStyle name="Normal 19 3 4 4 2" xfId="38625" xr:uid="{00000000-0005-0000-0000-00001E700000}"/>
    <cellStyle name="Normal 19 3 4 4 2 2" xfId="54725" xr:uid="{00000000-0005-0000-0000-00001F700000}"/>
    <cellStyle name="Normal 19 3 4 4 3" xfId="45158" xr:uid="{00000000-0005-0000-0000-000020700000}"/>
    <cellStyle name="Normal 19 3 4 4 4" xfId="29058" xr:uid="{00000000-0005-0000-0000-000021700000}"/>
    <cellStyle name="Normal 19 3 4 4 5" xfId="19489" xr:uid="{00000000-0005-0000-0000-000022700000}"/>
    <cellStyle name="Normal 19 3 4 5" xfId="9920" xr:uid="{00000000-0005-0000-0000-000023700000}"/>
    <cellStyle name="Normal 19 3 4 5 2" xfId="48194" xr:uid="{00000000-0005-0000-0000-000024700000}"/>
    <cellStyle name="Normal 19 3 4 5 3" xfId="32094" xr:uid="{00000000-0005-0000-0000-000025700000}"/>
    <cellStyle name="Normal 19 3 4 5 4" xfId="22525" xr:uid="{00000000-0005-0000-0000-000026700000}"/>
    <cellStyle name="Normal 19 3 4 6" xfId="3848" xr:uid="{00000000-0005-0000-0000-000027700000}"/>
    <cellStyle name="Normal 19 3 4 6 2" xfId="51689" xr:uid="{00000000-0005-0000-0000-000028700000}"/>
    <cellStyle name="Normal 19 3 4 6 3" xfId="35589" xr:uid="{00000000-0005-0000-0000-000029700000}"/>
    <cellStyle name="Normal 19 3 4 6 4" xfId="16453" xr:uid="{00000000-0005-0000-0000-00002A700000}"/>
    <cellStyle name="Normal 19 3 4 7" xfId="42122" xr:uid="{00000000-0005-0000-0000-00002B700000}"/>
    <cellStyle name="Normal 19 3 4 8" xfId="26022" xr:uid="{00000000-0005-0000-0000-00002C700000}"/>
    <cellStyle name="Normal 19 3 4 9" xfId="12958" xr:uid="{00000000-0005-0000-0000-00002D700000}"/>
    <cellStyle name="Normal 19 3 5" xfId="821" xr:uid="{00000000-0005-0000-0000-00002E700000}"/>
    <cellStyle name="Normal 19 3 5 2" xfId="2849" xr:uid="{00000000-0005-0000-0000-00002F700000}"/>
    <cellStyle name="Normal 19 3 5 2 2" xfId="9381" xr:uid="{00000000-0005-0000-0000-000030700000}"/>
    <cellStyle name="Normal 19 3 5 2 2 2" xfId="41122" xr:uid="{00000000-0005-0000-0000-000031700000}"/>
    <cellStyle name="Normal 19 3 5 2 2 2 2" xfId="57222" xr:uid="{00000000-0005-0000-0000-000032700000}"/>
    <cellStyle name="Normal 19 3 5 2 2 3" xfId="47655" xr:uid="{00000000-0005-0000-0000-000033700000}"/>
    <cellStyle name="Normal 19 3 5 2 2 4" xfId="31555" xr:uid="{00000000-0005-0000-0000-000034700000}"/>
    <cellStyle name="Normal 19 3 5 2 2 5" xfId="21986" xr:uid="{00000000-0005-0000-0000-000035700000}"/>
    <cellStyle name="Normal 19 3 5 2 3" xfId="12417" xr:uid="{00000000-0005-0000-0000-000036700000}"/>
    <cellStyle name="Normal 19 3 5 2 3 2" xfId="50691" xr:uid="{00000000-0005-0000-0000-000037700000}"/>
    <cellStyle name="Normal 19 3 5 2 3 3" xfId="34591" xr:uid="{00000000-0005-0000-0000-000038700000}"/>
    <cellStyle name="Normal 19 3 5 2 3 4" xfId="25022" xr:uid="{00000000-0005-0000-0000-000039700000}"/>
    <cellStyle name="Normal 19 3 5 2 4" xfId="6345" xr:uid="{00000000-0005-0000-0000-00003A700000}"/>
    <cellStyle name="Normal 19 3 5 2 4 2" xfId="54186" xr:uid="{00000000-0005-0000-0000-00003B700000}"/>
    <cellStyle name="Normal 19 3 5 2 4 3" xfId="38086" xr:uid="{00000000-0005-0000-0000-00003C700000}"/>
    <cellStyle name="Normal 19 3 5 2 4 4" xfId="18950" xr:uid="{00000000-0005-0000-0000-00003D700000}"/>
    <cellStyle name="Normal 19 3 5 2 5" xfId="44619" xr:uid="{00000000-0005-0000-0000-00003E700000}"/>
    <cellStyle name="Normal 19 3 5 2 6" xfId="28519" xr:uid="{00000000-0005-0000-0000-00003F700000}"/>
    <cellStyle name="Normal 19 3 5 2 7" xfId="15455" xr:uid="{00000000-0005-0000-0000-000040700000}"/>
    <cellStyle name="Normal 19 3 5 3" xfId="1831" xr:uid="{00000000-0005-0000-0000-000041700000}"/>
    <cellStyle name="Normal 19 3 5 3 2" xfId="8365" xr:uid="{00000000-0005-0000-0000-000042700000}"/>
    <cellStyle name="Normal 19 3 5 3 2 2" xfId="40106" xr:uid="{00000000-0005-0000-0000-000043700000}"/>
    <cellStyle name="Normal 19 3 5 3 2 2 2" xfId="56206" xr:uid="{00000000-0005-0000-0000-000044700000}"/>
    <cellStyle name="Normal 19 3 5 3 2 3" xfId="46639" xr:uid="{00000000-0005-0000-0000-000045700000}"/>
    <cellStyle name="Normal 19 3 5 3 2 4" xfId="30539" xr:uid="{00000000-0005-0000-0000-000046700000}"/>
    <cellStyle name="Normal 19 3 5 3 2 5" xfId="20970" xr:uid="{00000000-0005-0000-0000-000047700000}"/>
    <cellStyle name="Normal 19 3 5 3 3" xfId="11401" xr:uid="{00000000-0005-0000-0000-000048700000}"/>
    <cellStyle name="Normal 19 3 5 3 3 2" xfId="49675" xr:uid="{00000000-0005-0000-0000-000049700000}"/>
    <cellStyle name="Normal 19 3 5 3 3 3" xfId="33575" xr:uid="{00000000-0005-0000-0000-00004A700000}"/>
    <cellStyle name="Normal 19 3 5 3 3 4" xfId="24006" xr:uid="{00000000-0005-0000-0000-00004B700000}"/>
    <cellStyle name="Normal 19 3 5 3 4" xfId="5329" xr:uid="{00000000-0005-0000-0000-00004C700000}"/>
    <cellStyle name="Normal 19 3 5 3 4 2" xfId="53170" xr:uid="{00000000-0005-0000-0000-00004D700000}"/>
    <cellStyle name="Normal 19 3 5 3 4 3" xfId="37070" xr:uid="{00000000-0005-0000-0000-00004E700000}"/>
    <cellStyle name="Normal 19 3 5 3 4 4" xfId="17934" xr:uid="{00000000-0005-0000-0000-00004F700000}"/>
    <cellStyle name="Normal 19 3 5 3 5" xfId="43603" xr:uid="{00000000-0005-0000-0000-000050700000}"/>
    <cellStyle name="Normal 19 3 5 3 6" xfId="27503" xr:uid="{00000000-0005-0000-0000-000051700000}"/>
    <cellStyle name="Normal 19 3 5 3 7" xfId="14439" xr:uid="{00000000-0005-0000-0000-000052700000}"/>
    <cellStyle name="Normal 19 3 5 4" xfId="7355" xr:uid="{00000000-0005-0000-0000-000053700000}"/>
    <cellStyle name="Normal 19 3 5 4 2" xfId="39096" xr:uid="{00000000-0005-0000-0000-000054700000}"/>
    <cellStyle name="Normal 19 3 5 4 2 2" xfId="55196" xr:uid="{00000000-0005-0000-0000-000055700000}"/>
    <cellStyle name="Normal 19 3 5 4 3" xfId="45629" xr:uid="{00000000-0005-0000-0000-000056700000}"/>
    <cellStyle name="Normal 19 3 5 4 4" xfId="29529" xr:uid="{00000000-0005-0000-0000-000057700000}"/>
    <cellStyle name="Normal 19 3 5 4 5" xfId="19960" xr:uid="{00000000-0005-0000-0000-000058700000}"/>
    <cellStyle name="Normal 19 3 5 5" xfId="10391" xr:uid="{00000000-0005-0000-0000-000059700000}"/>
    <cellStyle name="Normal 19 3 5 5 2" xfId="48665" xr:uid="{00000000-0005-0000-0000-00005A700000}"/>
    <cellStyle name="Normal 19 3 5 5 3" xfId="32565" xr:uid="{00000000-0005-0000-0000-00005B700000}"/>
    <cellStyle name="Normal 19 3 5 5 4" xfId="22996" xr:uid="{00000000-0005-0000-0000-00005C700000}"/>
    <cellStyle name="Normal 19 3 5 6" xfId="4319" xr:uid="{00000000-0005-0000-0000-00005D700000}"/>
    <cellStyle name="Normal 19 3 5 6 2" xfId="52160" xr:uid="{00000000-0005-0000-0000-00005E700000}"/>
    <cellStyle name="Normal 19 3 5 6 3" xfId="36060" xr:uid="{00000000-0005-0000-0000-00005F700000}"/>
    <cellStyle name="Normal 19 3 5 6 4" xfId="16924" xr:uid="{00000000-0005-0000-0000-000060700000}"/>
    <cellStyle name="Normal 19 3 5 7" xfId="42593" xr:uid="{00000000-0005-0000-0000-000061700000}"/>
    <cellStyle name="Normal 19 3 5 8" xfId="26493" xr:uid="{00000000-0005-0000-0000-000062700000}"/>
    <cellStyle name="Normal 19 3 5 9" xfId="13429" xr:uid="{00000000-0005-0000-0000-000063700000}"/>
    <cellStyle name="Normal 19 3 6" xfId="2148" xr:uid="{00000000-0005-0000-0000-000064700000}"/>
    <cellStyle name="Normal 19 3 6 2" xfId="8682" xr:uid="{00000000-0005-0000-0000-000065700000}"/>
    <cellStyle name="Normal 19 3 6 2 2" xfId="40423" xr:uid="{00000000-0005-0000-0000-000066700000}"/>
    <cellStyle name="Normal 19 3 6 2 2 2" xfId="56523" xr:uid="{00000000-0005-0000-0000-000067700000}"/>
    <cellStyle name="Normal 19 3 6 2 3" xfId="46956" xr:uid="{00000000-0005-0000-0000-000068700000}"/>
    <cellStyle name="Normal 19 3 6 2 4" xfId="30856" xr:uid="{00000000-0005-0000-0000-000069700000}"/>
    <cellStyle name="Normal 19 3 6 2 5" xfId="21287" xr:uid="{00000000-0005-0000-0000-00006A700000}"/>
    <cellStyle name="Normal 19 3 6 3" xfId="11718" xr:uid="{00000000-0005-0000-0000-00006B700000}"/>
    <cellStyle name="Normal 19 3 6 3 2" xfId="49992" xr:uid="{00000000-0005-0000-0000-00006C700000}"/>
    <cellStyle name="Normal 19 3 6 3 3" xfId="33892" xr:uid="{00000000-0005-0000-0000-00006D700000}"/>
    <cellStyle name="Normal 19 3 6 3 4" xfId="24323" xr:uid="{00000000-0005-0000-0000-00006E700000}"/>
    <cellStyle name="Normal 19 3 6 4" xfId="5646" xr:uid="{00000000-0005-0000-0000-00006F700000}"/>
    <cellStyle name="Normal 19 3 6 4 2" xfId="53487" xr:uid="{00000000-0005-0000-0000-000070700000}"/>
    <cellStyle name="Normal 19 3 6 4 3" xfId="37387" xr:uid="{00000000-0005-0000-0000-000071700000}"/>
    <cellStyle name="Normal 19 3 6 4 4" xfId="18251" xr:uid="{00000000-0005-0000-0000-000072700000}"/>
    <cellStyle name="Normal 19 3 6 5" xfId="43920" xr:uid="{00000000-0005-0000-0000-000073700000}"/>
    <cellStyle name="Normal 19 3 6 6" xfId="27820" xr:uid="{00000000-0005-0000-0000-000074700000}"/>
    <cellStyle name="Normal 19 3 6 7" xfId="14756" xr:uid="{00000000-0005-0000-0000-000075700000}"/>
    <cellStyle name="Normal 19 3 7" xfId="1148" xr:uid="{00000000-0005-0000-0000-000076700000}"/>
    <cellStyle name="Normal 19 3 7 2" xfId="7682" xr:uid="{00000000-0005-0000-0000-000077700000}"/>
    <cellStyle name="Normal 19 3 7 2 2" xfId="39423" xr:uid="{00000000-0005-0000-0000-000078700000}"/>
    <cellStyle name="Normal 19 3 7 2 2 2" xfId="55523" xr:uid="{00000000-0005-0000-0000-000079700000}"/>
    <cellStyle name="Normal 19 3 7 2 3" xfId="45956" xr:uid="{00000000-0005-0000-0000-00007A700000}"/>
    <cellStyle name="Normal 19 3 7 2 4" xfId="29856" xr:uid="{00000000-0005-0000-0000-00007B700000}"/>
    <cellStyle name="Normal 19 3 7 2 5" xfId="20287" xr:uid="{00000000-0005-0000-0000-00007C700000}"/>
    <cellStyle name="Normal 19 3 7 3" xfId="10718" xr:uid="{00000000-0005-0000-0000-00007D700000}"/>
    <cellStyle name="Normal 19 3 7 3 2" xfId="48992" xr:uid="{00000000-0005-0000-0000-00007E700000}"/>
    <cellStyle name="Normal 19 3 7 3 3" xfId="32892" xr:uid="{00000000-0005-0000-0000-00007F700000}"/>
    <cellStyle name="Normal 19 3 7 3 4" xfId="23323" xr:uid="{00000000-0005-0000-0000-000080700000}"/>
    <cellStyle name="Normal 19 3 7 4" xfId="4646" xr:uid="{00000000-0005-0000-0000-000081700000}"/>
    <cellStyle name="Normal 19 3 7 4 2" xfId="52487" xr:uid="{00000000-0005-0000-0000-000082700000}"/>
    <cellStyle name="Normal 19 3 7 4 3" xfId="36387" xr:uid="{00000000-0005-0000-0000-000083700000}"/>
    <cellStyle name="Normal 19 3 7 4 4" xfId="17251" xr:uid="{00000000-0005-0000-0000-000084700000}"/>
    <cellStyle name="Normal 19 3 7 5" xfId="42920" xr:uid="{00000000-0005-0000-0000-000085700000}"/>
    <cellStyle name="Normal 19 3 7 6" xfId="26820" xr:uid="{00000000-0005-0000-0000-000086700000}"/>
    <cellStyle name="Normal 19 3 7 7" xfId="13756" xr:uid="{00000000-0005-0000-0000-000087700000}"/>
    <cellStyle name="Normal 19 3 8" xfId="3636" xr:uid="{00000000-0005-0000-0000-000088700000}"/>
    <cellStyle name="Normal 19 3 8 2" xfId="35377" xr:uid="{00000000-0005-0000-0000-000089700000}"/>
    <cellStyle name="Normal 19 3 8 2 2" xfId="51477" xr:uid="{00000000-0005-0000-0000-00008A700000}"/>
    <cellStyle name="Normal 19 3 8 3" xfId="41910" xr:uid="{00000000-0005-0000-0000-00008B700000}"/>
    <cellStyle name="Normal 19 3 8 4" xfId="25810" xr:uid="{00000000-0005-0000-0000-00008C700000}"/>
    <cellStyle name="Normal 19 3 8 5" xfId="16241" xr:uid="{00000000-0005-0000-0000-00008D700000}"/>
    <cellStyle name="Normal 19 3 9" xfId="6672" xr:uid="{00000000-0005-0000-0000-00008E700000}"/>
    <cellStyle name="Normal 19 3 9 2" xfId="38413" xr:uid="{00000000-0005-0000-0000-00008F700000}"/>
    <cellStyle name="Normal 19 3 9 2 2" xfId="54513" xr:uid="{00000000-0005-0000-0000-000090700000}"/>
    <cellStyle name="Normal 19 3 9 3" xfId="44946" xr:uid="{00000000-0005-0000-0000-000091700000}"/>
    <cellStyle name="Normal 19 3 9 4" xfId="28846" xr:uid="{00000000-0005-0000-0000-000092700000}"/>
    <cellStyle name="Normal 19 3 9 5" xfId="19277" xr:uid="{00000000-0005-0000-0000-000093700000}"/>
    <cellStyle name="Normal 19 4" xfId="89" xr:uid="{00000000-0005-0000-0000-000094700000}"/>
    <cellStyle name="Normal 19 4 10" xfId="3193" xr:uid="{00000000-0005-0000-0000-000095700000}"/>
    <cellStyle name="Normal 19 4 10 2" xfId="51035" xr:uid="{00000000-0005-0000-0000-000096700000}"/>
    <cellStyle name="Normal 19 4 10 3" xfId="34935" xr:uid="{00000000-0005-0000-0000-000097700000}"/>
    <cellStyle name="Normal 19 4 10 4" xfId="15799" xr:uid="{00000000-0005-0000-0000-000098700000}"/>
    <cellStyle name="Normal 19 4 11" xfId="41468" xr:uid="{00000000-0005-0000-0000-000099700000}"/>
    <cellStyle name="Normal 19 4 12" xfId="25368" xr:uid="{00000000-0005-0000-0000-00009A700000}"/>
    <cellStyle name="Normal 19 4 13" xfId="12763" xr:uid="{00000000-0005-0000-0000-00009B700000}"/>
    <cellStyle name="Normal 19 4 2" xfId="270" xr:uid="{00000000-0005-0000-0000-00009C700000}"/>
    <cellStyle name="Normal 19 4 2 10" xfId="25605" xr:uid="{00000000-0005-0000-0000-00009D700000}"/>
    <cellStyle name="Normal 19 4 2 11" xfId="13099" xr:uid="{00000000-0005-0000-0000-00009E700000}"/>
    <cellStyle name="Normal 19 4 2 2" xfId="1050" xr:uid="{00000000-0005-0000-0000-00009F700000}"/>
    <cellStyle name="Normal 19 4 2 2 2" xfId="3078" xr:uid="{00000000-0005-0000-0000-0000A0700000}"/>
    <cellStyle name="Normal 19 4 2 2 2 2" xfId="9610" xr:uid="{00000000-0005-0000-0000-0000A1700000}"/>
    <cellStyle name="Normal 19 4 2 2 2 2 2" xfId="41351" xr:uid="{00000000-0005-0000-0000-0000A2700000}"/>
    <cellStyle name="Normal 19 4 2 2 2 2 2 2" xfId="57451" xr:uid="{00000000-0005-0000-0000-0000A3700000}"/>
    <cellStyle name="Normal 19 4 2 2 2 2 3" xfId="47884" xr:uid="{00000000-0005-0000-0000-0000A4700000}"/>
    <cellStyle name="Normal 19 4 2 2 2 2 4" xfId="31784" xr:uid="{00000000-0005-0000-0000-0000A5700000}"/>
    <cellStyle name="Normal 19 4 2 2 2 2 5" xfId="22215" xr:uid="{00000000-0005-0000-0000-0000A6700000}"/>
    <cellStyle name="Normal 19 4 2 2 2 3" xfId="12646" xr:uid="{00000000-0005-0000-0000-0000A7700000}"/>
    <cellStyle name="Normal 19 4 2 2 2 3 2" xfId="50920" xr:uid="{00000000-0005-0000-0000-0000A8700000}"/>
    <cellStyle name="Normal 19 4 2 2 2 3 3" xfId="34820" xr:uid="{00000000-0005-0000-0000-0000A9700000}"/>
    <cellStyle name="Normal 19 4 2 2 2 3 4" xfId="25251" xr:uid="{00000000-0005-0000-0000-0000AA700000}"/>
    <cellStyle name="Normal 19 4 2 2 2 4" xfId="6574" xr:uid="{00000000-0005-0000-0000-0000AB700000}"/>
    <cellStyle name="Normal 19 4 2 2 2 4 2" xfId="54415" xr:uid="{00000000-0005-0000-0000-0000AC700000}"/>
    <cellStyle name="Normal 19 4 2 2 2 4 3" xfId="38315" xr:uid="{00000000-0005-0000-0000-0000AD700000}"/>
    <cellStyle name="Normal 19 4 2 2 2 4 4" xfId="19179" xr:uid="{00000000-0005-0000-0000-0000AE700000}"/>
    <cellStyle name="Normal 19 4 2 2 2 5" xfId="44848" xr:uid="{00000000-0005-0000-0000-0000AF700000}"/>
    <cellStyle name="Normal 19 4 2 2 2 6" xfId="28748" xr:uid="{00000000-0005-0000-0000-0000B0700000}"/>
    <cellStyle name="Normal 19 4 2 2 2 7" xfId="15684" xr:uid="{00000000-0005-0000-0000-0000B1700000}"/>
    <cellStyle name="Normal 19 4 2 2 3" xfId="2060" xr:uid="{00000000-0005-0000-0000-0000B2700000}"/>
    <cellStyle name="Normal 19 4 2 2 3 2" xfId="8594" xr:uid="{00000000-0005-0000-0000-0000B3700000}"/>
    <cellStyle name="Normal 19 4 2 2 3 2 2" xfId="40335" xr:uid="{00000000-0005-0000-0000-0000B4700000}"/>
    <cellStyle name="Normal 19 4 2 2 3 2 2 2" xfId="56435" xr:uid="{00000000-0005-0000-0000-0000B5700000}"/>
    <cellStyle name="Normal 19 4 2 2 3 2 3" xfId="46868" xr:uid="{00000000-0005-0000-0000-0000B6700000}"/>
    <cellStyle name="Normal 19 4 2 2 3 2 4" xfId="30768" xr:uid="{00000000-0005-0000-0000-0000B7700000}"/>
    <cellStyle name="Normal 19 4 2 2 3 2 5" xfId="21199" xr:uid="{00000000-0005-0000-0000-0000B8700000}"/>
    <cellStyle name="Normal 19 4 2 2 3 3" xfId="11630" xr:uid="{00000000-0005-0000-0000-0000B9700000}"/>
    <cellStyle name="Normal 19 4 2 2 3 3 2" xfId="49904" xr:uid="{00000000-0005-0000-0000-0000BA700000}"/>
    <cellStyle name="Normal 19 4 2 2 3 3 3" xfId="33804" xr:uid="{00000000-0005-0000-0000-0000BB700000}"/>
    <cellStyle name="Normal 19 4 2 2 3 3 4" xfId="24235" xr:uid="{00000000-0005-0000-0000-0000BC700000}"/>
    <cellStyle name="Normal 19 4 2 2 3 4" xfId="5558" xr:uid="{00000000-0005-0000-0000-0000BD700000}"/>
    <cellStyle name="Normal 19 4 2 2 3 4 2" xfId="53399" xr:uid="{00000000-0005-0000-0000-0000BE700000}"/>
    <cellStyle name="Normal 19 4 2 2 3 4 3" xfId="37299" xr:uid="{00000000-0005-0000-0000-0000BF700000}"/>
    <cellStyle name="Normal 19 4 2 2 3 4 4" xfId="18163" xr:uid="{00000000-0005-0000-0000-0000C0700000}"/>
    <cellStyle name="Normal 19 4 2 2 3 5" xfId="43832" xr:uid="{00000000-0005-0000-0000-0000C1700000}"/>
    <cellStyle name="Normal 19 4 2 2 3 6" xfId="27732" xr:uid="{00000000-0005-0000-0000-0000C2700000}"/>
    <cellStyle name="Normal 19 4 2 2 3 7" xfId="14668" xr:uid="{00000000-0005-0000-0000-0000C3700000}"/>
    <cellStyle name="Normal 19 4 2 2 4" xfId="7584" xr:uid="{00000000-0005-0000-0000-0000C4700000}"/>
    <cellStyle name="Normal 19 4 2 2 4 2" xfId="39325" xr:uid="{00000000-0005-0000-0000-0000C5700000}"/>
    <cellStyle name="Normal 19 4 2 2 4 2 2" xfId="55425" xr:uid="{00000000-0005-0000-0000-0000C6700000}"/>
    <cellStyle name="Normal 19 4 2 2 4 3" xfId="45858" xr:uid="{00000000-0005-0000-0000-0000C7700000}"/>
    <cellStyle name="Normal 19 4 2 2 4 4" xfId="29758" xr:uid="{00000000-0005-0000-0000-0000C8700000}"/>
    <cellStyle name="Normal 19 4 2 2 4 5" xfId="20189" xr:uid="{00000000-0005-0000-0000-0000C9700000}"/>
    <cellStyle name="Normal 19 4 2 2 5" xfId="10620" xr:uid="{00000000-0005-0000-0000-0000CA700000}"/>
    <cellStyle name="Normal 19 4 2 2 5 2" xfId="48894" xr:uid="{00000000-0005-0000-0000-0000CB700000}"/>
    <cellStyle name="Normal 19 4 2 2 5 3" xfId="32794" xr:uid="{00000000-0005-0000-0000-0000CC700000}"/>
    <cellStyle name="Normal 19 4 2 2 5 4" xfId="23225" xr:uid="{00000000-0005-0000-0000-0000CD700000}"/>
    <cellStyle name="Normal 19 4 2 2 6" xfId="4548" xr:uid="{00000000-0005-0000-0000-0000CE700000}"/>
    <cellStyle name="Normal 19 4 2 2 6 2" xfId="52389" xr:uid="{00000000-0005-0000-0000-0000CF700000}"/>
    <cellStyle name="Normal 19 4 2 2 6 3" xfId="36289" xr:uid="{00000000-0005-0000-0000-0000D0700000}"/>
    <cellStyle name="Normal 19 4 2 2 6 4" xfId="17153" xr:uid="{00000000-0005-0000-0000-0000D1700000}"/>
    <cellStyle name="Normal 19 4 2 2 7" xfId="42822" xr:uid="{00000000-0005-0000-0000-0000D2700000}"/>
    <cellStyle name="Normal 19 4 2 2 8" xfId="26722" xr:uid="{00000000-0005-0000-0000-0000D3700000}"/>
    <cellStyle name="Normal 19 4 2 2 9" xfId="13658" xr:uid="{00000000-0005-0000-0000-0000D4700000}"/>
    <cellStyle name="Normal 19 4 2 3" xfId="2289" xr:uid="{00000000-0005-0000-0000-0000D5700000}"/>
    <cellStyle name="Normal 19 4 2 3 2" xfId="8823" xr:uid="{00000000-0005-0000-0000-0000D6700000}"/>
    <cellStyle name="Normal 19 4 2 3 2 2" xfId="40564" xr:uid="{00000000-0005-0000-0000-0000D7700000}"/>
    <cellStyle name="Normal 19 4 2 3 2 2 2" xfId="56664" xr:uid="{00000000-0005-0000-0000-0000D8700000}"/>
    <cellStyle name="Normal 19 4 2 3 2 3" xfId="47097" xr:uid="{00000000-0005-0000-0000-0000D9700000}"/>
    <cellStyle name="Normal 19 4 2 3 2 4" xfId="30997" xr:uid="{00000000-0005-0000-0000-0000DA700000}"/>
    <cellStyle name="Normal 19 4 2 3 2 5" xfId="21428" xr:uid="{00000000-0005-0000-0000-0000DB700000}"/>
    <cellStyle name="Normal 19 4 2 3 3" xfId="11859" xr:uid="{00000000-0005-0000-0000-0000DC700000}"/>
    <cellStyle name="Normal 19 4 2 3 3 2" xfId="50133" xr:uid="{00000000-0005-0000-0000-0000DD700000}"/>
    <cellStyle name="Normal 19 4 2 3 3 3" xfId="34033" xr:uid="{00000000-0005-0000-0000-0000DE700000}"/>
    <cellStyle name="Normal 19 4 2 3 3 4" xfId="24464" xr:uid="{00000000-0005-0000-0000-0000DF700000}"/>
    <cellStyle name="Normal 19 4 2 3 4" xfId="5787" xr:uid="{00000000-0005-0000-0000-0000E0700000}"/>
    <cellStyle name="Normal 19 4 2 3 4 2" xfId="53628" xr:uid="{00000000-0005-0000-0000-0000E1700000}"/>
    <cellStyle name="Normal 19 4 2 3 4 3" xfId="37528" xr:uid="{00000000-0005-0000-0000-0000E2700000}"/>
    <cellStyle name="Normal 19 4 2 3 4 4" xfId="18392" xr:uid="{00000000-0005-0000-0000-0000E3700000}"/>
    <cellStyle name="Normal 19 4 2 3 5" xfId="44061" xr:uid="{00000000-0005-0000-0000-0000E4700000}"/>
    <cellStyle name="Normal 19 4 2 3 6" xfId="27961" xr:uid="{00000000-0005-0000-0000-0000E5700000}"/>
    <cellStyle name="Normal 19 4 2 3 7" xfId="14897" xr:uid="{00000000-0005-0000-0000-0000E6700000}"/>
    <cellStyle name="Normal 19 4 2 4" xfId="1501" xr:uid="{00000000-0005-0000-0000-0000E7700000}"/>
    <cellStyle name="Normal 19 4 2 4 2" xfId="8035" xr:uid="{00000000-0005-0000-0000-0000E8700000}"/>
    <cellStyle name="Normal 19 4 2 4 2 2" xfId="39776" xr:uid="{00000000-0005-0000-0000-0000E9700000}"/>
    <cellStyle name="Normal 19 4 2 4 2 2 2" xfId="55876" xr:uid="{00000000-0005-0000-0000-0000EA700000}"/>
    <cellStyle name="Normal 19 4 2 4 2 3" xfId="46309" xr:uid="{00000000-0005-0000-0000-0000EB700000}"/>
    <cellStyle name="Normal 19 4 2 4 2 4" xfId="30209" xr:uid="{00000000-0005-0000-0000-0000EC700000}"/>
    <cellStyle name="Normal 19 4 2 4 2 5" xfId="20640" xr:uid="{00000000-0005-0000-0000-0000ED700000}"/>
    <cellStyle name="Normal 19 4 2 4 3" xfId="11071" xr:uid="{00000000-0005-0000-0000-0000EE700000}"/>
    <cellStyle name="Normal 19 4 2 4 3 2" xfId="49345" xr:uid="{00000000-0005-0000-0000-0000EF700000}"/>
    <cellStyle name="Normal 19 4 2 4 3 3" xfId="33245" xr:uid="{00000000-0005-0000-0000-0000F0700000}"/>
    <cellStyle name="Normal 19 4 2 4 3 4" xfId="23676" xr:uid="{00000000-0005-0000-0000-0000F1700000}"/>
    <cellStyle name="Normal 19 4 2 4 4" xfId="4999" xr:uid="{00000000-0005-0000-0000-0000F2700000}"/>
    <cellStyle name="Normal 19 4 2 4 4 2" xfId="52840" xr:uid="{00000000-0005-0000-0000-0000F3700000}"/>
    <cellStyle name="Normal 19 4 2 4 4 3" xfId="36740" xr:uid="{00000000-0005-0000-0000-0000F4700000}"/>
    <cellStyle name="Normal 19 4 2 4 4 4" xfId="17604" xr:uid="{00000000-0005-0000-0000-0000F5700000}"/>
    <cellStyle name="Normal 19 4 2 4 5" xfId="43273" xr:uid="{00000000-0005-0000-0000-0000F6700000}"/>
    <cellStyle name="Normal 19 4 2 4 6" xfId="27173" xr:uid="{00000000-0005-0000-0000-0000F7700000}"/>
    <cellStyle name="Normal 19 4 2 4 7" xfId="14109" xr:uid="{00000000-0005-0000-0000-0000F8700000}"/>
    <cellStyle name="Normal 19 4 2 5" xfId="3989" xr:uid="{00000000-0005-0000-0000-0000F9700000}"/>
    <cellStyle name="Normal 19 4 2 5 2" xfId="35730" xr:uid="{00000000-0005-0000-0000-0000FA700000}"/>
    <cellStyle name="Normal 19 4 2 5 2 2" xfId="51830" xr:uid="{00000000-0005-0000-0000-0000FB700000}"/>
    <cellStyle name="Normal 19 4 2 5 3" xfId="42263" xr:uid="{00000000-0005-0000-0000-0000FC700000}"/>
    <cellStyle name="Normal 19 4 2 5 4" xfId="26163" xr:uid="{00000000-0005-0000-0000-0000FD700000}"/>
    <cellStyle name="Normal 19 4 2 5 5" xfId="16594" xr:uid="{00000000-0005-0000-0000-0000FE700000}"/>
    <cellStyle name="Normal 19 4 2 6" xfId="7025" xr:uid="{00000000-0005-0000-0000-0000FF700000}"/>
    <cellStyle name="Normal 19 4 2 6 2" xfId="38766" xr:uid="{00000000-0005-0000-0000-000000710000}"/>
    <cellStyle name="Normal 19 4 2 6 2 2" xfId="54866" xr:uid="{00000000-0005-0000-0000-000001710000}"/>
    <cellStyle name="Normal 19 4 2 6 3" xfId="45299" xr:uid="{00000000-0005-0000-0000-000002710000}"/>
    <cellStyle name="Normal 19 4 2 6 4" xfId="29199" xr:uid="{00000000-0005-0000-0000-000003710000}"/>
    <cellStyle name="Normal 19 4 2 6 5" xfId="19630" xr:uid="{00000000-0005-0000-0000-000004710000}"/>
    <cellStyle name="Normal 19 4 2 7" xfId="10061" xr:uid="{00000000-0005-0000-0000-000005710000}"/>
    <cellStyle name="Normal 19 4 2 7 2" xfId="48335" xr:uid="{00000000-0005-0000-0000-000006710000}"/>
    <cellStyle name="Normal 19 4 2 7 3" xfId="32235" xr:uid="{00000000-0005-0000-0000-000007710000}"/>
    <cellStyle name="Normal 19 4 2 7 4" xfId="22666" xr:uid="{00000000-0005-0000-0000-000008710000}"/>
    <cellStyle name="Normal 19 4 2 8" xfId="3431" xr:uid="{00000000-0005-0000-0000-000009710000}"/>
    <cellStyle name="Normal 19 4 2 8 2" xfId="51272" xr:uid="{00000000-0005-0000-0000-00000A710000}"/>
    <cellStyle name="Normal 19 4 2 8 3" xfId="35172" xr:uid="{00000000-0005-0000-0000-00000B710000}"/>
    <cellStyle name="Normal 19 4 2 8 4" xfId="16036" xr:uid="{00000000-0005-0000-0000-00000C710000}"/>
    <cellStyle name="Normal 19 4 2 9" xfId="41705" xr:uid="{00000000-0005-0000-0000-00000D710000}"/>
    <cellStyle name="Normal 19 4 3" xfId="545" xr:uid="{00000000-0005-0000-0000-00000E710000}"/>
    <cellStyle name="Normal 19 4 3 2" xfId="2575" xr:uid="{00000000-0005-0000-0000-00000F710000}"/>
    <cellStyle name="Normal 19 4 3 2 2" xfId="9107" xr:uid="{00000000-0005-0000-0000-000010710000}"/>
    <cellStyle name="Normal 19 4 3 2 2 2" xfId="40848" xr:uid="{00000000-0005-0000-0000-000011710000}"/>
    <cellStyle name="Normal 19 4 3 2 2 2 2" xfId="56948" xr:uid="{00000000-0005-0000-0000-000012710000}"/>
    <cellStyle name="Normal 19 4 3 2 2 3" xfId="47381" xr:uid="{00000000-0005-0000-0000-000013710000}"/>
    <cellStyle name="Normal 19 4 3 2 2 4" xfId="31281" xr:uid="{00000000-0005-0000-0000-000014710000}"/>
    <cellStyle name="Normal 19 4 3 2 2 5" xfId="21712" xr:uid="{00000000-0005-0000-0000-000015710000}"/>
    <cellStyle name="Normal 19 4 3 2 3" xfId="12143" xr:uid="{00000000-0005-0000-0000-000016710000}"/>
    <cellStyle name="Normal 19 4 3 2 3 2" xfId="50417" xr:uid="{00000000-0005-0000-0000-000017710000}"/>
    <cellStyle name="Normal 19 4 3 2 3 3" xfId="34317" xr:uid="{00000000-0005-0000-0000-000018710000}"/>
    <cellStyle name="Normal 19 4 3 2 3 4" xfId="24748" xr:uid="{00000000-0005-0000-0000-000019710000}"/>
    <cellStyle name="Normal 19 4 3 2 4" xfId="6071" xr:uid="{00000000-0005-0000-0000-00001A710000}"/>
    <cellStyle name="Normal 19 4 3 2 4 2" xfId="53912" xr:uid="{00000000-0005-0000-0000-00001B710000}"/>
    <cellStyle name="Normal 19 4 3 2 4 3" xfId="37812" xr:uid="{00000000-0005-0000-0000-00001C710000}"/>
    <cellStyle name="Normal 19 4 3 2 4 4" xfId="18676" xr:uid="{00000000-0005-0000-0000-00001D710000}"/>
    <cellStyle name="Normal 19 4 3 2 5" xfId="44345" xr:uid="{00000000-0005-0000-0000-00001E710000}"/>
    <cellStyle name="Normal 19 4 3 2 6" xfId="28245" xr:uid="{00000000-0005-0000-0000-00001F710000}"/>
    <cellStyle name="Normal 19 4 3 2 7" xfId="15181" xr:uid="{00000000-0005-0000-0000-000020710000}"/>
    <cellStyle name="Normal 19 4 3 3" xfId="1324" xr:uid="{00000000-0005-0000-0000-000021710000}"/>
    <cellStyle name="Normal 19 4 3 3 2" xfId="7858" xr:uid="{00000000-0005-0000-0000-000022710000}"/>
    <cellStyle name="Normal 19 4 3 3 2 2" xfId="39599" xr:uid="{00000000-0005-0000-0000-000023710000}"/>
    <cellStyle name="Normal 19 4 3 3 2 2 2" xfId="55699" xr:uid="{00000000-0005-0000-0000-000024710000}"/>
    <cellStyle name="Normal 19 4 3 3 2 3" xfId="46132" xr:uid="{00000000-0005-0000-0000-000025710000}"/>
    <cellStyle name="Normal 19 4 3 3 2 4" xfId="30032" xr:uid="{00000000-0005-0000-0000-000026710000}"/>
    <cellStyle name="Normal 19 4 3 3 2 5" xfId="20463" xr:uid="{00000000-0005-0000-0000-000027710000}"/>
    <cellStyle name="Normal 19 4 3 3 3" xfId="10894" xr:uid="{00000000-0005-0000-0000-000028710000}"/>
    <cellStyle name="Normal 19 4 3 3 3 2" xfId="49168" xr:uid="{00000000-0005-0000-0000-000029710000}"/>
    <cellStyle name="Normal 19 4 3 3 3 3" xfId="33068" xr:uid="{00000000-0005-0000-0000-00002A710000}"/>
    <cellStyle name="Normal 19 4 3 3 3 4" xfId="23499" xr:uid="{00000000-0005-0000-0000-00002B710000}"/>
    <cellStyle name="Normal 19 4 3 3 4" xfId="4822" xr:uid="{00000000-0005-0000-0000-00002C710000}"/>
    <cellStyle name="Normal 19 4 3 3 4 2" xfId="52663" xr:uid="{00000000-0005-0000-0000-00002D710000}"/>
    <cellStyle name="Normal 19 4 3 3 4 3" xfId="36563" xr:uid="{00000000-0005-0000-0000-00002E710000}"/>
    <cellStyle name="Normal 19 4 3 3 4 4" xfId="17427" xr:uid="{00000000-0005-0000-0000-00002F710000}"/>
    <cellStyle name="Normal 19 4 3 3 5" xfId="43096" xr:uid="{00000000-0005-0000-0000-000030710000}"/>
    <cellStyle name="Normal 19 4 3 3 6" xfId="26996" xr:uid="{00000000-0005-0000-0000-000031710000}"/>
    <cellStyle name="Normal 19 4 3 3 7" xfId="13932" xr:uid="{00000000-0005-0000-0000-000032710000}"/>
    <cellStyle name="Normal 19 4 3 4" xfId="6848" xr:uid="{00000000-0005-0000-0000-000033710000}"/>
    <cellStyle name="Normal 19 4 3 4 2" xfId="38589" xr:uid="{00000000-0005-0000-0000-000034710000}"/>
    <cellStyle name="Normal 19 4 3 4 2 2" xfId="54689" xr:uid="{00000000-0005-0000-0000-000035710000}"/>
    <cellStyle name="Normal 19 4 3 4 3" xfId="45122" xr:uid="{00000000-0005-0000-0000-000036710000}"/>
    <cellStyle name="Normal 19 4 3 4 4" xfId="29022" xr:uid="{00000000-0005-0000-0000-000037710000}"/>
    <cellStyle name="Normal 19 4 3 4 5" xfId="19453" xr:uid="{00000000-0005-0000-0000-000038710000}"/>
    <cellStyle name="Normal 19 4 3 5" xfId="9884" xr:uid="{00000000-0005-0000-0000-000039710000}"/>
    <cellStyle name="Normal 19 4 3 5 2" xfId="48158" xr:uid="{00000000-0005-0000-0000-00003A710000}"/>
    <cellStyle name="Normal 19 4 3 5 3" xfId="32058" xr:uid="{00000000-0005-0000-0000-00003B710000}"/>
    <cellStyle name="Normal 19 4 3 5 4" xfId="22489" xr:uid="{00000000-0005-0000-0000-00003C710000}"/>
    <cellStyle name="Normal 19 4 3 6" xfId="3812" xr:uid="{00000000-0005-0000-0000-00003D710000}"/>
    <cellStyle name="Normal 19 4 3 6 2" xfId="51653" xr:uid="{00000000-0005-0000-0000-00003E710000}"/>
    <cellStyle name="Normal 19 4 3 6 3" xfId="35553" xr:uid="{00000000-0005-0000-0000-00003F710000}"/>
    <cellStyle name="Normal 19 4 3 6 4" xfId="16417" xr:uid="{00000000-0005-0000-0000-000040710000}"/>
    <cellStyle name="Normal 19 4 3 7" xfId="42086" xr:uid="{00000000-0005-0000-0000-000041710000}"/>
    <cellStyle name="Normal 19 4 3 8" xfId="25986" xr:uid="{00000000-0005-0000-0000-000042710000}"/>
    <cellStyle name="Normal 19 4 3 9" xfId="12922" xr:uid="{00000000-0005-0000-0000-000043710000}"/>
    <cellStyle name="Normal 19 4 4" xfId="838" xr:uid="{00000000-0005-0000-0000-000044710000}"/>
    <cellStyle name="Normal 19 4 4 2" xfId="2866" xr:uid="{00000000-0005-0000-0000-000045710000}"/>
    <cellStyle name="Normal 19 4 4 2 2" xfId="9398" xr:uid="{00000000-0005-0000-0000-000046710000}"/>
    <cellStyle name="Normal 19 4 4 2 2 2" xfId="41139" xr:uid="{00000000-0005-0000-0000-000047710000}"/>
    <cellStyle name="Normal 19 4 4 2 2 2 2" xfId="57239" xr:uid="{00000000-0005-0000-0000-000048710000}"/>
    <cellStyle name="Normal 19 4 4 2 2 3" xfId="47672" xr:uid="{00000000-0005-0000-0000-000049710000}"/>
    <cellStyle name="Normal 19 4 4 2 2 4" xfId="31572" xr:uid="{00000000-0005-0000-0000-00004A710000}"/>
    <cellStyle name="Normal 19 4 4 2 2 5" xfId="22003" xr:uid="{00000000-0005-0000-0000-00004B710000}"/>
    <cellStyle name="Normal 19 4 4 2 3" xfId="12434" xr:uid="{00000000-0005-0000-0000-00004C710000}"/>
    <cellStyle name="Normal 19 4 4 2 3 2" xfId="50708" xr:uid="{00000000-0005-0000-0000-00004D710000}"/>
    <cellStyle name="Normal 19 4 4 2 3 3" xfId="34608" xr:uid="{00000000-0005-0000-0000-00004E710000}"/>
    <cellStyle name="Normal 19 4 4 2 3 4" xfId="25039" xr:uid="{00000000-0005-0000-0000-00004F710000}"/>
    <cellStyle name="Normal 19 4 4 2 4" xfId="6362" xr:uid="{00000000-0005-0000-0000-000050710000}"/>
    <cellStyle name="Normal 19 4 4 2 4 2" xfId="54203" xr:uid="{00000000-0005-0000-0000-000051710000}"/>
    <cellStyle name="Normal 19 4 4 2 4 3" xfId="38103" xr:uid="{00000000-0005-0000-0000-000052710000}"/>
    <cellStyle name="Normal 19 4 4 2 4 4" xfId="18967" xr:uid="{00000000-0005-0000-0000-000053710000}"/>
    <cellStyle name="Normal 19 4 4 2 5" xfId="44636" xr:uid="{00000000-0005-0000-0000-000054710000}"/>
    <cellStyle name="Normal 19 4 4 2 6" xfId="28536" xr:uid="{00000000-0005-0000-0000-000055710000}"/>
    <cellStyle name="Normal 19 4 4 2 7" xfId="15472" xr:uid="{00000000-0005-0000-0000-000056710000}"/>
    <cellStyle name="Normal 19 4 4 3" xfId="1848" xr:uid="{00000000-0005-0000-0000-000057710000}"/>
    <cellStyle name="Normal 19 4 4 3 2" xfId="8382" xr:uid="{00000000-0005-0000-0000-000058710000}"/>
    <cellStyle name="Normal 19 4 4 3 2 2" xfId="40123" xr:uid="{00000000-0005-0000-0000-000059710000}"/>
    <cellStyle name="Normal 19 4 4 3 2 2 2" xfId="56223" xr:uid="{00000000-0005-0000-0000-00005A710000}"/>
    <cellStyle name="Normal 19 4 4 3 2 3" xfId="46656" xr:uid="{00000000-0005-0000-0000-00005B710000}"/>
    <cellStyle name="Normal 19 4 4 3 2 4" xfId="30556" xr:uid="{00000000-0005-0000-0000-00005C710000}"/>
    <cellStyle name="Normal 19 4 4 3 2 5" xfId="20987" xr:uid="{00000000-0005-0000-0000-00005D710000}"/>
    <cellStyle name="Normal 19 4 4 3 3" xfId="11418" xr:uid="{00000000-0005-0000-0000-00005E710000}"/>
    <cellStyle name="Normal 19 4 4 3 3 2" xfId="49692" xr:uid="{00000000-0005-0000-0000-00005F710000}"/>
    <cellStyle name="Normal 19 4 4 3 3 3" xfId="33592" xr:uid="{00000000-0005-0000-0000-000060710000}"/>
    <cellStyle name="Normal 19 4 4 3 3 4" xfId="24023" xr:uid="{00000000-0005-0000-0000-000061710000}"/>
    <cellStyle name="Normal 19 4 4 3 4" xfId="5346" xr:uid="{00000000-0005-0000-0000-000062710000}"/>
    <cellStyle name="Normal 19 4 4 3 4 2" xfId="53187" xr:uid="{00000000-0005-0000-0000-000063710000}"/>
    <cellStyle name="Normal 19 4 4 3 4 3" xfId="37087" xr:uid="{00000000-0005-0000-0000-000064710000}"/>
    <cellStyle name="Normal 19 4 4 3 4 4" xfId="17951" xr:uid="{00000000-0005-0000-0000-000065710000}"/>
    <cellStyle name="Normal 19 4 4 3 5" xfId="43620" xr:uid="{00000000-0005-0000-0000-000066710000}"/>
    <cellStyle name="Normal 19 4 4 3 6" xfId="27520" xr:uid="{00000000-0005-0000-0000-000067710000}"/>
    <cellStyle name="Normal 19 4 4 3 7" xfId="14456" xr:uid="{00000000-0005-0000-0000-000068710000}"/>
    <cellStyle name="Normal 19 4 4 4" xfId="7372" xr:uid="{00000000-0005-0000-0000-000069710000}"/>
    <cellStyle name="Normal 19 4 4 4 2" xfId="39113" xr:uid="{00000000-0005-0000-0000-00006A710000}"/>
    <cellStyle name="Normal 19 4 4 4 2 2" xfId="55213" xr:uid="{00000000-0005-0000-0000-00006B710000}"/>
    <cellStyle name="Normal 19 4 4 4 3" xfId="45646" xr:uid="{00000000-0005-0000-0000-00006C710000}"/>
    <cellStyle name="Normal 19 4 4 4 4" xfId="29546" xr:uid="{00000000-0005-0000-0000-00006D710000}"/>
    <cellStyle name="Normal 19 4 4 4 5" xfId="19977" xr:uid="{00000000-0005-0000-0000-00006E710000}"/>
    <cellStyle name="Normal 19 4 4 5" xfId="10408" xr:uid="{00000000-0005-0000-0000-00006F710000}"/>
    <cellStyle name="Normal 19 4 4 5 2" xfId="48682" xr:uid="{00000000-0005-0000-0000-000070710000}"/>
    <cellStyle name="Normal 19 4 4 5 3" xfId="32582" xr:uid="{00000000-0005-0000-0000-000071710000}"/>
    <cellStyle name="Normal 19 4 4 5 4" xfId="23013" xr:uid="{00000000-0005-0000-0000-000072710000}"/>
    <cellStyle name="Normal 19 4 4 6" xfId="4336" xr:uid="{00000000-0005-0000-0000-000073710000}"/>
    <cellStyle name="Normal 19 4 4 6 2" xfId="52177" xr:uid="{00000000-0005-0000-0000-000074710000}"/>
    <cellStyle name="Normal 19 4 4 6 3" xfId="36077" xr:uid="{00000000-0005-0000-0000-000075710000}"/>
    <cellStyle name="Normal 19 4 4 6 4" xfId="16941" xr:uid="{00000000-0005-0000-0000-000076710000}"/>
    <cellStyle name="Normal 19 4 4 7" xfId="42610" xr:uid="{00000000-0005-0000-0000-000077710000}"/>
    <cellStyle name="Normal 19 4 4 8" xfId="26510" xr:uid="{00000000-0005-0000-0000-000078710000}"/>
    <cellStyle name="Normal 19 4 4 9" xfId="13446" xr:uid="{00000000-0005-0000-0000-000079710000}"/>
    <cellStyle name="Normal 19 4 5" xfId="2112" xr:uid="{00000000-0005-0000-0000-00007A710000}"/>
    <cellStyle name="Normal 19 4 5 2" xfId="8646" xr:uid="{00000000-0005-0000-0000-00007B710000}"/>
    <cellStyle name="Normal 19 4 5 2 2" xfId="40387" xr:uid="{00000000-0005-0000-0000-00007C710000}"/>
    <cellStyle name="Normal 19 4 5 2 2 2" xfId="56487" xr:uid="{00000000-0005-0000-0000-00007D710000}"/>
    <cellStyle name="Normal 19 4 5 2 3" xfId="46920" xr:uid="{00000000-0005-0000-0000-00007E710000}"/>
    <cellStyle name="Normal 19 4 5 2 4" xfId="30820" xr:uid="{00000000-0005-0000-0000-00007F710000}"/>
    <cellStyle name="Normal 19 4 5 2 5" xfId="21251" xr:uid="{00000000-0005-0000-0000-000080710000}"/>
    <cellStyle name="Normal 19 4 5 3" xfId="11682" xr:uid="{00000000-0005-0000-0000-000081710000}"/>
    <cellStyle name="Normal 19 4 5 3 2" xfId="49956" xr:uid="{00000000-0005-0000-0000-000082710000}"/>
    <cellStyle name="Normal 19 4 5 3 3" xfId="33856" xr:uid="{00000000-0005-0000-0000-000083710000}"/>
    <cellStyle name="Normal 19 4 5 3 4" xfId="24287" xr:uid="{00000000-0005-0000-0000-000084710000}"/>
    <cellStyle name="Normal 19 4 5 4" xfId="5610" xr:uid="{00000000-0005-0000-0000-000085710000}"/>
    <cellStyle name="Normal 19 4 5 4 2" xfId="53451" xr:uid="{00000000-0005-0000-0000-000086710000}"/>
    <cellStyle name="Normal 19 4 5 4 3" xfId="37351" xr:uid="{00000000-0005-0000-0000-000087710000}"/>
    <cellStyle name="Normal 19 4 5 4 4" xfId="18215" xr:uid="{00000000-0005-0000-0000-000088710000}"/>
    <cellStyle name="Normal 19 4 5 5" xfId="43884" xr:uid="{00000000-0005-0000-0000-000089710000}"/>
    <cellStyle name="Normal 19 4 5 6" xfId="27784" xr:uid="{00000000-0005-0000-0000-00008A710000}"/>
    <cellStyle name="Normal 19 4 5 7" xfId="14720" xr:uid="{00000000-0005-0000-0000-00008B710000}"/>
    <cellStyle name="Normal 19 4 6" xfId="1165" xr:uid="{00000000-0005-0000-0000-00008C710000}"/>
    <cellStyle name="Normal 19 4 6 2" xfId="7699" xr:uid="{00000000-0005-0000-0000-00008D710000}"/>
    <cellStyle name="Normal 19 4 6 2 2" xfId="39440" xr:uid="{00000000-0005-0000-0000-00008E710000}"/>
    <cellStyle name="Normal 19 4 6 2 2 2" xfId="55540" xr:uid="{00000000-0005-0000-0000-00008F710000}"/>
    <cellStyle name="Normal 19 4 6 2 3" xfId="45973" xr:uid="{00000000-0005-0000-0000-000090710000}"/>
    <cellStyle name="Normal 19 4 6 2 4" xfId="29873" xr:uid="{00000000-0005-0000-0000-000091710000}"/>
    <cellStyle name="Normal 19 4 6 2 5" xfId="20304" xr:uid="{00000000-0005-0000-0000-000092710000}"/>
    <cellStyle name="Normal 19 4 6 3" xfId="10735" xr:uid="{00000000-0005-0000-0000-000093710000}"/>
    <cellStyle name="Normal 19 4 6 3 2" xfId="49009" xr:uid="{00000000-0005-0000-0000-000094710000}"/>
    <cellStyle name="Normal 19 4 6 3 3" xfId="32909" xr:uid="{00000000-0005-0000-0000-000095710000}"/>
    <cellStyle name="Normal 19 4 6 3 4" xfId="23340" xr:uid="{00000000-0005-0000-0000-000096710000}"/>
    <cellStyle name="Normal 19 4 6 4" xfId="4663" xr:uid="{00000000-0005-0000-0000-000097710000}"/>
    <cellStyle name="Normal 19 4 6 4 2" xfId="52504" xr:uid="{00000000-0005-0000-0000-000098710000}"/>
    <cellStyle name="Normal 19 4 6 4 3" xfId="36404" xr:uid="{00000000-0005-0000-0000-000099710000}"/>
    <cellStyle name="Normal 19 4 6 4 4" xfId="17268" xr:uid="{00000000-0005-0000-0000-00009A710000}"/>
    <cellStyle name="Normal 19 4 6 5" xfId="42937" xr:uid="{00000000-0005-0000-0000-00009B710000}"/>
    <cellStyle name="Normal 19 4 6 6" xfId="26837" xr:uid="{00000000-0005-0000-0000-00009C710000}"/>
    <cellStyle name="Normal 19 4 6 7" xfId="13773" xr:uid="{00000000-0005-0000-0000-00009D710000}"/>
    <cellStyle name="Normal 19 4 7" xfId="3653" xr:uid="{00000000-0005-0000-0000-00009E710000}"/>
    <cellStyle name="Normal 19 4 7 2" xfId="35394" xr:uid="{00000000-0005-0000-0000-00009F710000}"/>
    <cellStyle name="Normal 19 4 7 2 2" xfId="51494" xr:uid="{00000000-0005-0000-0000-0000A0710000}"/>
    <cellStyle name="Normal 19 4 7 3" xfId="41927" xr:uid="{00000000-0005-0000-0000-0000A1710000}"/>
    <cellStyle name="Normal 19 4 7 4" xfId="25827" xr:uid="{00000000-0005-0000-0000-0000A2710000}"/>
    <cellStyle name="Normal 19 4 7 5" xfId="16258" xr:uid="{00000000-0005-0000-0000-0000A3710000}"/>
    <cellStyle name="Normal 19 4 8" xfId="6689" xr:uid="{00000000-0005-0000-0000-0000A4710000}"/>
    <cellStyle name="Normal 19 4 8 2" xfId="38430" xr:uid="{00000000-0005-0000-0000-0000A5710000}"/>
    <cellStyle name="Normal 19 4 8 2 2" xfId="54530" xr:uid="{00000000-0005-0000-0000-0000A6710000}"/>
    <cellStyle name="Normal 19 4 8 3" xfId="44963" xr:uid="{00000000-0005-0000-0000-0000A7710000}"/>
    <cellStyle name="Normal 19 4 8 4" xfId="28863" xr:uid="{00000000-0005-0000-0000-0000A8710000}"/>
    <cellStyle name="Normal 19 4 8 5" xfId="19294" xr:uid="{00000000-0005-0000-0000-0000A9710000}"/>
    <cellStyle name="Normal 19 4 9" xfId="9725" xr:uid="{00000000-0005-0000-0000-0000AA710000}"/>
    <cellStyle name="Normal 19 4 9 2" xfId="47999" xr:uid="{00000000-0005-0000-0000-0000AB710000}"/>
    <cellStyle name="Normal 19 4 9 3" xfId="31899" xr:uid="{00000000-0005-0000-0000-0000AC710000}"/>
    <cellStyle name="Normal 19 4 9 4" xfId="22330" xr:uid="{00000000-0005-0000-0000-0000AD710000}"/>
    <cellStyle name="Normal 19 5" xfId="164" xr:uid="{00000000-0005-0000-0000-0000AE710000}"/>
    <cellStyle name="Normal 19 5 10" xfId="3210" xr:uid="{00000000-0005-0000-0000-0000AF710000}"/>
    <cellStyle name="Normal 19 5 10 2" xfId="51052" xr:uid="{00000000-0005-0000-0000-0000B0710000}"/>
    <cellStyle name="Normal 19 5 10 3" xfId="34952" xr:uid="{00000000-0005-0000-0000-0000B1710000}"/>
    <cellStyle name="Normal 19 5 10 4" xfId="15816" xr:uid="{00000000-0005-0000-0000-0000B2710000}"/>
    <cellStyle name="Normal 19 5 11" xfId="41485" xr:uid="{00000000-0005-0000-0000-0000B3710000}"/>
    <cellStyle name="Normal 19 5 12" xfId="25385" xr:uid="{00000000-0005-0000-0000-0000B4710000}"/>
    <cellStyle name="Normal 19 5 13" xfId="12780" xr:uid="{00000000-0005-0000-0000-0000B5710000}"/>
    <cellStyle name="Normal 19 5 2" xfId="341" xr:uid="{00000000-0005-0000-0000-0000B6710000}"/>
    <cellStyle name="Normal 19 5 2 10" xfId="13170" xr:uid="{00000000-0005-0000-0000-0000B7710000}"/>
    <cellStyle name="Normal 19 5 2 2" xfId="2360" xr:uid="{00000000-0005-0000-0000-0000B8710000}"/>
    <cellStyle name="Normal 19 5 2 2 2" xfId="8894" xr:uid="{00000000-0005-0000-0000-0000B9710000}"/>
    <cellStyle name="Normal 19 5 2 2 2 2" xfId="40635" xr:uid="{00000000-0005-0000-0000-0000BA710000}"/>
    <cellStyle name="Normal 19 5 2 2 2 2 2" xfId="56735" xr:uid="{00000000-0005-0000-0000-0000BB710000}"/>
    <cellStyle name="Normal 19 5 2 2 2 3" xfId="47168" xr:uid="{00000000-0005-0000-0000-0000BC710000}"/>
    <cellStyle name="Normal 19 5 2 2 2 4" xfId="31068" xr:uid="{00000000-0005-0000-0000-0000BD710000}"/>
    <cellStyle name="Normal 19 5 2 2 2 5" xfId="21499" xr:uid="{00000000-0005-0000-0000-0000BE710000}"/>
    <cellStyle name="Normal 19 5 2 2 3" xfId="11930" xr:uid="{00000000-0005-0000-0000-0000BF710000}"/>
    <cellStyle name="Normal 19 5 2 2 3 2" xfId="50204" xr:uid="{00000000-0005-0000-0000-0000C0710000}"/>
    <cellStyle name="Normal 19 5 2 2 3 3" xfId="34104" xr:uid="{00000000-0005-0000-0000-0000C1710000}"/>
    <cellStyle name="Normal 19 5 2 2 3 4" xfId="24535" xr:uid="{00000000-0005-0000-0000-0000C2710000}"/>
    <cellStyle name="Normal 19 5 2 2 4" xfId="5858" xr:uid="{00000000-0005-0000-0000-0000C3710000}"/>
    <cellStyle name="Normal 19 5 2 2 4 2" xfId="53699" xr:uid="{00000000-0005-0000-0000-0000C4710000}"/>
    <cellStyle name="Normal 19 5 2 2 4 3" xfId="37599" xr:uid="{00000000-0005-0000-0000-0000C5710000}"/>
    <cellStyle name="Normal 19 5 2 2 4 4" xfId="18463" xr:uid="{00000000-0005-0000-0000-0000C6710000}"/>
    <cellStyle name="Normal 19 5 2 2 5" xfId="44132" xr:uid="{00000000-0005-0000-0000-0000C7710000}"/>
    <cellStyle name="Normal 19 5 2 2 6" xfId="28032" xr:uid="{00000000-0005-0000-0000-0000C8710000}"/>
    <cellStyle name="Normal 19 5 2 2 7" xfId="14968" xr:uid="{00000000-0005-0000-0000-0000C9710000}"/>
    <cellStyle name="Normal 19 5 2 3" xfId="1572" xr:uid="{00000000-0005-0000-0000-0000CA710000}"/>
    <cellStyle name="Normal 19 5 2 3 2" xfId="8106" xr:uid="{00000000-0005-0000-0000-0000CB710000}"/>
    <cellStyle name="Normal 19 5 2 3 2 2" xfId="39847" xr:uid="{00000000-0005-0000-0000-0000CC710000}"/>
    <cellStyle name="Normal 19 5 2 3 2 2 2" xfId="55947" xr:uid="{00000000-0005-0000-0000-0000CD710000}"/>
    <cellStyle name="Normal 19 5 2 3 2 3" xfId="46380" xr:uid="{00000000-0005-0000-0000-0000CE710000}"/>
    <cellStyle name="Normal 19 5 2 3 2 4" xfId="30280" xr:uid="{00000000-0005-0000-0000-0000CF710000}"/>
    <cellStyle name="Normal 19 5 2 3 2 5" xfId="20711" xr:uid="{00000000-0005-0000-0000-0000D0710000}"/>
    <cellStyle name="Normal 19 5 2 3 3" xfId="11142" xr:uid="{00000000-0005-0000-0000-0000D1710000}"/>
    <cellStyle name="Normal 19 5 2 3 3 2" xfId="49416" xr:uid="{00000000-0005-0000-0000-0000D2710000}"/>
    <cellStyle name="Normal 19 5 2 3 3 3" xfId="33316" xr:uid="{00000000-0005-0000-0000-0000D3710000}"/>
    <cellStyle name="Normal 19 5 2 3 3 4" xfId="23747" xr:uid="{00000000-0005-0000-0000-0000D4710000}"/>
    <cellStyle name="Normal 19 5 2 3 4" xfId="5070" xr:uid="{00000000-0005-0000-0000-0000D5710000}"/>
    <cellStyle name="Normal 19 5 2 3 4 2" xfId="52911" xr:uid="{00000000-0005-0000-0000-0000D6710000}"/>
    <cellStyle name="Normal 19 5 2 3 4 3" xfId="36811" xr:uid="{00000000-0005-0000-0000-0000D7710000}"/>
    <cellStyle name="Normal 19 5 2 3 4 4" xfId="17675" xr:uid="{00000000-0005-0000-0000-0000D8710000}"/>
    <cellStyle name="Normal 19 5 2 3 5" xfId="43344" xr:uid="{00000000-0005-0000-0000-0000D9710000}"/>
    <cellStyle name="Normal 19 5 2 3 6" xfId="27244" xr:uid="{00000000-0005-0000-0000-0000DA710000}"/>
    <cellStyle name="Normal 19 5 2 3 7" xfId="14180" xr:uid="{00000000-0005-0000-0000-0000DB710000}"/>
    <cellStyle name="Normal 19 5 2 4" xfId="4060" xr:uid="{00000000-0005-0000-0000-0000DC710000}"/>
    <cellStyle name="Normal 19 5 2 4 2" xfId="35801" xr:uid="{00000000-0005-0000-0000-0000DD710000}"/>
    <cellStyle name="Normal 19 5 2 4 2 2" xfId="51901" xr:uid="{00000000-0005-0000-0000-0000DE710000}"/>
    <cellStyle name="Normal 19 5 2 4 3" xfId="42334" xr:uid="{00000000-0005-0000-0000-0000DF710000}"/>
    <cellStyle name="Normal 19 5 2 4 4" xfId="26234" xr:uid="{00000000-0005-0000-0000-0000E0710000}"/>
    <cellStyle name="Normal 19 5 2 4 5" xfId="16665" xr:uid="{00000000-0005-0000-0000-0000E1710000}"/>
    <cellStyle name="Normal 19 5 2 5" xfId="7096" xr:uid="{00000000-0005-0000-0000-0000E2710000}"/>
    <cellStyle name="Normal 19 5 2 5 2" xfId="38837" xr:uid="{00000000-0005-0000-0000-0000E3710000}"/>
    <cellStyle name="Normal 19 5 2 5 2 2" xfId="54937" xr:uid="{00000000-0005-0000-0000-0000E4710000}"/>
    <cellStyle name="Normal 19 5 2 5 3" xfId="45370" xr:uid="{00000000-0005-0000-0000-0000E5710000}"/>
    <cellStyle name="Normal 19 5 2 5 4" xfId="29270" xr:uid="{00000000-0005-0000-0000-0000E6710000}"/>
    <cellStyle name="Normal 19 5 2 5 5" xfId="19701" xr:uid="{00000000-0005-0000-0000-0000E7710000}"/>
    <cellStyle name="Normal 19 5 2 6" xfId="10132" xr:uid="{00000000-0005-0000-0000-0000E8710000}"/>
    <cellStyle name="Normal 19 5 2 6 2" xfId="48406" xr:uid="{00000000-0005-0000-0000-0000E9710000}"/>
    <cellStyle name="Normal 19 5 2 6 3" xfId="32306" xr:uid="{00000000-0005-0000-0000-0000EA710000}"/>
    <cellStyle name="Normal 19 5 2 6 4" xfId="22737" xr:uid="{00000000-0005-0000-0000-0000EB710000}"/>
    <cellStyle name="Normal 19 5 2 7" xfId="3448" xr:uid="{00000000-0005-0000-0000-0000EC710000}"/>
    <cellStyle name="Normal 19 5 2 7 2" xfId="51289" xr:uid="{00000000-0005-0000-0000-0000ED710000}"/>
    <cellStyle name="Normal 19 5 2 7 3" xfId="35189" xr:uid="{00000000-0005-0000-0000-0000EE710000}"/>
    <cellStyle name="Normal 19 5 2 7 4" xfId="16053" xr:uid="{00000000-0005-0000-0000-0000EF710000}"/>
    <cellStyle name="Normal 19 5 2 8" xfId="41722" xr:uid="{00000000-0005-0000-0000-0000F0710000}"/>
    <cellStyle name="Normal 19 5 2 9" xfId="25622" xr:uid="{00000000-0005-0000-0000-0000F1710000}"/>
    <cellStyle name="Normal 19 5 3" xfId="599" xr:uid="{00000000-0005-0000-0000-0000F2710000}"/>
    <cellStyle name="Normal 19 5 3 2" xfId="2627" xr:uid="{00000000-0005-0000-0000-0000F3710000}"/>
    <cellStyle name="Normal 19 5 3 2 2" xfId="9159" xr:uid="{00000000-0005-0000-0000-0000F4710000}"/>
    <cellStyle name="Normal 19 5 3 2 2 2" xfId="40900" xr:uid="{00000000-0005-0000-0000-0000F5710000}"/>
    <cellStyle name="Normal 19 5 3 2 2 2 2" xfId="57000" xr:uid="{00000000-0005-0000-0000-0000F6710000}"/>
    <cellStyle name="Normal 19 5 3 2 2 3" xfId="47433" xr:uid="{00000000-0005-0000-0000-0000F7710000}"/>
    <cellStyle name="Normal 19 5 3 2 2 4" xfId="31333" xr:uid="{00000000-0005-0000-0000-0000F8710000}"/>
    <cellStyle name="Normal 19 5 3 2 2 5" xfId="21764" xr:uid="{00000000-0005-0000-0000-0000F9710000}"/>
    <cellStyle name="Normal 19 5 3 2 3" xfId="12195" xr:uid="{00000000-0005-0000-0000-0000FA710000}"/>
    <cellStyle name="Normal 19 5 3 2 3 2" xfId="50469" xr:uid="{00000000-0005-0000-0000-0000FB710000}"/>
    <cellStyle name="Normal 19 5 3 2 3 3" xfId="34369" xr:uid="{00000000-0005-0000-0000-0000FC710000}"/>
    <cellStyle name="Normal 19 5 3 2 3 4" xfId="24800" xr:uid="{00000000-0005-0000-0000-0000FD710000}"/>
    <cellStyle name="Normal 19 5 3 2 4" xfId="6123" xr:uid="{00000000-0005-0000-0000-0000FE710000}"/>
    <cellStyle name="Normal 19 5 3 2 4 2" xfId="53964" xr:uid="{00000000-0005-0000-0000-0000FF710000}"/>
    <cellStyle name="Normal 19 5 3 2 4 3" xfId="37864" xr:uid="{00000000-0005-0000-0000-000000720000}"/>
    <cellStyle name="Normal 19 5 3 2 4 4" xfId="18728" xr:uid="{00000000-0005-0000-0000-000001720000}"/>
    <cellStyle name="Normal 19 5 3 2 5" xfId="44397" xr:uid="{00000000-0005-0000-0000-000002720000}"/>
    <cellStyle name="Normal 19 5 3 2 6" xfId="28297" xr:uid="{00000000-0005-0000-0000-000003720000}"/>
    <cellStyle name="Normal 19 5 3 2 7" xfId="15233" xr:uid="{00000000-0005-0000-0000-000004720000}"/>
    <cellStyle name="Normal 19 5 3 3" xfId="1395" xr:uid="{00000000-0005-0000-0000-000005720000}"/>
    <cellStyle name="Normal 19 5 3 3 2" xfId="7929" xr:uid="{00000000-0005-0000-0000-000006720000}"/>
    <cellStyle name="Normal 19 5 3 3 2 2" xfId="39670" xr:uid="{00000000-0005-0000-0000-000007720000}"/>
    <cellStyle name="Normal 19 5 3 3 2 2 2" xfId="55770" xr:uid="{00000000-0005-0000-0000-000008720000}"/>
    <cellStyle name="Normal 19 5 3 3 2 3" xfId="46203" xr:uid="{00000000-0005-0000-0000-000009720000}"/>
    <cellStyle name="Normal 19 5 3 3 2 4" xfId="30103" xr:uid="{00000000-0005-0000-0000-00000A720000}"/>
    <cellStyle name="Normal 19 5 3 3 2 5" xfId="20534" xr:uid="{00000000-0005-0000-0000-00000B720000}"/>
    <cellStyle name="Normal 19 5 3 3 3" xfId="10965" xr:uid="{00000000-0005-0000-0000-00000C720000}"/>
    <cellStyle name="Normal 19 5 3 3 3 2" xfId="49239" xr:uid="{00000000-0005-0000-0000-00000D720000}"/>
    <cellStyle name="Normal 19 5 3 3 3 3" xfId="33139" xr:uid="{00000000-0005-0000-0000-00000E720000}"/>
    <cellStyle name="Normal 19 5 3 3 3 4" xfId="23570" xr:uid="{00000000-0005-0000-0000-00000F720000}"/>
    <cellStyle name="Normal 19 5 3 3 4" xfId="4893" xr:uid="{00000000-0005-0000-0000-000010720000}"/>
    <cellStyle name="Normal 19 5 3 3 4 2" xfId="52734" xr:uid="{00000000-0005-0000-0000-000011720000}"/>
    <cellStyle name="Normal 19 5 3 3 4 3" xfId="36634" xr:uid="{00000000-0005-0000-0000-000012720000}"/>
    <cellStyle name="Normal 19 5 3 3 4 4" xfId="17498" xr:uid="{00000000-0005-0000-0000-000013720000}"/>
    <cellStyle name="Normal 19 5 3 3 5" xfId="43167" xr:uid="{00000000-0005-0000-0000-000014720000}"/>
    <cellStyle name="Normal 19 5 3 3 6" xfId="27067" xr:uid="{00000000-0005-0000-0000-000015720000}"/>
    <cellStyle name="Normal 19 5 3 3 7" xfId="14003" xr:uid="{00000000-0005-0000-0000-000016720000}"/>
    <cellStyle name="Normal 19 5 3 4" xfId="6919" xr:uid="{00000000-0005-0000-0000-000017720000}"/>
    <cellStyle name="Normal 19 5 3 4 2" xfId="38660" xr:uid="{00000000-0005-0000-0000-000018720000}"/>
    <cellStyle name="Normal 19 5 3 4 2 2" xfId="54760" xr:uid="{00000000-0005-0000-0000-000019720000}"/>
    <cellStyle name="Normal 19 5 3 4 3" xfId="45193" xr:uid="{00000000-0005-0000-0000-00001A720000}"/>
    <cellStyle name="Normal 19 5 3 4 4" xfId="29093" xr:uid="{00000000-0005-0000-0000-00001B720000}"/>
    <cellStyle name="Normal 19 5 3 4 5" xfId="19524" xr:uid="{00000000-0005-0000-0000-00001C720000}"/>
    <cellStyle name="Normal 19 5 3 5" xfId="9955" xr:uid="{00000000-0005-0000-0000-00001D720000}"/>
    <cellStyle name="Normal 19 5 3 5 2" xfId="48229" xr:uid="{00000000-0005-0000-0000-00001E720000}"/>
    <cellStyle name="Normal 19 5 3 5 3" xfId="32129" xr:uid="{00000000-0005-0000-0000-00001F720000}"/>
    <cellStyle name="Normal 19 5 3 5 4" xfId="22560" xr:uid="{00000000-0005-0000-0000-000020720000}"/>
    <cellStyle name="Normal 19 5 3 6" xfId="3883" xr:uid="{00000000-0005-0000-0000-000021720000}"/>
    <cellStyle name="Normal 19 5 3 6 2" xfId="51724" xr:uid="{00000000-0005-0000-0000-000022720000}"/>
    <cellStyle name="Normal 19 5 3 6 3" xfId="35624" xr:uid="{00000000-0005-0000-0000-000023720000}"/>
    <cellStyle name="Normal 19 5 3 6 4" xfId="16488" xr:uid="{00000000-0005-0000-0000-000024720000}"/>
    <cellStyle name="Normal 19 5 3 7" xfId="42157" xr:uid="{00000000-0005-0000-0000-000025720000}"/>
    <cellStyle name="Normal 19 5 3 8" xfId="26057" xr:uid="{00000000-0005-0000-0000-000026720000}"/>
    <cellStyle name="Normal 19 5 3 9" xfId="12993" xr:uid="{00000000-0005-0000-0000-000027720000}"/>
    <cellStyle name="Normal 19 5 4" xfId="855" xr:uid="{00000000-0005-0000-0000-000028720000}"/>
    <cellStyle name="Normal 19 5 4 2" xfId="2883" xr:uid="{00000000-0005-0000-0000-000029720000}"/>
    <cellStyle name="Normal 19 5 4 2 2" xfId="9415" xr:uid="{00000000-0005-0000-0000-00002A720000}"/>
    <cellStyle name="Normal 19 5 4 2 2 2" xfId="41156" xr:uid="{00000000-0005-0000-0000-00002B720000}"/>
    <cellStyle name="Normal 19 5 4 2 2 2 2" xfId="57256" xr:uid="{00000000-0005-0000-0000-00002C720000}"/>
    <cellStyle name="Normal 19 5 4 2 2 3" xfId="47689" xr:uid="{00000000-0005-0000-0000-00002D720000}"/>
    <cellStyle name="Normal 19 5 4 2 2 4" xfId="31589" xr:uid="{00000000-0005-0000-0000-00002E720000}"/>
    <cellStyle name="Normal 19 5 4 2 2 5" xfId="22020" xr:uid="{00000000-0005-0000-0000-00002F720000}"/>
    <cellStyle name="Normal 19 5 4 2 3" xfId="12451" xr:uid="{00000000-0005-0000-0000-000030720000}"/>
    <cellStyle name="Normal 19 5 4 2 3 2" xfId="50725" xr:uid="{00000000-0005-0000-0000-000031720000}"/>
    <cellStyle name="Normal 19 5 4 2 3 3" xfId="34625" xr:uid="{00000000-0005-0000-0000-000032720000}"/>
    <cellStyle name="Normal 19 5 4 2 3 4" xfId="25056" xr:uid="{00000000-0005-0000-0000-000033720000}"/>
    <cellStyle name="Normal 19 5 4 2 4" xfId="6379" xr:uid="{00000000-0005-0000-0000-000034720000}"/>
    <cellStyle name="Normal 19 5 4 2 4 2" xfId="54220" xr:uid="{00000000-0005-0000-0000-000035720000}"/>
    <cellStyle name="Normal 19 5 4 2 4 3" xfId="38120" xr:uid="{00000000-0005-0000-0000-000036720000}"/>
    <cellStyle name="Normal 19 5 4 2 4 4" xfId="18984" xr:uid="{00000000-0005-0000-0000-000037720000}"/>
    <cellStyle name="Normal 19 5 4 2 5" xfId="44653" xr:uid="{00000000-0005-0000-0000-000038720000}"/>
    <cellStyle name="Normal 19 5 4 2 6" xfId="28553" xr:uid="{00000000-0005-0000-0000-000039720000}"/>
    <cellStyle name="Normal 19 5 4 2 7" xfId="15489" xr:uid="{00000000-0005-0000-0000-00003A720000}"/>
    <cellStyle name="Normal 19 5 4 3" xfId="1865" xr:uid="{00000000-0005-0000-0000-00003B720000}"/>
    <cellStyle name="Normal 19 5 4 3 2" xfId="8399" xr:uid="{00000000-0005-0000-0000-00003C720000}"/>
    <cellStyle name="Normal 19 5 4 3 2 2" xfId="40140" xr:uid="{00000000-0005-0000-0000-00003D720000}"/>
    <cellStyle name="Normal 19 5 4 3 2 2 2" xfId="56240" xr:uid="{00000000-0005-0000-0000-00003E720000}"/>
    <cellStyle name="Normal 19 5 4 3 2 3" xfId="46673" xr:uid="{00000000-0005-0000-0000-00003F720000}"/>
    <cellStyle name="Normal 19 5 4 3 2 4" xfId="30573" xr:uid="{00000000-0005-0000-0000-000040720000}"/>
    <cellStyle name="Normal 19 5 4 3 2 5" xfId="21004" xr:uid="{00000000-0005-0000-0000-000041720000}"/>
    <cellStyle name="Normal 19 5 4 3 3" xfId="11435" xr:uid="{00000000-0005-0000-0000-000042720000}"/>
    <cellStyle name="Normal 19 5 4 3 3 2" xfId="49709" xr:uid="{00000000-0005-0000-0000-000043720000}"/>
    <cellStyle name="Normal 19 5 4 3 3 3" xfId="33609" xr:uid="{00000000-0005-0000-0000-000044720000}"/>
    <cellStyle name="Normal 19 5 4 3 3 4" xfId="24040" xr:uid="{00000000-0005-0000-0000-000045720000}"/>
    <cellStyle name="Normal 19 5 4 3 4" xfId="5363" xr:uid="{00000000-0005-0000-0000-000046720000}"/>
    <cellStyle name="Normal 19 5 4 3 4 2" xfId="53204" xr:uid="{00000000-0005-0000-0000-000047720000}"/>
    <cellStyle name="Normal 19 5 4 3 4 3" xfId="37104" xr:uid="{00000000-0005-0000-0000-000048720000}"/>
    <cellStyle name="Normal 19 5 4 3 4 4" xfId="17968" xr:uid="{00000000-0005-0000-0000-000049720000}"/>
    <cellStyle name="Normal 19 5 4 3 5" xfId="43637" xr:uid="{00000000-0005-0000-0000-00004A720000}"/>
    <cellStyle name="Normal 19 5 4 3 6" xfId="27537" xr:uid="{00000000-0005-0000-0000-00004B720000}"/>
    <cellStyle name="Normal 19 5 4 3 7" xfId="14473" xr:uid="{00000000-0005-0000-0000-00004C720000}"/>
    <cellStyle name="Normal 19 5 4 4" xfId="7389" xr:uid="{00000000-0005-0000-0000-00004D720000}"/>
    <cellStyle name="Normal 19 5 4 4 2" xfId="39130" xr:uid="{00000000-0005-0000-0000-00004E720000}"/>
    <cellStyle name="Normal 19 5 4 4 2 2" xfId="55230" xr:uid="{00000000-0005-0000-0000-00004F720000}"/>
    <cellStyle name="Normal 19 5 4 4 3" xfId="45663" xr:uid="{00000000-0005-0000-0000-000050720000}"/>
    <cellStyle name="Normal 19 5 4 4 4" xfId="29563" xr:uid="{00000000-0005-0000-0000-000051720000}"/>
    <cellStyle name="Normal 19 5 4 4 5" xfId="19994" xr:uid="{00000000-0005-0000-0000-000052720000}"/>
    <cellStyle name="Normal 19 5 4 5" xfId="10425" xr:uid="{00000000-0005-0000-0000-000053720000}"/>
    <cellStyle name="Normal 19 5 4 5 2" xfId="48699" xr:uid="{00000000-0005-0000-0000-000054720000}"/>
    <cellStyle name="Normal 19 5 4 5 3" xfId="32599" xr:uid="{00000000-0005-0000-0000-000055720000}"/>
    <cellStyle name="Normal 19 5 4 5 4" xfId="23030" xr:uid="{00000000-0005-0000-0000-000056720000}"/>
    <cellStyle name="Normal 19 5 4 6" xfId="4353" xr:uid="{00000000-0005-0000-0000-000057720000}"/>
    <cellStyle name="Normal 19 5 4 6 2" xfId="52194" xr:uid="{00000000-0005-0000-0000-000058720000}"/>
    <cellStyle name="Normal 19 5 4 6 3" xfId="36094" xr:uid="{00000000-0005-0000-0000-000059720000}"/>
    <cellStyle name="Normal 19 5 4 6 4" xfId="16958" xr:uid="{00000000-0005-0000-0000-00005A720000}"/>
    <cellStyle name="Normal 19 5 4 7" xfId="42627" xr:uid="{00000000-0005-0000-0000-00005B720000}"/>
    <cellStyle name="Normal 19 5 4 8" xfId="26527" xr:uid="{00000000-0005-0000-0000-00005C720000}"/>
    <cellStyle name="Normal 19 5 4 9" xfId="13463" xr:uid="{00000000-0005-0000-0000-00005D720000}"/>
    <cellStyle name="Normal 19 5 5" xfId="2183" xr:uid="{00000000-0005-0000-0000-00005E720000}"/>
    <cellStyle name="Normal 19 5 5 2" xfId="8717" xr:uid="{00000000-0005-0000-0000-00005F720000}"/>
    <cellStyle name="Normal 19 5 5 2 2" xfId="40458" xr:uid="{00000000-0005-0000-0000-000060720000}"/>
    <cellStyle name="Normal 19 5 5 2 2 2" xfId="56558" xr:uid="{00000000-0005-0000-0000-000061720000}"/>
    <cellStyle name="Normal 19 5 5 2 3" xfId="46991" xr:uid="{00000000-0005-0000-0000-000062720000}"/>
    <cellStyle name="Normal 19 5 5 2 4" xfId="30891" xr:uid="{00000000-0005-0000-0000-000063720000}"/>
    <cellStyle name="Normal 19 5 5 2 5" xfId="21322" xr:uid="{00000000-0005-0000-0000-000064720000}"/>
    <cellStyle name="Normal 19 5 5 3" xfId="11753" xr:uid="{00000000-0005-0000-0000-000065720000}"/>
    <cellStyle name="Normal 19 5 5 3 2" xfId="50027" xr:uid="{00000000-0005-0000-0000-000066720000}"/>
    <cellStyle name="Normal 19 5 5 3 3" xfId="33927" xr:uid="{00000000-0005-0000-0000-000067720000}"/>
    <cellStyle name="Normal 19 5 5 3 4" xfId="24358" xr:uid="{00000000-0005-0000-0000-000068720000}"/>
    <cellStyle name="Normal 19 5 5 4" xfId="5681" xr:uid="{00000000-0005-0000-0000-000069720000}"/>
    <cellStyle name="Normal 19 5 5 4 2" xfId="53522" xr:uid="{00000000-0005-0000-0000-00006A720000}"/>
    <cellStyle name="Normal 19 5 5 4 3" xfId="37422" xr:uid="{00000000-0005-0000-0000-00006B720000}"/>
    <cellStyle name="Normal 19 5 5 4 4" xfId="18286" xr:uid="{00000000-0005-0000-0000-00006C720000}"/>
    <cellStyle name="Normal 19 5 5 5" xfId="43955" xr:uid="{00000000-0005-0000-0000-00006D720000}"/>
    <cellStyle name="Normal 19 5 5 6" xfId="27855" xr:uid="{00000000-0005-0000-0000-00006E720000}"/>
    <cellStyle name="Normal 19 5 5 7" xfId="14791" xr:uid="{00000000-0005-0000-0000-00006F720000}"/>
    <cellStyle name="Normal 19 5 6" xfId="1182" xr:uid="{00000000-0005-0000-0000-000070720000}"/>
    <cellStyle name="Normal 19 5 6 2" xfId="7716" xr:uid="{00000000-0005-0000-0000-000071720000}"/>
    <cellStyle name="Normal 19 5 6 2 2" xfId="39457" xr:uid="{00000000-0005-0000-0000-000072720000}"/>
    <cellStyle name="Normal 19 5 6 2 2 2" xfId="55557" xr:uid="{00000000-0005-0000-0000-000073720000}"/>
    <cellStyle name="Normal 19 5 6 2 3" xfId="45990" xr:uid="{00000000-0005-0000-0000-000074720000}"/>
    <cellStyle name="Normal 19 5 6 2 4" xfId="29890" xr:uid="{00000000-0005-0000-0000-000075720000}"/>
    <cellStyle name="Normal 19 5 6 2 5" xfId="20321" xr:uid="{00000000-0005-0000-0000-000076720000}"/>
    <cellStyle name="Normal 19 5 6 3" xfId="10752" xr:uid="{00000000-0005-0000-0000-000077720000}"/>
    <cellStyle name="Normal 19 5 6 3 2" xfId="49026" xr:uid="{00000000-0005-0000-0000-000078720000}"/>
    <cellStyle name="Normal 19 5 6 3 3" xfId="32926" xr:uid="{00000000-0005-0000-0000-000079720000}"/>
    <cellStyle name="Normal 19 5 6 3 4" xfId="23357" xr:uid="{00000000-0005-0000-0000-00007A720000}"/>
    <cellStyle name="Normal 19 5 6 4" xfId="4680" xr:uid="{00000000-0005-0000-0000-00007B720000}"/>
    <cellStyle name="Normal 19 5 6 4 2" xfId="52521" xr:uid="{00000000-0005-0000-0000-00007C720000}"/>
    <cellStyle name="Normal 19 5 6 4 3" xfId="36421" xr:uid="{00000000-0005-0000-0000-00007D720000}"/>
    <cellStyle name="Normal 19 5 6 4 4" xfId="17285" xr:uid="{00000000-0005-0000-0000-00007E720000}"/>
    <cellStyle name="Normal 19 5 6 5" xfId="42954" xr:uid="{00000000-0005-0000-0000-00007F720000}"/>
    <cellStyle name="Normal 19 5 6 6" xfId="26854" xr:uid="{00000000-0005-0000-0000-000080720000}"/>
    <cellStyle name="Normal 19 5 6 7" xfId="13790" xr:uid="{00000000-0005-0000-0000-000081720000}"/>
    <cellStyle name="Normal 19 5 7" xfId="3670" xr:uid="{00000000-0005-0000-0000-000082720000}"/>
    <cellStyle name="Normal 19 5 7 2" xfId="35411" xr:uid="{00000000-0005-0000-0000-000083720000}"/>
    <cellStyle name="Normal 19 5 7 2 2" xfId="51511" xr:uid="{00000000-0005-0000-0000-000084720000}"/>
    <cellStyle name="Normal 19 5 7 3" xfId="41944" xr:uid="{00000000-0005-0000-0000-000085720000}"/>
    <cellStyle name="Normal 19 5 7 4" xfId="25844" xr:uid="{00000000-0005-0000-0000-000086720000}"/>
    <cellStyle name="Normal 19 5 7 5" xfId="16275" xr:uid="{00000000-0005-0000-0000-000087720000}"/>
    <cellStyle name="Normal 19 5 8" xfId="6706" xr:uid="{00000000-0005-0000-0000-000088720000}"/>
    <cellStyle name="Normal 19 5 8 2" xfId="38447" xr:uid="{00000000-0005-0000-0000-000089720000}"/>
    <cellStyle name="Normal 19 5 8 2 2" xfId="54547" xr:uid="{00000000-0005-0000-0000-00008A720000}"/>
    <cellStyle name="Normal 19 5 8 3" xfId="44980" xr:uid="{00000000-0005-0000-0000-00008B720000}"/>
    <cellStyle name="Normal 19 5 8 4" xfId="28880" xr:uid="{00000000-0005-0000-0000-00008C720000}"/>
    <cellStyle name="Normal 19 5 8 5" xfId="19311" xr:uid="{00000000-0005-0000-0000-00008D720000}"/>
    <cellStyle name="Normal 19 5 9" xfId="9742" xr:uid="{00000000-0005-0000-0000-00008E720000}"/>
    <cellStyle name="Normal 19 5 9 2" xfId="48016" xr:uid="{00000000-0005-0000-0000-00008F720000}"/>
    <cellStyle name="Normal 19 5 9 3" xfId="31916" xr:uid="{00000000-0005-0000-0000-000090720000}"/>
    <cellStyle name="Normal 19 5 9 4" xfId="22347" xr:uid="{00000000-0005-0000-0000-000091720000}"/>
    <cellStyle name="Normal 19 6" xfId="235" xr:uid="{00000000-0005-0000-0000-000092720000}"/>
    <cellStyle name="Normal 19 6 10" xfId="41502" xr:uid="{00000000-0005-0000-0000-000093720000}"/>
    <cellStyle name="Normal 19 6 11" xfId="25402" xr:uid="{00000000-0005-0000-0000-000094720000}"/>
    <cellStyle name="Normal 19 6 12" xfId="12797" xr:uid="{00000000-0005-0000-0000-000095720000}"/>
    <cellStyle name="Normal 19 6 2" xfId="616" xr:uid="{00000000-0005-0000-0000-000096720000}"/>
    <cellStyle name="Normal 19 6 2 10" xfId="13064" xr:uid="{00000000-0005-0000-0000-000097720000}"/>
    <cellStyle name="Normal 19 6 2 2" xfId="2644" xr:uid="{00000000-0005-0000-0000-000098720000}"/>
    <cellStyle name="Normal 19 6 2 2 2" xfId="9176" xr:uid="{00000000-0005-0000-0000-000099720000}"/>
    <cellStyle name="Normal 19 6 2 2 2 2" xfId="40917" xr:uid="{00000000-0005-0000-0000-00009A720000}"/>
    <cellStyle name="Normal 19 6 2 2 2 2 2" xfId="57017" xr:uid="{00000000-0005-0000-0000-00009B720000}"/>
    <cellStyle name="Normal 19 6 2 2 2 3" xfId="47450" xr:uid="{00000000-0005-0000-0000-00009C720000}"/>
    <cellStyle name="Normal 19 6 2 2 2 4" xfId="31350" xr:uid="{00000000-0005-0000-0000-00009D720000}"/>
    <cellStyle name="Normal 19 6 2 2 2 5" xfId="21781" xr:uid="{00000000-0005-0000-0000-00009E720000}"/>
    <cellStyle name="Normal 19 6 2 2 3" xfId="12212" xr:uid="{00000000-0005-0000-0000-00009F720000}"/>
    <cellStyle name="Normal 19 6 2 2 3 2" xfId="50486" xr:uid="{00000000-0005-0000-0000-0000A0720000}"/>
    <cellStyle name="Normal 19 6 2 2 3 3" xfId="34386" xr:uid="{00000000-0005-0000-0000-0000A1720000}"/>
    <cellStyle name="Normal 19 6 2 2 3 4" xfId="24817" xr:uid="{00000000-0005-0000-0000-0000A2720000}"/>
    <cellStyle name="Normal 19 6 2 2 4" xfId="6140" xr:uid="{00000000-0005-0000-0000-0000A3720000}"/>
    <cellStyle name="Normal 19 6 2 2 4 2" xfId="53981" xr:uid="{00000000-0005-0000-0000-0000A4720000}"/>
    <cellStyle name="Normal 19 6 2 2 4 3" xfId="37881" xr:uid="{00000000-0005-0000-0000-0000A5720000}"/>
    <cellStyle name="Normal 19 6 2 2 4 4" xfId="18745" xr:uid="{00000000-0005-0000-0000-0000A6720000}"/>
    <cellStyle name="Normal 19 6 2 2 5" xfId="44414" xr:uid="{00000000-0005-0000-0000-0000A7720000}"/>
    <cellStyle name="Normal 19 6 2 2 6" xfId="28314" xr:uid="{00000000-0005-0000-0000-0000A8720000}"/>
    <cellStyle name="Normal 19 6 2 2 7" xfId="15250" xr:uid="{00000000-0005-0000-0000-0000A9720000}"/>
    <cellStyle name="Normal 19 6 2 3" xfId="1466" xr:uid="{00000000-0005-0000-0000-0000AA720000}"/>
    <cellStyle name="Normal 19 6 2 3 2" xfId="8000" xr:uid="{00000000-0005-0000-0000-0000AB720000}"/>
    <cellStyle name="Normal 19 6 2 3 2 2" xfId="39741" xr:uid="{00000000-0005-0000-0000-0000AC720000}"/>
    <cellStyle name="Normal 19 6 2 3 2 2 2" xfId="55841" xr:uid="{00000000-0005-0000-0000-0000AD720000}"/>
    <cellStyle name="Normal 19 6 2 3 2 3" xfId="46274" xr:uid="{00000000-0005-0000-0000-0000AE720000}"/>
    <cellStyle name="Normal 19 6 2 3 2 4" xfId="30174" xr:uid="{00000000-0005-0000-0000-0000AF720000}"/>
    <cellStyle name="Normal 19 6 2 3 2 5" xfId="20605" xr:uid="{00000000-0005-0000-0000-0000B0720000}"/>
    <cellStyle name="Normal 19 6 2 3 3" xfId="11036" xr:uid="{00000000-0005-0000-0000-0000B1720000}"/>
    <cellStyle name="Normal 19 6 2 3 3 2" xfId="49310" xr:uid="{00000000-0005-0000-0000-0000B2720000}"/>
    <cellStyle name="Normal 19 6 2 3 3 3" xfId="33210" xr:uid="{00000000-0005-0000-0000-0000B3720000}"/>
    <cellStyle name="Normal 19 6 2 3 3 4" xfId="23641" xr:uid="{00000000-0005-0000-0000-0000B4720000}"/>
    <cellStyle name="Normal 19 6 2 3 4" xfId="4964" xr:uid="{00000000-0005-0000-0000-0000B5720000}"/>
    <cellStyle name="Normal 19 6 2 3 4 2" xfId="52805" xr:uid="{00000000-0005-0000-0000-0000B6720000}"/>
    <cellStyle name="Normal 19 6 2 3 4 3" xfId="36705" xr:uid="{00000000-0005-0000-0000-0000B7720000}"/>
    <cellStyle name="Normal 19 6 2 3 4 4" xfId="17569" xr:uid="{00000000-0005-0000-0000-0000B8720000}"/>
    <cellStyle name="Normal 19 6 2 3 5" xfId="43238" xr:uid="{00000000-0005-0000-0000-0000B9720000}"/>
    <cellStyle name="Normal 19 6 2 3 6" xfId="27138" xr:uid="{00000000-0005-0000-0000-0000BA720000}"/>
    <cellStyle name="Normal 19 6 2 3 7" xfId="14074" xr:uid="{00000000-0005-0000-0000-0000BB720000}"/>
    <cellStyle name="Normal 19 6 2 4" xfId="3954" xr:uid="{00000000-0005-0000-0000-0000BC720000}"/>
    <cellStyle name="Normal 19 6 2 4 2" xfId="35695" xr:uid="{00000000-0005-0000-0000-0000BD720000}"/>
    <cellStyle name="Normal 19 6 2 4 2 2" xfId="51795" xr:uid="{00000000-0005-0000-0000-0000BE720000}"/>
    <cellStyle name="Normal 19 6 2 4 3" xfId="42228" xr:uid="{00000000-0005-0000-0000-0000BF720000}"/>
    <cellStyle name="Normal 19 6 2 4 4" xfId="26128" xr:uid="{00000000-0005-0000-0000-0000C0720000}"/>
    <cellStyle name="Normal 19 6 2 4 5" xfId="16559" xr:uid="{00000000-0005-0000-0000-0000C1720000}"/>
    <cellStyle name="Normal 19 6 2 5" xfId="6990" xr:uid="{00000000-0005-0000-0000-0000C2720000}"/>
    <cellStyle name="Normal 19 6 2 5 2" xfId="38731" xr:uid="{00000000-0005-0000-0000-0000C3720000}"/>
    <cellStyle name="Normal 19 6 2 5 2 2" xfId="54831" xr:uid="{00000000-0005-0000-0000-0000C4720000}"/>
    <cellStyle name="Normal 19 6 2 5 3" xfId="45264" xr:uid="{00000000-0005-0000-0000-0000C5720000}"/>
    <cellStyle name="Normal 19 6 2 5 4" xfId="29164" xr:uid="{00000000-0005-0000-0000-0000C6720000}"/>
    <cellStyle name="Normal 19 6 2 5 5" xfId="19595" xr:uid="{00000000-0005-0000-0000-0000C7720000}"/>
    <cellStyle name="Normal 19 6 2 6" xfId="10026" xr:uid="{00000000-0005-0000-0000-0000C8720000}"/>
    <cellStyle name="Normal 19 6 2 6 2" xfId="48300" xr:uid="{00000000-0005-0000-0000-0000C9720000}"/>
    <cellStyle name="Normal 19 6 2 6 3" xfId="32200" xr:uid="{00000000-0005-0000-0000-0000CA720000}"/>
    <cellStyle name="Normal 19 6 2 6 4" xfId="22631" xr:uid="{00000000-0005-0000-0000-0000CB720000}"/>
    <cellStyle name="Normal 19 6 2 7" xfId="3465" xr:uid="{00000000-0005-0000-0000-0000CC720000}"/>
    <cellStyle name="Normal 19 6 2 7 2" xfId="51306" xr:uid="{00000000-0005-0000-0000-0000CD720000}"/>
    <cellStyle name="Normal 19 6 2 7 3" xfId="35206" xr:uid="{00000000-0005-0000-0000-0000CE720000}"/>
    <cellStyle name="Normal 19 6 2 7 4" xfId="16070" xr:uid="{00000000-0005-0000-0000-0000CF720000}"/>
    <cellStyle name="Normal 19 6 2 8" xfId="41739" xr:uid="{00000000-0005-0000-0000-0000D0720000}"/>
    <cellStyle name="Normal 19 6 2 9" xfId="25639" xr:uid="{00000000-0005-0000-0000-0000D1720000}"/>
    <cellStyle name="Normal 19 6 3" xfId="872" xr:uid="{00000000-0005-0000-0000-0000D2720000}"/>
    <cellStyle name="Normal 19 6 3 2" xfId="2900" xr:uid="{00000000-0005-0000-0000-0000D3720000}"/>
    <cellStyle name="Normal 19 6 3 2 2" xfId="9432" xr:uid="{00000000-0005-0000-0000-0000D4720000}"/>
    <cellStyle name="Normal 19 6 3 2 2 2" xfId="41173" xr:uid="{00000000-0005-0000-0000-0000D5720000}"/>
    <cellStyle name="Normal 19 6 3 2 2 2 2" xfId="57273" xr:uid="{00000000-0005-0000-0000-0000D6720000}"/>
    <cellStyle name="Normal 19 6 3 2 2 3" xfId="47706" xr:uid="{00000000-0005-0000-0000-0000D7720000}"/>
    <cellStyle name="Normal 19 6 3 2 2 4" xfId="31606" xr:uid="{00000000-0005-0000-0000-0000D8720000}"/>
    <cellStyle name="Normal 19 6 3 2 2 5" xfId="22037" xr:uid="{00000000-0005-0000-0000-0000D9720000}"/>
    <cellStyle name="Normal 19 6 3 2 3" xfId="12468" xr:uid="{00000000-0005-0000-0000-0000DA720000}"/>
    <cellStyle name="Normal 19 6 3 2 3 2" xfId="50742" xr:uid="{00000000-0005-0000-0000-0000DB720000}"/>
    <cellStyle name="Normal 19 6 3 2 3 3" xfId="34642" xr:uid="{00000000-0005-0000-0000-0000DC720000}"/>
    <cellStyle name="Normal 19 6 3 2 3 4" xfId="25073" xr:uid="{00000000-0005-0000-0000-0000DD720000}"/>
    <cellStyle name="Normal 19 6 3 2 4" xfId="6396" xr:uid="{00000000-0005-0000-0000-0000DE720000}"/>
    <cellStyle name="Normal 19 6 3 2 4 2" xfId="54237" xr:uid="{00000000-0005-0000-0000-0000DF720000}"/>
    <cellStyle name="Normal 19 6 3 2 4 3" xfId="38137" xr:uid="{00000000-0005-0000-0000-0000E0720000}"/>
    <cellStyle name="Normal 19 6 3 2 4 4" xfId="19001" xr:uid="{00000000-0005-0000-0000-0000E1720000}"/>
    <cellStyle name="Normal 19 6 3 2 5" xfId="44670" xr:uid="{00000000-0005-0000-0000-0000E2720000}"/>
    <cellStyle name="Normal 19 6 3 2 6" xfId="28570" xr:uid="{00000000-0005-0000-0000-0000E3720000}"/>
    <cellStyle name="Normal 19 6 3 2 7" xfId="15506" xr:uid="{00000000-0005-0000-0000-0000E4720000}"/>
    <cellStyle name="Normal 19 6 3 3" xfId="1882" xr:uid="{00000000-0005-0000-0000-0000E5720000}"/>
    <cellStyle name="Normal 19 6 3 3 2" xfId="8416" xr:uid="{00000000-0005-0000-0000-0000E6720000}"/>
    <cellStyle name="Normal 19 6 3 3 2 2" xfId="40157" xr:uid="{00000000-0005-0000-0000-0000E7720000}"/>
    <cellStyle name="Normal 19 6 3 3 2 2 2" xfId="56257" xr:uid="{00000000-0005-0000-0000-0000E8720000}"/>
    <cellStyle name="Normal 19 6 3 3 2 3" xfId="46690" xr:uid="{00000000-0005-0000-0000-0000E9720000}"/>
    <cellStyle name="Normal 19 6 3 3 2 4" xfId="30590" xr:uid="{00000000-0005-0000-0000-0000EA720000}"/>
    <cellStyle name="Normal 19 6 3 3 2 5" xfId="21021" xr:uid="{00000000-0005-0000-0000-0000EB720000}"/>
    <cellStyle name="Normal 19 6 3 3 3" xfId="11452" xr:uid="{00000000-0005-0000-0000-0000EC720000}"/>
    <cellStyle name="Normal 19 6 3 3 3 2" xfId="49726" xr:uid="{00000000-0005-0000-0000-0000ED720000}"/>
    <cellStyle name="Normal 19 6 3 3 3 3" xfId="33626" xr:uid="{00000000-0005-0000-0000-0000EE720000}"/>
    <cellStyle name="Normal 19 6 3 3 3 4" xfId="24057" xr:uid="{00000000-0005-0000-0000-0000EF720000}"/>
    <cellStyle name="Normal 19 6 3 3 4" xfId="5380" xr:uid="{00000000-0005-0000-0000-0000F0720000}"/>
    <cellStyle name="Normal 19 6 3 3 4 2" xfId="53221" xr:uid="{00000000-0005-0000-0000-0000F1720000}"/>
    <cellStyle name="Normal 19 6 3 3 4 3" xfId="37121" xr:uid="{00000000-0005-0000-0000-0000F2720000}"/>
    <cellStyle name="Normal 19 6 3 3 4 4" xfId="17985" xr:uid="{00000000-0005-0000-0000-0000F3720000}"/>
    <cellStyle name="Normal 19 6 3 3 5" xfId="43654" xr:uid="{00000000-0005-0000-0000-0000F4720000}"/>
    <cellStyle name="Normal 19 6 3 3 6" xfId="27554" xr:uid="{00000000-0005-0000-0000-0000F5720000}"/>
    <cellStyle name="Normal 19 6 3 3 7" xfId="14490" xr:uid="{00000000-0005-0000-0000-0000F6720000}"/>
    <cellStyle name="Normal 19 6 3 4" xfId="7406" xr:uid="{00000000-0005-0000-0000-0000F7720000}"/>
    <cellStyle name="Normal 19 6 3 4 2" xfId="39147" xr:uid="{00000000-0005-0000-0000-0000F8720000}"/>
    <cellStyle name="Normal 19 6 3 4 2 2" xfId="55247" xr:uid="{00000000-0005-0000-0000-0000F9720000}"/>
    <cellStyle name="Normal 19 6 3 4 3" xfId="45680" xr:uid="{00000000-0005-0000-0000-0000FA720000}"/>
    <cellStyle name="Normal 19 6 3 4 4" xfId="29580" xr:uid="{00000000-0005-0000-0000-0000FB720000}"/>
    <cellStyle name="Normal 19 6 3 4 5" xfId="20011" xr:uid="{00000000-0005-0000-0000-0000FC720000}"/>
    <cellStyle name="Normal 19 6 3 5" xfId="10442" xr:uid="{00000000-0005-0000-0000-0000FD720000}"/>
    <cellStyle name="Normal 19 6 3 5 2" xfId="48716" xr:uid="{00000000-0005-0000-0000-0000FE720000}"/>
    <cellStyle name="Normal 19 6 3 5 3" xfId="32616" xr:uid="{00000000-0005-0000-0000-0000FF720000}"/>
    <cellStyle name="Normal 19 6 3 5 4" xfId="23047" xr:uid="{00000000-0005-0000-0000-000000730000}"/>
    <cellStyle name="Normal 19 6 3 6" xfId="4370" xr:uid="{00000000-0005-0000-0000-000001730000}"/>
    <cellStyle name="Normal 19 6 3 6 2" xfId="52211" xr:uid="{00000000-0005-0000-0000-000002730000}"/>
    <cellStyle name="Normal 19 6 3 6 3" xfId="36111" xr:uid="{00000000-0005-0000-0000-000003730000}"/>
    <cellStyle name="Normal 19 6 3 6 4" xfId="16975" xr:uid="{00000000-0005-0000-0000-000004730000}"/>
    <cellStyle name="Normal 19 6 3 7" xfId="42644" xr:uid="{00000000-0005-0000-0000-000005730000}"/>
    <cellStyle name="Normal 19 6 3 8" xfId="26544" xr:uid="{00000000-0005-0000-0000-000006730000}"/>
    <cellStyle name="Normal 19 6 3 9" xfId="13480" xr:uid="{00000000-0005-0000-0000-000007730000}"/>
    <cellStyle name="Normal 19 6 4" xfId="2254" xr:uid="{00000000-0005-0000-0000-000008730000}"/>
    <cellStyle name="Normal 19 6 4 2" xfId="8788" xr:uid="{00000000-0005-0000-0000-000009730000}"/>
    <cellStyle name="Normal 19 6 4 2 2" xfId="40529" xr:uid="{00000000-0005-0000-0000-00000A730000}"/>
    <cellStyle name="Normal 19 6 4 2 2 2" xfId="56629" xr:uid="{00000000-0005-0000-0000-00000B730000}"/>
    <cellStyle name="Normal 19 6 4 2 3" xfId="47062" xr:uid="{00000000-0005-0000-0000-00000C730000}"/>
    <cellStyle name="Normal 19 6 4 2 4" xfId="30962" xr:uid="{00000000-0005-0000-0000-00000D730000}"/>
    <cellStyle name="Normal 19 6 4 2 5" xfId="21393" xr:uid="{00000000-0005-0000-0000-00000E730000}"/>
    <cellStyle name="Normal 19 6 4 3" xfId="11824" xr:uid="{00000000-0005-0000-0000-00000F730000}"/>
    <cellStyle name="Normal 19 6 4 3 2" xfId="50098" xr:uid="{00000000-0005-0000-0000-000010730000}"/>
    <cellStyle name="Normal 19 6 4 3 3" xfId="33998" xr:uid="{00000000-0005-0000-0000-000011730000}"/>
    <cellStyle name="Normal 19 6 4 3 4" xfId="24429" xr:uid="{00000000-0005-0000-0000-000012730000}"/>
    <cellStyle name="Normal 19 6 4 4" xfId="5752" xr:uid="{00000000-0005-0000-0000-000013730000}"/>
    <cellStyle name="Normal 19 6 4 4 2" xfId="53593" xr:uid="{00000000-0005-0000-0000-000014730000}"/>
    <cellStyle name="Normal 19 6 4 4 3" xfId="37493" xr:uid="{00000000-0005-0000-0000-000015730000}"/>
    <cellStyle name="Normal 19 6 4 4 4" xfId="18357" xr:uid="{00000000-0005-0000-0000-000016730000}"/>
    <cellStyle name="Normal 19 6 4 5" xfId="44026" xr:uid="{00000000-0005-0000-0000-000017730000}"/>
    <cellStyle name="Normal 19 6 4 6" xfId="27926" xr:uid="{00000000-0005-0000-0000-000018730000}"/>
    <cellStyle name="Normal 19 6 4 7" xfId="14862" xr:uid="{00000000-0005-0000-0000-000019730000}"/>
    <cellStyle name="Normal 19 6 5" xfId="1199" xr:uid="{00000000-0005-0000-0000-00001A730000}"/>
    <cellStyle name="Normal 19 6 5 2" xfId="7733" xr:uid="{00000000-0005-0000-0000-00001B730000}"/>
    <cellStyle name="Normal 19 6 5 2 2" xfId="39474" xr:uid="{00000000-0005-0000-0000-00001C730000}"/>
    <cellStyle name="Normal 19 6 5 2 2 2" xfId="55574" xr:uid="{00000000-0005-0000-0000-00001D730000}"/>
    <cellStyle name="Normal 19 6 5 2 3" xfId="46007" xr:uid="{00000000-0005-0000-0000-00001E730000}"/>
    <cellStyle name="Normal 19 6 5 2 4" xfId="29907" xr:uid="{00000000-0005-0000-0000-00001F730000}"/>
    <cellStyle name="Normal 19 6 5 2 5" xfId="20338" xr:uid="{00000000-0005-0000-0000-000020730000}"/>
    <cellStyle name="Normal 19 6 5 3" xfId="10769" xr:uid="{00000000-0005-0000-0000-000021730000}"/>
    <cellStyle name="Normal 19 6 5 3 2" xfId="49043" xr:uid="{00000000-0005-0000-0000-000022730000}"/>
    <cellStyle name="Normal 19 6 5 3 3" xfId="32943" xr:uid="{00000000-0005-0000-0000-000023730000}"/>
    <cellStyle name="Normal 19 6 5 3 4" xfId="23374" xr:uid="{00000000-0005-0000-0000-000024730000}"/>
    <cellStyle name="Normal 19 6 5 4" xfId="4697" xr:uid="{00000000-0005-0000-0000-000025730000}"/>
    <cellStyle name="Normal 19 6 5 4 2" xfId="52538" xr:uid="{00000000-0005-0000-0000-000026730000}"/>
    <cellStyle name="Normal 19 6 5 4 3" xfId="36438" xr:uid="{00000000-0005-0000-0000-000027730000}"/>
    <cellStyle name="Normal 19 6 5 4 4" xfId="17302" xr:uid="{00000000-0005-0000-0000-000028730000}"/>
    <cellStyle name="Normal 19 6 5 5" xfId="42971" xr:uid="{00000000-0005-0000-0000-000029730000}"/>
    <cellStyle name="Normal 19 6 5 6" xfId="26871" xr:uid="{00000000-0005-0000-0000-00002A730000}"/>
    <cellStyle name="Normal 19 6 5 7" xfId="13807" xr:uid="{00000000-0005-0000-0000-00002B730000}"/>
    <cellStyle name="Normal 19 6 6" xfId="3687" xr:uid="{00000000-0005-0000-0000-00002C730000}"/>
    <cellStyle name="Normal 19 6 6 2" xfId="35428" xr:uid="{00000000-0005-0000-0000-00002D730000}"/>
    <cellStyle name="Normal 19 6 6 2 2" xfId="51528" xr:uid="{00000000-0005-0000-0000-00002E730000}"/>
    <cellStyle name="Normal 19 6 6 3" xfId="41961" xr:uid="{00000000-0005-0000-0000-00002F730000}"/>
    <cellStyle name="Normal 19 6 6 4" xfId="25861" xr:uid="{00000000-0005-0000-0000-000030730000}"/>
    <cellStyle name="Normal 19 6 6 5" xfId="16292" xr:uid="{00000000-0005-0000-0000-000031730000}"/>
    <cellStyle name="Normal 19 6 7" xfId="6723" xr:uid="{00000000-0005-0000-0000-000032730000}"/>
    <cellStyle name="Normal 19 6 7 2" xfId="38464" xr:uid="{00000000-0005-0000-0000-000033730000}"/>
    <cellStyle name="Normal 19 6 7 2 2" xfId="54564" xr:uid="{00000000-0005-0000-0000-000034730000}"/>
    <cellStyle name="Normal 19 6 7 3" xfId="44997" xr:uid="{00000000-0005-0000-0000-000035730000}"/>
    <cellStyle name="Normal 19 6 7 4" xfId="28897" xr:uid="{00000000-0005-0000-0000-000036730000}"/>
    <cellStyle name="Normal 19 6 7 5" xfId="19328" xr:uid="{00000000-0005-0000-0000-000037730000}"/>
    <cellStyle name="Normal 19 6 8" xfId="9759" xr:uid="{00000000-0005-0000-0000-000038730000}"/>
    <cellStyle name="Normal 19 6 8 2" xfId="48033" xr:uid="{00000000-0005-0000-0000-000039730000}"/>
    <cellStyle name="Normal 19 6 8 3" xfId="31933" xr:uid="{00000000-0005-0000-0000-00003A730000}"/>
    <cellStyle name="Normal 19 6 8 4" xfId="22364" xr:uid="{00000000-0005-0000-0000-00003B730000}"/>
    <cellStyle name="Normal 19 6 9" xfId="3227" xr:uid="{00000000-0005-0000-0000-00003C730000}"/>
    <cellStyle name="Normal 19 6 9 2" xfId="51069" xr:uid="{00000000-0005-0000-0000-00003D730000}"/>
    <cellStyle name="Normal 19 6 9 3" xfId="34969" xr:uid="{00000000-0005-0000-0000-00003E730000}"/>
    <cellStyle name="Normal 19 6 9 4" xfId="15833" xr:uid="{00000000-0005-0000-0000-00003F730000}"/>
    <cellStyle name="Normal 19 7" xfId="52" xr:uid="{00000000-0005-0000-0000-000040730000}"/>
    <cellStyle name="Normal 19 7 10" xfId="41519" xr:uid="{00000000-0005-0000-0000-000041730000}"/>
    <cellStyle name="Normal 19 7 11" xfId="25419" xr:uid="{00000000-0005-0000-0000-000042730000}"/>
    <cellStyle name="Normal 19 7 12" xfId="12814" xr:uid="{00000000-0005-0000-0000-000043730000}"/>
    <cellStyle name="Normal 19 7 2" xfId="889" xr:uid="{00000000-0005-0000-0000-000044730000}"/>
    <cellStyle name="Normal 19 7 2 10" xfId="13497" xr:uid="{00000000-0005-0000-0000-000045730000}"/>
    <cellStyle name="Normal 19 7 2 2" xfId="2917" xr:uid="{00000000-0005-0000-0000-000046730000}"/>
    <cellStyle name="Normal 19 7 2 2 2" xfId="9449" xr:uid="{00000000-0005-0000-0000-000047730000}"/>
    <cellStyle name="Normal 19 7 2 2 2 2" xfId="41190" xr:uid="{00000000-0005-0000-0000-000048730000}"/>
    <cellStyle name="Normal 19 7 2 2 2 2 2" xfId="57290" xr:uid="{00000000-0005-0000-0000-000049730000}"/>
    <cellStyle name="Normal 19 7 2 2 2 3" xfId="47723" xr:uid="{00000000-0005-0000-0000-00004A730000}"/>
    <cellStyle name="Normal 19 7 2 2 2 4" xfId="31623" xr:uid="{00000000-0005-0000-0000-00004B730000}"/>
    <cellStyle name="Normal 19 7 2 2 2 5" xfId="22054" xr:uid="{00000000-0005-0000-0000-00004C730000}"/>
    <cellStyle name="Normal 19 7 2 2 3" xfId="12485" xr:uid="{00000000-0005-0000-0000-00004D730000}"/>
    <cellStyle name="Normal 19 7 2 2 3 2" xfId="50759" xr:uid="{00000000-0005-0000-0000-00004E730000}"/>
    <cellStyle name="Normal 19 7 2 2 3 3" xfId="34659" xr:uid="{00000000-0005-0000-0000-00004F730000}"/>
    <cellStyle name="Normal 19 7 2 2 3 4" xfId="25090" xr:uid="{00000000-0005-0000-0000-000050730000}"/>
    <cellStyle name="Normal 19 7 2 2 4" xfId="6413" xr:uid="{00000000-0005-0000-0000-000051730000}"/>
    <cellStyle name="Normal 19 7 2 2 4 2" xfId="54254" xr:uid="{00000000-0005-0000-0000-000052730000}"/>
    <cellStyle name="Normal 19 7 2 2 4 3" xfId="38154" xr:uid="{00000000-0005-0000-0000-000053730000}"/>
    <cellStyle name="Normal 19 7 2 2 4 4" xfId="19018" xr:uid="{00000000-0005-0000-0000-000054730000}"/>
    <cellStyle name="Normal 19 7 2 2 5" xfId="44687" xr:uid="{00000000-0005-0000-0000-000055730000}"/>
    <cellStyle name="Normal 19 7 2 2 6" xfId="28587" xr:uid="{00000000-0005-0000-0000-000056730000}"/>
    <cellStyle name="Normal 19 7 2 2 7" xfId="15523" xr:uid="{00000000-0005-0000-0000-000057730000}"/>
    <cellStyle name="Normal 19 7 2 3" xfId="1899" xr:uid="{00000000-0005-0000-0000-000058730000}"/>
    <cellStyle name="Normal 19 7 2 3 2" xfId="8433" xr:uid="{00000000-0005-0000-0000-000059730000}"/>
    <cellStyle name="Normal 19 7 2 3 2 2" xfId="40174" xr:uid="{00000000-0005-0000-0000-00005A730000}"/>
    <cellStyle name="Normal 19 7 2 3 2 2 2" xfId="56274" xr:uid="{00000000-0005-0000-0000-00005B730000}"/>
    <cellStyle name="Normal 19 7 2 3 2 3" xfId="46707" xr:uid="{00000000-0005-0000-0000-00005C730000}"/>
    <cellStyle name="Normal 19 7 2 3 2 4" xfId="30607" xr:uid="{00000000-0005-0000-0000-00005D730000}"/>
    <cellStyle name="Normal 19 7 2 3 2 5" xfId="21038" xr:uid="{00000000-0005-0000-0000-00005E730000}"/>
    <cellStyle name="Normal 19 7 2 3 3" xfId="11469" xr:uid="{00000000-0005-0000-0000-00005F730000}"/>
    <cellStyle name="Normal 19 7 2 3 3 2" xfId="49743" xr:uid="{00000000-0005-0000-0000-000060730000}"/>
    <cellStyle name="Normal 19 7 2 3 3 3" xfId="33643" xr:uid="{00000000-0005-0000-0000-000061730000}"/>
    <cellStyle name="Normal 19 7 2 3 3 4" xfId="24074" xr:uid="{00000000-0005-0000-0000-000062730000}"/>
    <cellStyle name="Normal 19 7 2 3 4" xfId="5397" xr:uid="{00000000-0005-0000-0000-000063730000}"/>
    <cellStyle name="Normal 19 7 2 3 4 2" xfId="53238" xr:uid="{00000000-0005-0000-0000-000064730000}"/>
    <cellStyle name="Normal 19 7 2 3 4 3" xfId="37138" xr:uid="{00000000-0005-0000-0000-000065730000}"/>
    <cellStyle name="Normal 19 7 2 3 4 4" xfId="18002" xr:uid="{00000000-0005-0000-0000-000066730000}"/>
    <cellStyle name="Normal 19 7 2 3 5" xfId="43671" xr:uid="{00000000-0005-0000-0000-000067730000}"/>
    <cellStyle name="Normal 19 7 2 3 6" xfId="27571" xr:uid="{00000000-0005-0000-0000-000068730000}"/>
    <cellStyle name="Normal 19 7 2 3 7" xfId="14507" xr:uid="{00000000-0005-0000-0000-000069730000}"/>
    <cellStyle name="Normal 19 7 2 4" xfId="4387" xr:uid="{00000000-0005-0000-0000-00006A730000}"/>
    <cellStyle name="Normal 19 7 2 4 2" xfId="36128" xr:uid="{00000000-0005-0000-0000-00006B730000}"/>
    <cellStyle name="Normal 19 7 2 4 2 2" xfId="52228" xr:uid="{00000000-0005-0000-0000-00006C730000}"/>
    <cellStyle name="Normal 19 7 2 4 3" xfId="42661" xr:uid="{00000000-0005-0000-0000-00006D730000}"/>
    <cellStyle name="Normal 19 7 2 4 4" xfId="26561" xr:uid="{00000000-0005-0000-0000-00006E730000}"/>
    <cellStyle name="Normal 19 7 2 4 5" xfId="16992" xr:uid="{00000000-0005-0000-0000-00006F730000}"/>
    <cellStyle name="Normal 19 7 2 5" xfId="7423" xr:uid="{00000000-0005-0000-0000-000070730000}"/>
    <cellStyle name="Normal 19 7 2 5 2" xfId="39164" xr:uid="{00000000-0005-0000-0000-000071730000}"/>
    <cellStyle name="Normal 19 7 2 5 2 2" xfId="55264" xr:uid="{00000000-0005-0000-0000-000072730000}"/>
    <cellStyle name="Normal 19 7 2 5 3" xfId="45697" xr:uid="{00000000-0005-0000-0000-000073730000}"/>
    <cellStyle name="Normal 19 7 2 5 4" xfId="29597" xr:uid="{00000000-0005-0000-0000-000074730000}"/>
    <cellStyle name="Normal 19 7 2 5 5" xfId="20028" xr:uid="{00000000-0005-0000-0000-000075730000}"/>
    <cellStyle name="Normal 19 7 2 6" xfId="10459" xr:uid="{00000000-0005-0000-0000-000076730000}"/>
    <cellStyle name="Normal 19 7 2 6 2" xfId="48733" xr:uid="{00000000-0005-0000-0000-000077730000}"/>
    <cellStyle name="Normal 19 7 2 6 3" xfId="32633" xr:uid="{00000000-0005-0000-0000-000078730000}"/>
    <cellStyle name="Normal 19 7 2 6 4" xfId="23064" xr:uid="{00000000-0005-0000-0000-000079730000}"/>
    <cellStyle name="Normal 19 7 2 7" xfId="3482" xr:uid="{00000000-0005-0000-0000-00007A730000}"/>
    <cellStyle name="Normal 19 7 2 7 2" xfId="51323" xr:uid="{00000000-0005-0000-0000-00007B730000}"/>
    <cellStyle name="Normal 19 7 2 7 3" xfId="35223" xr:uid="{00000000-0005-0000-0000-00007C730000}"/>
    <cellStyle name="Normal 19 7 2 7 4" xfId="16087" xr:uid="{00000000-0005-0000-0000-00007D730000}"/>
    <cellStyle name="Normal 19 7 2 8" xfId="41756" xr:uid="{00000000-0005-0000-0000-00007E730000}"/>
    <cellStyle name="Normal 19 7 2 9" xfId="25656" xr:uid="{00000000-0005-0000-0000-00007F730000}"/>
    <cellStyle name="Normal 19 7 3" xfId="667" xr:uid="{00000000-0005-0000-0000-000080730000}"/>
    <cellStyle name="Normal 19 7 3 2" xfId="2695" xr:uid="{00000000-0005-0000-0000-000081730000}"/>
    <cellStyle name="Normal 19 7 3 2 2" xfId="9227" xr:uid="{00000000-0005-0000-0000-000082730000}"/>
    <cellStyle name="Normal 19 7 3 2 2 2" xfId="40968" xr:uid="{00000000-0005-0000-0000-000083730000}"/>
    <cellStyle name="Normal 19 7 3 2 2 2 2" xfId="57068" xr:uid="{00000000-0005-0000-0000-000084730000}"/>
    <cellStyle name="Normal 19 7 3 2 2 3" xfId="47501" xr:uid="{00000000-0005-0000-0000-000085730000}"/>
    <cellStyle name="Normal 19 7 3 2 2 4" xfId="31401" xr:uid="{00000000-0005-0000-0000-000086730000}"/>
    <cellStyle name="Normal 19 7 3 2 2 5" xfId="21832" xr:uid="{00000000-0005-0000-0000-000087730000}"/>
    <cellStyle name="Normal 19 7 3 2 3" xfId="12263" xr:uid="{00000000-0005-0000-0000-000088730000}"/>
    <cellStyle name="Normal 19 7 3 2 3 2" xfId="50537" xr:uid="{00000000-0005-0000-0000-000089730000}"/>
    <cellStyle name="Normal 19 7 3 2 3 3" xfId="34437" xr:uid="{00000000-0005-0000-0000-00008A730000}"/>
    <cellStyle name="Normal 19 7 3 2 3 4" xfId="24868" xr:uid="{00000000-0005-0000-0000-00008B730000}"/>
    <cellStyle name="Normal 19 7 3 2 4" xfId="6191" xr:uid="{00000000-0005-0000-0000-00008C730000}"/>
    <cellStyle name="Normal 19 7 3 2 4 2" xfId="54032" xr:uid="{00000000-0005-0000-0000-00008D730000}"/>
    <cellStyle name="Normal 19 7 3 2 4 3" xfId="37932" xr:uid="{00000000-0005-0000-0000-00008E730000}"/>
    <cellStyle name="Normal 19 7 3 2 4 4" xfId="18796" xr:uid="{00000000-0005-0000-0000-00008F730000}"/>
    <cellStyle name="Normal 19 7 3 2 5" xfId="44465" xr:uid="{00000000-0005-0000-0000-000090730000}"/>
    <cellStyle name="Normal 19 7 3 2 6" xfId="28365" xr:uid="{00000000-0005-0000-0000-000091730000}"/>
    <cellStyle name="Normal 19 7 3 2 7" xfId="15301" xr:uid="{00000000-0005-0000-0000-000092730000}"/>
    <cellStyle name="Normal 19 7 3 3" xfId="1677" xr:uid="{00000000-0005-0000-0000-000093730000}"/>
    <cellStyle name="Normal 19 7 3 3 2" xfId="8211" xr:uid="{00000000-0005-0000-0000-000094730000}"/>
    <cellStyle name="Normal 19 7 3 3 2 2" xfId="39952" xr:uid="{00000000-0005-0000-0000-000095730000}"/>
    <cellStyle name="Normal 19 7 3 3 2 2 2" xfId="56052" xr:uid="{00000000-0005-0000-0000-000096730000}"/>
    <cellStyle name="Normal 19 7 3 3 2 3" xfId="46485" xr:uid="{00000000-0005-0000-0000-000097730000}"/>
    <cellStyle name="Normal 19 7 3 3 2 4" xfId="30385" xr:uid="{00000000-0005-0000-0000-000098730000}"/>
    <cellStyle name="Normal 19 7 3 3 2 5" xfId="20816" xr:uid="{00000000-0005-0000-0000-000099730000}"/>
    <cellStyle name="Normal 19 7 3 3 3" xfId="11247" xr:uid="{00000000-0005-0000-0000-00009A730000}"/>
    <cellStyle name="Normal 19 7 3 3 3 2" xfId="49521" xr:uid="{00000000-0005-0000-0000-00009B730000}"/>
    <cellStyle name="Normal 19 7 3 3 3 3" xfId="33421" xr:uid="{00000000-0005-0000-0000-00009C730000}"/>
    <cellStyle name="Normal 19 7 3 3 3 4" xfId="23852" xr:uid="{00000000-0005-0000-0000-00009D730000}"/>
    <cellStyle name="Normal 19 7 3 3 4" xfId="5175" xr:uid="{00000000-0005-0000-0000-00009E730000}"/>
    <cellStyle name="Normal 19 7 3 3 4 2" xfId="53016" xr:uid="{00000000-0005-0000-0000-00009F730000}"/>
    <cellStyle name="Normal 19 7 3 3 4 3" xfId="36916" xr:uid="{00000000-0005-0000-0000-0000A0730000}"/>
    <cellStyle name="Normal 19 7 3 3 4 4" xfId="17780" xr:uid="{00000000-0005-0000-0000-0000A1730000}"/>
    <cellStyle name="Normal 19 7 3 3 5" xfId="43449" xr:uid="{00000000-0005-0000-0000-0000A2730000}"/>
    <cellStyle name="Normal 19 7 3 3 6" xfId="27349" xr:uid="{00000000-0005-0000-0000-0000A3730000}"/>
    <cellStyle name="Normal 19 7 3 3 7" xfId="14285" xr:uid="{00000000-0005-0000-0000-0000A4730000}"/>
    <cellStyle name="Normal 19 7 3 4" xfId="7201" xr:uid="{00000000-0005-0000-0000-0000A5730000}"/>
    <cellStyle name="Normal 19 7 3 4 2" xfId="38942" xr:uid="{00000000-0005-0000-0000-0000A6730000}"/>
    <cellStyle name="Normal 19 7 3 4 2 2" xfId="55042" xr:uid="{00000000-0005-0000-0000-0000A7730000}"/>
    <cellStyle name="Normal 19 7 3 4 3" xfId="45475" xr:uid="{00000000-0005-0000-0000-0000A8730000}"/>
    <cellStyle name="Normal 19 7 3 4 4" xfId="29375" xr:uid="{00000000-0005-0000-0000-0000A9730000}"/>
    <cellStyle name="Normal 19 7 3 4 5" xfId="19806" xr:uid="{00000000-0005-0000-0000-0000AA730000}"/>
    <cellStyle name="Normal 19 7 3 5" xfId="10237" xr:uid="{00000000-0005-0000-0000-0000AB730000}"/>
    <cellStyle name="Normal 19 7 3 5 2" xfId="48511" xr:uid="{00000000-0005-0000-0000-0000AC730000}"/>
    <cellStyle name="Normal 19 7 3 5 3" xfId="32411" xr:uid="{00000000-0005-0000-0000-0000AD730000}"/>
    <cellStyle name="Normal 19 7 3 5 4" xfId="22842" xr:uid="{00000000-0005-0000-0000-0000AE730000}"/>
    <cellStyle name="Normal 19 7 3 6" xfId="4165" xr:uid="{00000000-0005-0000-0000-0000AF730000}"/>
    <cellStyle name="Normal 19 7 3 6 2" xfId="52006" xr:uid="{00000000-0005-0000-0000-0000B0730000}"/>
    <cellStyle name="Normal 19 7 3 6 3" xfId="35906" xr:uid="{00000000-0005-0000-0000-0000B1730000}"/>
    <cellStyle name="Normal 19 7 3 6 4" xfId="16770" xr:uid="{00000000-0005-0000-0000-0000B2730000}"/>
    <cellStyle name="Normal 19 7 3 7" xfId="42439" xr:uid="{00000000-0005-0000-0000-0000B3730000}"/>
    <cellStyle name="Normal 19 7 3 8" xfId="26339" xr:uid="{00000000-0005-0000-0000-0000B4730000}"/>
    <cellStyle name="Normal 19 7 3 9" xfId="13275" xr:uid="{00000000-0005-0000-0000-0000B5730000}"/>
    <cellStyle name="Normal 19 7 4" xfId="2467" xr:uid="{00000000-0005-0000-0000-0000B6730000}"/>
    <cellStyle name="Normal 19 7 4 2" xfId="8999" xr:uid="{00000000-0005-0000-0000-0000B7730000}"/>
    <cellStyle name="Normal 19 7 4 2 2" xfId="40740" xr:uid="{00000000-0005-0000-0000-0000B8730000}"/>
    <cellStyle name="Normal 19 7 4 2 2 2" xfId="56840" xr:uid="{00000000-0005-0000-0000-0000B9730000}"/>
    <cellStyle name="Normal 19 7 4 2 3" xfId="47273" xr:uid="{00000000-0005-0000-0000-0000BA730000}"/>
    <cellStyle name="Normal 19 7 4 2 4" xfId="31173" xr:uid="{00000000-0005-0000-0000-0000BB730000}"/>
    <cellStyle name="Normal 19 7 4 2 5" xfId="21604" xr:uid="{00000000-0005-0000-0000-0000BC730000}"/>
    <cellStyle name="Normal 19 7 4 3" xfId="12035" xr:uid="{00000000-0005-0000-0000-0000BD730000}"/>
    <cellStyle name="Normal 19 7 4 3 2" xfId="50309" xr:uid="{00000000-0005-0000-0000-0000BE730000}"/>
    <cellStyle name="Normal 19 7 4 3 3" xfId="34209" xr:uid="{00000000-0005-0000-0000-0000BF730000}"/>
    <cellStyle name="Normal 19 7 4 3 4" xfId="24640" xr:uid="{00000000-0005-0000-0000-0000C0730000}"/>
    <cellStyle name="Normal 19 7 4 4" xfId="5963" xr:uid="{00000000-0005-0000-0000-0000C1730000}"/>
    <cellStyle name="Normal 19 7 4 4 2" xfId="53804" xr:uid="{00000000-0005-0000-0000-0000C2730000}"/>
    <cellStyle name="Normal 19 7 4 4 3" xfId="37704" xr:uid="{00000000-0005-0000-0000-0000C3730000}"/>
    <cellStyle name="Normal 19 7 4 4 4" xfId="18568" xr:uid="{00000000-0005-0000-0000-0000C4730000}"/>
    <cellStyle name="Normal 19 7 4 5" xfId="44237" xr:uid="{00000000-0005-0000-0000-0000C5730000}"/>
    <cellStyle name="Normal 19 7 4 6" xfId="28137" xr:uid="{00000000-0005-0000-0000-0000C6730000}"/>
    <cellStyle name="Normal 19 7 4 7" xfId="15073" xr:uid="{00000000-0005-0000-0000-0000C7730000}"/>
    <cellStyle name="Normal 19 7 5" xfId="1216" xr:uid="{00000000-0005-0000-0000-0000C8730000}"/>
    <cellStyle name="Normal 19 7 5 2" xfId="7750" xr:uid="{00000000-0005-0000-0000-0000C9730000}"/>
    <cellStyle name="Normal 19 7 5 2 2" xfId="39491" xr:uid="{00000000-0005-0000-0000-0000CA730000}"/>
    <cellStyle name="Normal 19 7 5 2 2 2" xfId="55591" xr:uid="{00000000-0005-0000-0000-0000CB730000}"/>
    <cellStyle name="Normal 19 7 5 2 3" xfId="46024" xr:uid="{00000000-0005-0000-0000-0000CC730000}"/>
    <cellStyle name="Normal 19 7 5 2 4" xfId="29924" xr:uid="{00000000-0005-0000-0000-0000CD730000}"/>
    <cellStyle name="Normal 19 7 5 2 5" xfId="20355" xr:uid="{00000000-0005-0000-0000-0000CE730000}"/>
    <cellStyle name="Normal 19 7 5 3" xfId="10786" xr:uid="{00000000-0005-0000-0000-0000CF730000}"/>
    <cellStyle name="Normal 19 7 5 3 2" xfId="49060" xr:uid="{00000000-0005-0000-0000-0000D0730000}"/>
    <cellStyle name="Normal 19 7 5 3 3" xfId="32960" xr:uid="{00000000-0005-0000-0000-0000D1730000}"/>
    <cellStyle name="Normal 19 7 5 3 4" xfId="23391" xr:uid="{00000000-0005-0000-0000-0000D2730000}"/>
    <cellStyle name="Normal 19 7 5 4" xfId="4714" xr:uid="{00000000-0005-0000-0000-0000D3730000}"/>
    <cellStyle name="Normal 19 7 5 4 2" xfId="52555" xr:uid="{00000000-0005-0000-0000-0000D4730000}"/>
    <cellStyle name="Normal 19 7 5 4 3" xfId="36455" xr:uid="{00000000-0005-0000-0000-0000D5730000}"/>
    <cellStyle name="Normal 19 7 5 4 4" xfId="17319" xr:uid="{00000000-0005-0000-0000-0000D6730000}"/>
    <cellStyle name="Normal 19 7 5 5" xfId="42988" xr:uid="{00000000-0005-0000-0000-0000D7730000}"/>
    <cellStyle name="Normal 19 7 5 6" xfId="26888" xr:uid="{00000000-0005-0000-0000-0000D8730000}"/>
    <cellStyle name="Normal 19 7 5 7" xfId="13824" xr:uid="{00000000-0005-0000-0000-0000D9730000}"/>
    <cellStyle name="Normal 19 7 6" xfId="3704" xr:uid="{00000000-0005-0000-0000-0000DA730000}"/>
    <cellStyle name="Normal 19 7 6 2" xfId="35445" xr:uid="{00000000-0005-0000-0000-0000DB730000}"/>
    <cellStyle name="Normal 19 7 6 2 2" xfId="51545" xr:uid="{00000000-0005-0000-0000-0000DC730000}"/>
    <cellStyle name="Normal 19 7 6 3" xfId="41978" xr:uid="{00000000-0005-0000-0000-0000DD730000}"/>
    <cellStyle name="Normal 19 7 6 4" xfId="25878" xr:uid="{00000000-0005-0000-0000-0000DE730000}"/>
    <cellStyle name="Normal 19 7 6 5" xfId="16309" xr:uid="{00000000-0005-0000-0000-0000DF730000}"/>
    <cellStyle name="Normal 19 7 7" xfId="6740" xr:uid="{00000000-0005-0000-0000-0000E0730000}"/>
    <cellStyle name="Normal 19 7 7 2" xfId="38481" xr:uid="{00000000-0005-0000-0000-0000E1730000}"/>
    <cellStyle name="Normal 19 7 7 2 2" xfId="54581" xr:uid="{00000000-0005-0000-0000-0000E2730000}"/>
    <cellStyle name="Normal 19 7 7 3" xfId="45014" xr:uid="{00000000-0005-0000-0000-0000E3730000}"/>
    <cellStyle name="Normal 19 7 7 4" xfId="28914" xr:uid="{00000000-0005-0000-0000-0000E4730000}"/>
    <cellStyle name="Normal 19 7 7 5" xfId="19345" xr:uid="{00000000-0005-0000-0000-0000E5730000}"/>
    <cellStyle name="Normal 19 7 8" xfId="9776" xr:uid="{00000000-0005-0000-0000-0000E6730000}"/>
    <cellStyle name="Normal 19 7 8 2" xfId="48050" xr:uid="{00000000-0005-0000-0000-0000E7730000}"/>
    <cellStyle name="Normal 19 7 8 3" xfId="31950" xr:uid="{00000000-0005-0000-0000-0000E8730000}"/>
    <cellStyle name="Normal 19 7 8 4" xfId="22381" xr:uid="{00000000-0005-0000-0000-0000E9730000}"/>
    <cellStyle name="Normal 19 7 9" xfId="3244" xr:uid="{00000000-0005-0000-0000-0000EA730000}"/>
    <cellStyle name="Normal 19 7 9 2" xfId="51086" xr:uid="{00000000-0005-0000-0000-0000EB730000}"/>
    <cellStyle name="Normal 19 7 9 3" xfId="34986" xr:uid="{00000000-0005-0000-0000-0000EC730000}"/>
    <cellStyle name="Normal 19 7 9 4" xfId="15850" xr:uid="{00000000-0005-0000-0000-0000ED730000}"/>
    <cellStyle name="Normal 19 8" xfId="453" xr:uid="{00000000-0005-0000-0000-0000EE730000}"/>
    <cellStyle name="Normal 19 8 10" xfId="41536" xr:uid="{00000000-0005-0000-0000-0000EF730000}"/>
    <cellStyle name="Normal 19 8 11" xfId="25436" xr:uid="{00000000-0005-0000-0000-0000F0730000}"/>
    <cellStyle name="Normal 19 8 12" xfId="12831" xr:uid="{00000000-0005-0000-0000-0000F1730000}"/>
    <cellStyle name="Normal 19 8 2" xfId="906" xr:uid="{00000000-0005-0000-0000-0000F2730000}"/>
    <cellStyle name="Normal 19 8 2 10" xfId="13514" xr:uid="{00000000-0005-0000-0000-0000F3730000}"/>
    <cellStyle name="Normal 19 8 2 2" xfId="2934" xr:uid="{00000000-0005-0000-0000-0000F4730000}"/>
    <cellStyle name="Normal 19 8 2 2 2" xfId="9466" xr:uid="{00000000-0005-0000-0000-0000F5730000}"/>
    <cellStyle name="Normal 19 8 2 2 2 2" xfId="41207" xr:uid="{00000000-0005-0000-0000-0000F6730000}"/>
    <cellStyle name="Normal 19 8 2 2 2 2 2" xfId="57307" xr:uid="{00000000-0005-0000-0000-0000F7730000}"/>
    <cellStyle name="Normal 19 8 2 2 2 3" xfId="47740" xr:uid="{00000000-0005-0000-0000-0000F8730000}"/>
    <cellStyle name="Normal 19 8 2 2 2 4" xfId="31640" xr:uid="{00000000-0005-0000-0000-0000F9730000}"/>
    <cellStyle name="Normal 19 8 2 2 2 5" xfId="22071" xr:uid="{00000000-0005-0000-0000-0000FA730000}"/>
    <cellStyle name="Normal 19 8 2 2 3" xfId="12502" xr:uid="{00000000-0005-0000-0000-0000FB730000}"/>
    <cellStyle name="Normal 19 8 2 2 3 2" xfId="50776" xr:uid="{00000000-0005-0000-0000-0000FC730000}"/>
    <cellStyle name="Normal 19 8 2 2 3 3" xfId="34676" xr:uid="{00000000-0005-0000-0000-0000FD730000}"/>
    <cellStyle name="Normal 19 8 2 2 3 4" xfId="25107" xr:uid="{00000000-0005-0000-0000-0000FE730000}"/>
    <cellStyle name="Normal 19 8 2 2 4" xfId="6430" xr:uid="{00000000-0005-0000-0000-0000FF730000}"/>
    <cellStyle name="Normal 19 8 2 2 4 2" xfId="54271" xr:uid="{00000000-0005-0000-0000-000000740000}"/>
    <cellStyle name="Normal 19 8 2 2 4 3" xfId="38171" xr:uid="{00000000-0005-0000-0000-000001740000}"/>
    <cellStyle name="Normal 19 8 2 2 4 4" xfId="19035" xr:uid="{00000000-0005-0000-0000-000002740000}"/>
    <cellStyle name="Normal 19 8 2 2 5" xfId="44704" xr:uid="{00000000-0005-0000-0000-000003740000}"/>
    <cellStyle name="Normal 19 8 2 2 6" xfId="28604" xr:uid="{00000000-0005-0000-0000-000004740000}"/>
    <cellStyle name="Normal 19 8 2 2 7" xfId="15540" xr:uid="{00000000-0005-0000-0000-000005740000}"/>
    <cellStyle name="Normal 19 8 2 3" xfId="1916" xr:uid="{00000000-0005-0000-0000-000006740000}"/>
    <cellStyle name="Normal 19 8 2 3 2" xfId="8450" xr:uid="{00000000-0005-0000-0000-000007740000}"/>
    <cellStyle name="Normal 19 8 2 3 2 2" xfId="40191" xr:uid="{00000000-0005-0000-0000-000008740000}"/>
    <cellStyle name="Normal 19 8 2 3 2 2 2" xfId="56291" xr:uid="{00000000-0005-0000-0000-000009740000}"/>
    <cellStyle name="Normal 19 8 2 3 2 3" xfId="46724" xr:uid="{00000000-0005-0000-0000-00000A740000}"/>
    <cellStyle name="Normal 19 8 2 3 2 4" xfId="30624" xr:uid="{00000000-0005-0000-0000-00000B740000}"/>
    <cellStyle name="Normal 19 8 2 3 2 5" xfId="21055" xr:uid="{00000000-0005-0000-0000-00000C740000}"/>
    <cellStyle name="Normal 19 8 2 3 3" xfId="11486" xr:uid="{00000000-0005-0000-0000-00000D740000}"/>
    <cellStyle name="Normal 19 8 2 3 3 2" xfId="49760" xr:uid="{00000000-0005-0000-0000-00000E740000}"/>
    <cellStyle name="Normal 19 8 2 3 3 3" xfId="33660" xr:uid="{00000000-0005-0000-0000-00000F740000}"/>
    <cellStyle name="Normal 19 8 2 3 3 4" xfId="24091" xr:uid="{00000000-0005-0000-0000-000010740000}"/>
    <cellStyle name="Normal 19 8 2 3 4" xfId="5414" xr:uid="{00000000-0005-0000-0000-000011740000}"/>
    <cellStyle name="Normal 19 8 2 3 4 2" xfId="53255" xr:uid="{00000000-0005-0000-0000-000012740000}"/>
    <cellStyle name="Normal 19 8 2 3 4 3" xfId="37155" xr:uid="{00000000-0005-0000-0000-000013740000}"/>
    <cellStyle name="Normal 19 8 2 3 4 4" xfId="18019" xr:uid="{00000000-0005-0000-0000-000014740000}"/>
    <cellStyle name="Normal 19 8 2 3 5" xfId="43688" xr:uid="{00000000-0005-0000-0000-000015740000}"/>
    <cellStyle name="Normal 19 8 2 3 6" xfId="27588" xr:uid="{00000000-0005-0000-0000-000016740000}"/>
    <cellStyle name="Normal 19 8 2 3 7" xfId="14524" xr:uid="{00000000-0005-0000-0000-000017740000}"/>
    <cellStyle name="Normal 19 8 2 4" xfId="4404" xr:uid="{00000000-0005-0000-0000-000018740000}"/>
    <cellStyle name="Normal 19 8 2 4 2" xfId="36145" xr:uid="{00000000-0005-0000-0000-000019740000}"/>
    <cellStyle name="Normal 19 8 2 4 2 2" xfId="52245" xr:uid="{00000000-0005-0000-0000-00001A740000}"/>
    <cellStyle name="Normal 19 8 2 4 3" xfId="42678" xr:uid="{00000000-0005-0000-0000-00001B740000}"/>
    <cellStyle name="Normal 19 8 2 4 4" xfId="26578" xr:uid="{00000000-0005-0000-0000-00001C740000}"/>
    <cellStyle name="Normal 19 8 2 4 5" xfId="17009" xr:uid="{00000000-0005-0000-0000-00001D740000}"/>
    <cellStyle name="Normal 19 8 2 5" xfId="7440" xr:uid="{00000000-0005-0000-0000-00001E740000}"/>
    <cellStyle name="Normal 19 8 2 5 2" xfId="39181" xr:uid="{00000000-0005-0000-0000-00001F740000}"/>
    <cellStyle name="Normal 19 8 2 5 2 2" xfId="55281" xr:uid="{00000000-0005-0000-0000-000020740000}"/>
    <cellStyle name="Normal 19 8 2 5 3" xfId="45714" xr:uid="{00000000-0005-0000-0000-000021740000}"/>
    <cellStyle name="Normal 19 8 2 5 4" xfId="29614" xr:uid="{00000000-0005-0000-0000-000022740000}"/>
    <cellStyle name="Normal 19 8 2 5 5" xfId="20045" xr:uid="{00000000-0005-0000-0000-000023740000}"/>
    <cellStyle name="Normal 19 8 2 6" xfId="10476" xr:uid="{00000000-0005-0000-0000-000024740000}"/>
    <cellStyle name="Normal 19 8 2 6 2" xfId="48750" xr:uid="{00000000-0005-0000-0000-000025740000}"/>
    <cellStyle name="Normal 19 8 2 6 3" xfId="32650" xr:uid="{00000000-0005-0000-0000-000026740000}"/>
    <cellStyle name="Normal 19 8 2 6 4" xfId="23081" xr:uid="{00000000-0005-0000-0000-000027740000}"/>
    <cellStyle name="Normal 19 8 2 7" xfId="3499" xr:uid="{00000000-0005-0000-0000-000028740000}"/>
    <cellStyle name="Normal 19 8 2 7 2" xfId="51340" xr:uid="{00000000-0005-0000-0000-000029740000}"/>
    <cellStyle name="Normal 19 8 2 7 3" xfId="35240" xr:uid="{00000000-0005-0000-0000-00002A740000}"/>
    <cellStyle name="Normal 19 8 2 7 4" xfId="16104" xr:uid="{00000000-0005-0000-0000-00002B740000}"/>
    <cellStyle name="Normal 19 8 2 8" xfId="41773" xr:uid="{00000000-0005-0000-0000-00002C740000}"/>
    <cellStyle name="Normal 19 8 2 9" xfId="25673" xr:uid="{00000000-0005-0000-0000-00002D740000}"/>
    <cellStyle name="Normal 19 8 3" xfId="684" xr:uid="{00000000-0005-0000-0000-00002E740000}"/>
    <cellStyle name="Normal 19 8 3 2" xfId="2712" xr:uid="{00000000-0005-0000-0000-00002F740000}"/>
    <cellStyle name="Normal 19 8 3 2 2" xfId="9244" xr:uid="{00000000-0005-0000-0000-000030740000}"/>
    <cellStyle name="Normal 19 8 3 2 2 2" xfId="40985" xr:uid="{00000000-0005-0000-0000-000031740000}"/>
    <cellStyle name="Normal 19 8 3 2 2 2 2" xfId="57085" xr:uid="{00000000-0005-0000-0000-000032740000}"/>
    <cellStyle name="Normal 19 8 3 2 2 3" xfId="47518" xr:uid="{00000000-0005-0000-0000-000033740000}"/>
    <cellStyle name="Normal 19 8 3 2 2 4" xfId="31418" xr:uid="{00000000-0005-0000-0000-000034740000}"/>
    <cellStyle name="Normal 19 8 3 2 2 5" xfId="21849" xr:uid="{00000000-0005-0000-0000-000035740000}"/>
    <cellStyle name="Normal 19 8 3 2 3" xfId="12280" xr:uid="{00000000-0005-0000-0000-000036740000}"/>
    <cellStyle name="Normal 19 8 3 2 3 2" xfId="50554" xr:uid="{00000000-0005-0000-0000-000037740000}"/>
    <cellStyle name="Normal 19 8 3 2 3 3" xfId="34454" xr:uid="{00000000-0005-0000-0000-000038740000}"/>
    <cellStyle name="Normal 19 8 3 2 3 4" xfId="24885" xr:uid="{00000000-0005-0000-0000-000039740000}"/>
    <cellStyle name="Normal 19 8 3 2 4" xfId="6208" xr:uid="{00000000-0005-0000-0000-00003A740000}"/>
    <cellStyle name="Normal 19 8 3 2 4 2" xfId="54049" xr:uid="{00000000-0005-0000-0000-00003B740000}"/>
    <cellStyle name="Normal 19 8 3 2 4 3" xfId="37949" xr:uid="{00000000-0005-0000-0000-00003C740000}"/>
    <cellStyle name="Normal 19 8 3 2 4 4" xfId="18813" xr:uid="{00000000-0005-0000-0000-00003D740000}"/>
    <cellStyle name="Normal 19 8 3 2 5" xfId="44482" xr:uid="{00000000-0005-0000-0000-00003E740000}"/>
    <cellStyle name="Normal 19 8 3 2 6" xfId="28382" xr:uid="{00000000-0005-0000-0000-00003F740000}"/>
    <cellStyle name="Normal 19 8 3 2 7" xfId="15318" xr:uid="{00000000-0005-0000-0000-000040740000}"/>
    <cellStyle name="Normal 19 8 3 3" xfId="1694" xr:uid="{00000000-0005-0000-0000-000041740000}"/>
    <cellStyle name="Normal 19 8 3 3 2" xfId="8228" xr:uid="{00000000-0005-0000-0000-000042740000}"/>
    <cellStyle name="Normal 19 8 3 3 2 2" xfId="39969" xr:uid="{00000000-0005-0000-0000-000043740000}"/>
    <cellStyle name="Normal 19 8 3 3 2 2 2" xfId="56069" xr:uid="{00000000-0005-0000-0000-000044740000}"/>
    <cellStyle name="Normal 19 8 3 3 2 3" xfId="46502" xr:uid="{00000000-0005-0000-0000-000045740000}"/>
    <cellStyle name="Normal 19 8 3 3 2 4" xfId="30402" xr:uid="{00000000-0005-0000-0000-000046740000}"/>
    <cellStyle name="Normal 19 8 3 3 2 5" xfId="20833" xr:uid="{00000000-0005-0000-0000-000047740000}"/>
    <cellStyle name="Normal 19 8 3 3 3" xfId="11264" xr:uid="{00000000-0005-0000-0000-000048740000}"/>
    <cellStyle name="Normal 19 8 3 3 3 2" xfId="49538" xr:uid="{00000000-0005-0000-0000-000049740000}"/>
    <cellStyle name="Normal 19 8 3 3 3 3" xfId="33438" xr:uid="{00000000-0005-0000-0000-00004A740000}"/>
    <cellStyle name="Normal 19 8 3 3 3 4" xfId="23869" xr:uid="{00000000-0005-0000-0000-00004B740000}"/>
    <cellStyle name="Normal 19 8 3 3 4" xfId="5192" xr:uid="{00000000-0005-0000-0000-00004C740000}"/>
    <cellStyle name="Normal 19 8 3 3 4 2" xfId="53033" xr:uid="{00000000-0005-0000-0000-00004D740000}"/>
    <cellStyle name="Normal 19 8 3 3 4 3" xfId="36933" xr:uid="{00000000-0005-0000-0000-00004E740000}"/>
    <cellStyle name="Normal 19 8 3 3 4 4" xfId="17797" xr:uid="{00000000-0005-0000-0000-00004F740000}"/>
    <cellStyle name="Normal 19 8 3 3 5" xfId="43466" xr:uid="{00000000-0005-0000-0000-000050740000}"/>
    <cellStyle name="Normal 19 8 3 3 6" xfId="27366" xr:uid="{00000000-0005-0000-0000-000051740000}"/>
    <cellStyle name="Normal 19 8 3 3 7" xfId="14302" xr:uid="{00000000-0005-0000-0000-000052740000}"/>
    <cellStyle name="Normal 19 8 3 4" xfId="7218" xr:uid="{00000000-0005-0000-0000-000053740000}"/>
    <cellStyle name="Normal 19 8 3 4 2" xfId="38959" xr:uid="{00000000-0005-0000-0000-000054740000}"/>
    <cellStyle name="Normal 19 8 3 4 2 2" xfId="55059" xr:uid="{00000000-0005-0000-0000-000055740000}"/>
    <cellStyle name="Normal 19 8 3 4 3" xfId="45492" xr:uid="{00000000-0005-0000-0000-000056740000}"/>
    <cellStyle name="Normal 19 8 3 4 4" xfId="29392" xr:uid="{00000000-0005-0000-0000-000057740000}"/>
    <cellStyle name="Normal 19 8 3 4 5" xfId="19823" xr:uid="{00000000-0005-0000-0000-000058740000}"/>
    <cellStyle name="Normal 19 8 3 5" xfId="10254" xr:uid="{00000000-0005-0000-0000-000059740000}"/>
    <cellStyle name="Normal 19 8 3 5 2" xfId="48528" xr:uid="{00000000-0005-0000-0000-00005A740000}"/>
    <cellStyle name="Normal 19 8 3 5 3" xfId="32428" xr:uid="{00000000-0005-0000-0000-00005B740000}"/>
    <cellStyle name="Normal 19 8 3 5 4" xfId="22859" xr:uid="{00000000-0005-0000-0000-00005C740000}"/>
    <cellStyle name="Normal 19 8 3 6" xfId="4182" xr:uid="{00000000-0005-0000-0000-00005D740000}"/>
    <cellStyle name="Normal 19 8 3 6 2" xfId="52023" xr:uid="{00000000-0005-0000-0000-00005E740000}"/>
    <cellStyle name="Normal 19 8 3 6 3" xfId="35923" xr:uid="{00000000-0005-0000-0000-00005F740000}"/>
    <cellStyle name="Normal 19 8 3 6 4" xfId="16787" xr:uid="{00000000-0005-0000-0000-000060740000}"/>
    <cellStyle name="Normal 19 8 3 7" xfId="42456" xr:uid="{00000000-0005-0000-0000-000061740000}"/>
    <cellStyle name="Normal 19 8 3 8" xfId="26356" xr:uid="{00000000-0005-0000-0000-000062740000}"/>
    <cellStyle name="Normal 19 8 3 9" xfId="13292" xr:uid="{00000000-0005-0000-0000-000063740000}"/>
    <cellStyle name="Normal 19 8 4" xfId="2484" xr:uid="{00000000-0005-0000-0000-000064740000}"/>
    <cellStyle name="Normal 19 8 4 2" xfId="9016" xr:uid="{00000000-0005-0000-0000-000065740000}"/>
    <cellStyle name="Normal 19 8 4 2 2" xfId="40757" xr:uid="{00000000-0005-0000-0000-000066740000}"/>
    <cellStyle name="Normal 19 8 4 2 2 2" xfId="56857" xr:uid="{00000000-0005-0000-0000-000067740000}"/>
    <cellStyle name="Normal 19 8 4 2 3" xfId="47290" xr:uid="{00000000-0005-0000-0000-000068740000}"/>
    <cellStyle name="Normal 19 8 4 2 4" xfId="31190" xr:uid="{00000000-0005-0000-0000-000069740000}"/>
    <cellStyle name="Normal 19 8 4 2 5" xfId="21621" xr:uid="{00000000-0005-0000-0000-00006A740000}"/>
    <cellStyle name="Normal 19 8 4 3" xfId="12052" xr:uid="{00000000-0005-0000-0000-00006B740000}"/>
    <cellStyle name="Normal 19 8 4 3 2" xfId="50326" xr:uid="{00000000-0005-0000-0000-00006C740000}"/>
    <cellStyle name="Normal 19 8 4 3 3" xfId="34226" xr:uid="{00000000-0005-0000-0000-00006D740000}"/>
    <cellStyle name="Normal 19 8 4 3 4" xfId="24657" xr:uid="{00000000-0005-0000-0000-00006E740000}"/>
    <cellStyle name="Normal 19 8 4 4" xfId="5980" xr:uid="{00000000-0005-0000-0000-00006F740000}"/>
    <cellStyle name="Normal 19 8 4 4 2" xfId="53821" xr:uid="{00000000-0005-0000-0000-000070740000}"/>
    <cellStyle name="Normal 19 8 4 4 3" xfId="37721" xr:uid="{00000000-0005-0000-0000-000071740000}"/>
    <cellStyle name="Normal 19 8 4 4 4" xfId="18585" xr:uid="{00000000-0005-0000-0000-000072740000}"/>
    <cellStyle name="Normal 19 8 4 5" xfId="44254" xr:uid="{00000000-0005-0000-0000-000073740000}"/>
    <cellStyle name="Normal 19 8 4 6" xfId="28154" xr:uid="{00000000-0005-0000-0000-000074740000}"/>
    <cellStyle name="Normal 19 8 4 7" xfId="15090" xr:uid="{00000000-0005-0000-0000-000075740000}"/>
    <cellStyle name="Normal 19 8 5" xfId="1233" xr:uid="{00000000-0005-0000-0000-000076740000}"/>
    <cellStyle name="Normal 19 8 5 2" xfId="7767" xr:uid="{00000000-0005-0000-0000-000077740000}"/>
    <cellStyle name="Normal 19 8 5 2 2" xfId="39508" xr:uid="{00000000-0005-0000-0000-000078740000}"/>
    <cellStyle name="Normal 19 8 5 2 2 2" xfId="55608" xr:uid="{00000000-0005-0000-0000-000079740000}"/>
    <cellStyle name="Normal 19 8 5 2 3" xfId="46041" xr:uid="{00000000-0005-0000-0000-00007A740000}"/>
    <cellStyle name="Normal 19 8 5 2 4" xfId="29941" xr:uid="{00000000-0005-0000-0000-00007B740000}"/>
    <cellStyle name="Normal 19 8 5 2 5" xfId="20372" xr:uid="{00000000-0005-0000-0000-00007C740000}"/>
    <cellStyle name="Normal 19 8 5 3" xfId="10803" xr:uid="{00000000-0005-0000-0000-00007D740000}"/>
    <cellStyle name="Normal 19 8 5 3 2" xfId="49077" xr:uid="{00000000-0005-0000-0000-00007E740000}"/>
    <cellStyle name="Normal 19 8 5 3 3" xfId="32977" xr:uid="{00000000-0005-0000-0000-00007F740000}"/>
    <cellStyle name="Normal 19 8 5 3 4" xfId="23408" xr:uid="{00000000-0005-0000-0000-000080740000}"/>
    <cellStyle name="Normal 19 8 5 4" xfId="4731" xr:uid="{00000000-0005-0000-0000-000081740000}"/>
    <cellStyle name="Normal 19 8 5 4 2" xfId="52572" xr:uid="{00000000-0005-0000-0000-000082740000}"/>
    <cellStyle name="Normal 19 8 5 4 3" xfId="36472" xr:uid="{00000000-0005-0000-0000-000083740000}"/>
    <cellStyle name="Normal 19 8 5 4 4" xfId="17336" xr:uid="{00000000-0005-0000-0000-000084740000}"/>
    <cellStyle name="Normal 19 8 5 5" xfId="43005" xr:uid="{00000000-0005-0000-0000-000085740000}"/>
    <cellStyle name="Normal 19 8 5 6" xfId="26905" xr:uid="{00000000-0005-0000-0000-000086740000}"/>
    <cellStyle name="Normal 19 8 5 7" xfId="13841" xr:uid="{00000000-0005-0000-0000-000087740000}"/>
    <cellStyle name="Normal 19 8 6" xfId="3721" xr:uid="{00000000-0005-0000-0000-000088740000}"/>
    <cellStyle name="Normal 19 8 6 2" xfId="35462" xr:uid="{00000000-0005-0000-0000-000089740000}"/>
    <cellStyle name="Normal 19 8 6 2 2" xfId="51562" xr:uid="{00000000-0005-0000-0000-00008A740000}"/>
    <cellStyle name="Normal 19 8 6 3" xfId="41995" xr:uid="{00000000-0005-0000-0000-00008B740000}"/>
    <cellStyle name="Normal 19 8 6 4" xfId="25895" xr:uid="{00000000-0005-0000-0000-00008C740000}"/>
    <cellStyle name="Normal 19 8 6 5" xfId="16326" xr:uid="{00000000-0005-0000-0000-00008D740000}"/>
    <cellStyle name="Normal 19 8 7" xfId="6757" xr:uid="{00000000-0005-0000-0000-00008E740000}"/>
    <cellStyle name="Normal 19 8 7 2" xfId="38498" xr:uid="{00000000-0005-0000-0000-00008F740000}"/>
    <cellStyle name="Normal 19 8 7 2 2" xfId="54598" xr:uid="{00000000-0005-0000-0000-000090740000}"/>
    <cellStyle name="Normal 19 8 7 3" xfId="45031" xr:uid="{00000000-0005-0000-0000-000091740000}"/>
    <cellStyle name="Normal 19 8 7 4" xfId="28931" xr:uid="{00000000-0005-0000-0000-000092740000}"/>
    <cellStyle name="Normal 19 8 7 5" xfId="19362" xr:uid="{00000000-0005-0000-0000-000093740000}"/>
    <cellStyle name="Normal 19 8 8" xfId="9793" xr:uid="{00000000-0005-0000-0000-000094740000}"/>
    <cellStyle name="Normal 19 8 8 2" xfId="48067" xr:uid="{00000000-0005-0000-0000-000095740000}"/>
    <cellStyle name="Normal 19 8 8 3" xfId="31967" xr:uid="{00000000-0005-0000-0000-000096740000}"/>
    <cellStyle name="Normal 19 8 8 4" xfId="22398" xr:uid="{00000000-0005-0000-0000-000097740000}"/>
    <cellStyle name="Normal 19 8 9" xfId="3261" xr:uid="{00000000-0005-0000-0000-000098740000}"/>
    <cellStyle name="Normal 19 8 9 2" xfId="51103" xr:uid="{00000000-0005-0000-0000-000099740000}"/>
    <cellStyle name="Normal 19 8 9 3" xfId="35003" xr:uid="{00000000-0005-0000-0000-00009A740000}"/>
    <cellStyle name="Normal 19 8 9 4" xfId="15867" xr:uid="{00000000-0005-0000-0000-00009B740000}"/>
    <cellStyle name="Normal 19 9" xfId="470" xr:uid="{00000000-0005-0000-0000-00009C740000}"/>
    <cellStyle name="Normal 19 9 10" xfId="41553" xr:uid="{00000000-0005-0000-0000-00009D740000}"/>
    <cellStyle name="Normal 19 9 11" xfId="25453" xr:uid="{00000000-0005-0000-0000-00009E740000}"/>
    <cellStyle name="Normal 19 9 12" xfId="12848" xr:uid="{00000000-0005-0000-0000-00009F740000}"/>
    <cellStyle name="Normal 19 9 2" xfId="923" xr:uid="{00000000-0005-0000-0000-0000A0740000}"/>
    <cellStyle name="Normal 19 9 2 10" xfId="13531" xr:uid="{00000000-0005-0000-0000-0000A1740000}"/>
    <cellStyle name="Normal 19 9 2 2" xfId="2951" xr:uid="{00000000-0005-0000-0000-0000A2740000}"/>
    <cellStyle name="Normal 19 9 2 2 2" xfId="9483" xr:uid="{00000000-0005-0000-0000-0000A3740000}"/>
    <cellStyle name="Normal 19 9 2 2 2 2" xfId="41224" xr:uid="{00000000-0005-0000-0000-0000A4740000}"/>
    <cellStyle name="Normal 19 9 2 2 2 2 2" xfId="57324" xr:uid="{00000000-0005-0000-0000-0000A5740000}"/>
    <cellStyle name="Normal 19 9 2 2 2 3" xfId="47757" xr:uid="{00000000-0005-0000-0000-0000A6740000}"/>
    <cellStyle name="Normal 19 9 2 2 2 4" xfId="31657" xr:uid="{00000000-0005-0000-0000-0000A7740000}"/>
    <cellStyle name="Normal 19 9 2 2 2 5" xfId="22088" xr:uid="{00000000-0005-0000-0000-0000A8740000}"/>
    <cellStyle name="Normal 19 9 2 2 3" xfId="12519" xr:uid="{00000000-0005-0000-0000-0000A9740000}"/>
    <cellStyle name="Normal 19 9 2 2 3 2" xfId="50793" xr:uid="{00000000-0005-0000-0000-0000AA740000}"/>
    <cellStyle name="Normal 19 9 2 2 3 3" xfId="34693" xr:uid="{00000000-0005-0000-0000-0000AB740000}"/>
    <cellStyle name="Normal 19 9 2 2 3 4" xfId="25124" xr:uid="{00000000-0005-0000-0000-0000AC740000}"/>
    <cellStyle name="Normal 19 9 2 2 4" xfId="6447" xr:uid="{00000000-0005-0000-0000-0000AD740000}"/>
    <cellStyle name="Normal 19 9 2 2 4 2" xfId="54288" xr:uid="{00000000-0005-0000-0000-0000AE740000}"/>
    <cellStyle name="Normal 19 9 2 2 4 3" xfId="38188" xr:uid="{00000000-0005-0000-0000-0000AF740000}"/>
    <cellStyle name="Normal 19 9 2 2 4 4" xfId="19052" xr:uid="{00000000-0005-0000-0000-0000B0740000}"/>
    <cellStyle name="Normal 19 9 2 2 5" xfId="44721" xr:uid="{00000000-0005-0000-0000-0000B1740000}"/>
    <cellStyle name="Normal 19 9 2 2 6" xfId="28621" xr:uid="{00000000-0005-0000-0000-0000B2740000}"/>
    <cellStyle name="Normal 19 9 2 2 7" xfId="15557" xr:uid="{00000000-0005-0000-0000-0000B3740000}"/>
    <cellStyle name="Normal 19 9 2 3" xfId="1933" xr:uid="{00000000-0005-0000-0000-0000B4740000}"/>
    <cellStyle name="Normal 19 9 2 3 2" xfId="8467" xr:uid="{00000000-0005-0000-0000-0000B5740000}"/>
    <cellStyle name="Normal 19 9 2 3 2 2" xfId="40208" xr:uid="{00000000-0005-0000-0000-0000B6740000}"/>
    <cellStyle name="Normal 19 9 2 3 2 2 2" xfId="56308" xr:uid="{00000000-0005-0000-0000-0000B7740000}"/>
    <cellStyle name="Normal 19 9 2 3 2 3" xfId="46741" xr:uid="{00000000-0005-0000-0000-0000B8740000}"/>
    <cellStyle name="Normal 19 9 2 3 2 4" xfId="30641" xr:uid="{00000000-0005-0000-0000-0000B9740000}"/>
    <cellStyle name="Normal 19 9 2 3 2 5" xfId="21072" xr:uid="{00000000-0005-0000-0000-0000BA740000}"/>
    <cellStyle name="Normal 19 9 2 3 3" xfId="11503" xr:uid="{00000000-0005-0000-0000-0000BB740000}"/>
    <cellStyle name="Normal 19 9 2 3 3 2" xfId="49777" xr:uid="{00000000-0005-0000-0000-0000BC740000}"/>
    <cellStyle name="Normal 19 9 2 3 3 3" xfId="33677" xr:uid="{00000000-0005-0000-0000-0000BD740000}"/>
    <cellStyle name="Normal 19 9 2 3 3 4" xfId="24108" xr:uid="{00000000-0005-0000-0000-0000BE740000}"/>
    <cellStyle name="Normal 19 9 2 3 4" xfId="5431" xr:uid="{00000000-0005-0000-0000-0000BF740000}"/>
    <cellStyle name="Normal 19 9 2 3 4 2" xfId="53272" xr:uid="{00000000-0005-0000-0000-0000C0740000}"/>
    <cellStyle name="Normal 19 9 2 3 4 3" xfId="37172" xr:uid="{00000000-0005-0000-0000-0000C1740000}"/>
    <cellStyle name="Normal 19 9 2 3 4 4" xfId="18036" xr:uid="{00000000-0005-0000-0000-0000C2740000}"/>
    <cellStyle name="Normal 19 9 2 3 5" xfId="43705" xr:uid="{00000000-0005-0000-0000-0000C3740000}"/>
    <cellStyle name="Normal 19 9 2 3 6" xfId="27605" xr:uid="{00000000-0005-0000-0000-0000C4740000}"/>
    <cellStyle name="Normal 19 9 2 3 7" xfId="14541" xr:uid="{00000000-0005-0000-0000-0000C5740000}"/>
    <cellStyle name="Normal 19 9 2 4" xfId="4421" xr:uid="{00000000-0005-0000-0000-0000C6740000}"/>
    <cellStyle name="Normal 19 9 2 4 2" xfId="36162" xr:uid="{00000000-0005-0000-0000-0000C7740000}"/>
    <cellStyle name="Normal 19 9 2 4 2 2" xfId="52262" xr:uid="{00000000-0005-0000-0000-0000C8740000}"/>
    <cellStyle name="Normal 19 9 2 4 3" xfId="42695" xr:uid="{00000000-0005-0000-0000-0000C9740000}"/>
    <cellStyle name="Normal 19 9 2 4 4" xfId="26595" xr:uid="{00000000-0005-0000-0000-0000CA740000}"/>
    <cellStyle name="Normal 19 9 2 4 5" xfId="17026" xr:uid="{00000000-0005-0000-0000-0000CB740000}"/>
    <cellStyle name="Normal 19 9 2 5" xfId="7457" xr:uid="{00000000-0005-0000-0000-0000CC740000}"/>
    <cellStyle name="Normal 19 9 2 5 2" xfId="39198" xr:uid="{00000000-0005-0000-0000-0000CD740000}"/>
    <cellStyle name="Normal 19 9 2 5 2 2" xfId="55298" xr:uid="{00000000-0005-0000-0000-0000CE740000}"/>
    <cellStyle name="Normal 19 9 2 5 3" xfId="45731" xr:uid="{00000000-0005-0000-0000-0000CF740000}"/>
    <cellStyle name="Normal 19 9 2 5 4" xfId="29631" xr:uid="{00000000-0005-0000-0000-0000D0740000}"/>
    <cellStyle name="Normal 19 9 2 5 5" xfId="20062" xr:uid="{00000000-0005-0000-0000-0000D1740000}"/>
    <cellStyle name="Normal 19 9 2 6" xfId="10493" xr:uid="{00000000-0005-0000-0000-0000D2740000}"/>
    <cellStyle name="Normal 19 9 2 6 2" xfId="48767" xr:uid="{00000000-0005-0000-0000-0000D3740000}"/>
    <cellStyle name="Normal 19 9 2 6 3" xfId="32667" xr:uid="{00000000-0005-0000-0000-0000D4740000}"/>
    <cellStyle name="Normal 19 9 2 6 4" xfId="23098" xr:uid="{00000000-0005-0000-0000-0000D5740000}"/>
    <cellStyle name="Normal 19 9 2 7" xfId="3516" xr:uid="{00000000-0005-0000-0000-0000D6740000}"/>
    <cellStyle name="Normal 19 9 2 7 2" xfId="51357" xr:uid="{00000000-0005-0000-0000-0000D7740000}"/>
    <cellStyle name="Normal 19 9 2 7 3" xfId="35257" xr:uid="{00000000-0005-0000-0000-0000D8740000}"/>
    <cellStyle name="Normal 19 9 2 7 4" xfId="16121" xr:uid="{00000000-0005-0000-0000-0000D9740000}"/>
    <cellStyle name="Normal 19 9 2 8" xfId="41790" xr:uid="{00000000-0005-0000-0000-0000DA740000}"/>
    <cellStyle name="Normal 19 9 2 9" xfId="25690" xr:uid="{00000000-0005-0000-0000-0000DB740000}"/>
    <cellStyle name="Normal 19 9 3" xfId="701" xr:uid="{00000000-0005-0000-0000-0000DC740000}"/>
    <cellStyle name="Normal 19 9 3 2" xfId="2729" xr:uid="{00000000-0005-0000-0000-0000DD740000}"/>
    <cellStyle name="Normal 19 9 3 2 2" xfId="9261" xr:uid="{00000000-0005-0000-0000-0000DE740000}"/>
    <cellStyle name="Normal 19 9 3 2 2 2" xfId="41002" xr:uid="{00000000-0005-0000-0000-0000DF740000}"/>
    <cellStyle name="Normal 19 9 3 2 2 2 2" xfId="57102" xr:uid="{00000000-0005-0000-0000-0000E0740000}"/>
    <cellStyle name="Normal 19 9 3 2 2 3" xfId="47535" xr:uid="{00000000-0005-0000-0000-0000E1740000}"/>
    <cellStyle name="Normal 19 9 3 2 2 4" xfId="31435" xr:uid="{00000000-0005-0000-0000-0000E2740000}"/>
    <cellStyle name="Normal 19 9 3 2 2 5" xfId="21866" xr:uid="{00000000-0005-0000-0000-0000E3740000}"/>
    <cellStyle name="Normal 19 9 3 2 3" xfId="12297" xr:uid="{00000000-0005-0000-0000-0000E4740000}"/>
    <cellStyle name="Normal 19 9 3 2 3 2" xfId="50571" xr:uid="{00000000-0005-0000-0000-0000E5740000}"/>
    <cellStyle name="Normal 19 9 3 2 3 3" xfId="34471" xr:uid="{00000000-0005-0000-0000-0000E6740000}"/>
    <cellStyle name="Normal 19 9 3 2 3 4" xfId="24902" xr:uid="{00000000-0005-0000-0000-0000E7740000}"/>
    <cellStyle name="Normal 19 9 3 2 4" xfId="6225" xr:uid="{00000000-0005-0000-0000-0000E8740000}"/>
    <cellStyle name="Normal 19 9 3 2 4 2" xfId="54066" xr:uid="{00000000-0005-0000-0000-0000E9740000}"/>
    <cellStyle name="Normal 19 9 3 2 4 3" xfId="37966" xr:uid="{00000000-0005-0000-0000-0000EA740000}"/>
    <cellStyle name="Normal 19 9 3 2 4 4" xfId="18830" xr:uid="{00000000-0005-0000-0000-0000EB740000}"/>
    <cellStyle name="Normal 19 9 3 2 5" xfId="44499" xr:uid="{00000000-0005-0000-0000-0000EC740000}"/>
    <cellStyle name="Normal 19 9 3 2 6" xfId="28399" xr:uid="{00000000-0005-0000-0000-0000ED740000}"/>
    <cellStyle name="Normal 19 9 3 2 7" xfId="15335" xr:uid="{00000000-0005-0000-0000-0000EE740000}"/>
    <cellStyle name="Normal 19 9 3 3" xfId="1711" xr:uid="{00000000-0005-0000-0000-0000EF740000}"/>
    <cellStyle name="Normal 19 9 3 3 2" xfId="8245" xr:uid="{00000000-0005-0000-0000-0000F0740000}"/>
    <cellStyle name="Normal 19 9 3 3 2 2" xfId="39986" xr:uid="{00000000-0005-0000-0000-0000F1740000}"/>
    <cellStyle name="Normal 19 9 3 3 2 2 2" xfId="56086" xr:uid="{00000000-0005-0000-0000-0000F2740000}"/>
    <cellStyle name="Normal 19 9 3 3 2 3" xfId="46519" xr:uid="{00000000-0005-0000-0000-0000F3740000}"/>
    <cellStyle name="Normal 19 9 3 3 2 4" xfId="30419" xr:uid="{00000000-0005-0000-0000-0000F4740000}"/>
    <cellStyle name="Normal 19 9 3 3 2 5" xfId="20850" xr:uid="{00000000-0005-0000-0000-0000F5740000}"/>
    <cellStyle name="Normal 19 9 3 3 3" xfId="11281" xr:uid="{00000000-0005-0000-0000-0000F6740000}"/>
    <cellStyle name="Normal 19 9 3 3 3 2" xfId="49555" xr:uid="{00000000-0005-0000-0000-0000F7740000}"/>
    <cellStyle name="Normal 19 9 3 3 3 3" xfId="33455" xr:uid="{00000000-0005-0000-0000-0000F8740000}"/>
    <cellStyle name="Normal 19 9 3 3 3 4" xfId="23886" xr:uid="{00000000-0005-0000-0000-0000F9740000}"/>
    <cellStyle name="Normal 19 9 3 3 4" xfId="5209" xr:uid="{00000000-0005-0000-0000-0000FA740000}"/>
    <cellStyle name="Normal 19 9 3 3 4 2" xfId="53050" xr:uid="{00000000-0005-0000-0000-0000FB740000}"/>
    <cellStyle name="Normal 19 9 3 3 4 3" xfId="36950" xr:uid="{00000000-0005-0000-0000-0000FC740000}"/>
    <cellStyle name="Normal 19 9 3 3 4 4" xfId="17814" xr:uid="{00000000-0005-0000-0000-0000FD740000}"/>
    <cellStyle name="Normal 19 9 3 3 5" xfId="43483" xr:uid="{00000000-0005-0000-0000-0000FE740000}"/>
    <cellStyle name="Normal 19 9 3 3 6" xfId="27383" xr:uid="{00000000-0005-0000-0000-0000FF740000}"/>
    <cellStyle name="Normal 19 9 3 3 7" xfId="14319" xr:uid="{00000000-0005-0000-0000-000000750000}"/>
    <cellStyle name="Normal 19 9 3 4" xfId="7235" xr:uid="{00000000-0005-0000-0000-000001750000}"/>
    <cellStyle name="Normal 19 9 3 4 2" xfId="38976" xr:uid="{00000000-0005-0000-0000-000002750000}"/>
    <cellStyle name="Normal 19 9 3 4 2 2" xfId="55076" xr:uid="{00000000-0005-0000-0000-000003750000}"/>
    <cellStyle name="Normal 19 9 3 4 3" xfId="45509" xr:uid="{00000000-0005-0000-0000-000004750000}"/>
    <cellStyle name="Normal 19 9 3 4 4" xfId="29409" xr:uid="{00000000-0005-0000-0000-000005750000}"/>
    <cellStyle name="Normal 19 9 3 4 5" xfId="19840" xr:uid="{00000000-0005-0000-0000-000006750000}"/>
    <cellStyle name="Normal 19 9 3 5" xfId="10271" xr:uid="{00000000-0005-0000-0000-000007750000}"/>
    <cellStyle name="Normal 19 9 3 5 2" xfId="48545" xr:uid="{00000000-0005-0000-0000-000008750000}"/>
    <cellStyle name="Normal 19 9 3 5 3" xfId="32445" xr:uid="{00000000-0005-0000-0000-000009750000}"/>
    <cellStyle name="Normal 19 9 3 5 4" xfId="22876" xr:uid="{00000000-0005-0000-0000-00000A750000}"/>
    <cellStyle name="Normal 19 9 3 6" xfId="4199" xr:uid="{00000000-0005-0000-0000-00000B750000}"/>
    <cellStyle name="Normal 19 9 3 6 2" xfId="52040" xr:uid="{00000000-0005-0000-0000-00000C750000}"/>
    <cellStyle name="Normal 19 9 3 6 3" xfId="35940" xr:uid="{00000000-0005-0000-0000-00000D750000}"/>
    <cellStyle name="Normal 19 9 3 6 4" xfId="16804" xr:uid="{00000000-0005-0000-0000-00000E750000}"/>
    <cellStyle name="Normal 19 9 3 7" xfId="42473" xr:uid="{00000000-0005-0000-0000-00000F750000}"/>
    <cellStyle name="Normal 19 9 3 8" xfId="26373" xr:uid="{00000000-0005-0000-0000-000010750000}"/>
    <cellStyle name="Normal 19 9 3 9" xfId="13309" xr:uid="{00000000-0005-0000-0000-000011750000}"/>
    <cellStyle name="Normal 19 9 4" xfId="2501" xr:uid="{00000000-0005-0000-0000-000012750000}"/>
    <cellStyle name="Normal 19 9 4 2" xfId="9033" xr:uid="{00000000-0005-0000-0000-000013750000}"/>
    <cellStyle name="Normal 19 9 4 2 2" xfId="40774" xr:uid="{00000000-0005-0000-0000-000014750000}"/>
    <cellStyle name="Normal 19 9 4 2 2 2" xfId="56874" xr:uid="{00000000-0005-0000-0000-000015750000}"/>
    <cellStyle name="Normal 19 9 4 2 3" xfId="47307" xr:uid="{00000000-0005-0000-0000-000016750000}"/>
    <cellStyle name="Normal 19 9 4 2 4" xfId="31207" xr:uid="{00000000-0005-0000-0000-000017750000}"/>
    <cellStyle name="Normal 19 9 4 2 5" xfId="21638" xr:uid="{00000000-0005-0000-0000-000018750000}"/>
    <cellStyle name="Normal 19 9 4 3" xfId="12069" xr:uid="{00000000-0005-0000-0000-000019750000}"/>
    <cellStyle name="Normal 19 9 4 3 2" xfId="50343" xr:uid="{00000000-0005-0000-0000-00001A750000}"/>
    <cellStyle name="Normal 19 9 4 3 3" xfId="34243" xr:uid="{00000000-0005-0000-0000-00001B750000}"/>
    <cellStyle name="Normal 19 9 4 3 4" xfId="24674" xr:uid="{00000000-0005-0000-0000-00001C750000}"/>
    <cellStyle name="Normal 19 9 4 4" xfId="5997" xr:uid="{00000000-0005-0000-0000-00001D750000}"/>
    <cellStyle name="Normal 19 9 4 4 2" xfId="53838" xr:uid="{00000000-0005-0000-0000-00001E750000}"/>
    <cellStyle name="Normal 19 9 4 4 3" xfId="37738" xr:uid="{00000000-0005-0000-0000-00001F750000}"/>
    <cellStyle name="Normal 19 9 4 4 4" xfId="18602" xr:uid="{00000000-0005-0000-0000-000020750000}"/>
    <cellStyle name="Normal 19 9 4 5" xfId="44271" xr:uid="{00000000-0005-0000-0000-000021750000}"/>
    <cellStyle name="Normal 19 9 4 6" xfId="28171" xr:uid="{00000000-0005-0000-0000-000022750000}"/>
    <cellStyle name="Normal 19 9 4 7" xfId="15107" xr:uid="{00000000-0005-0000-0000-000023750000}"/>
    <cellStyle name="Normal 19 9 5" xfId="1250" xr:uid="{00000000-0005-0000-0000-000024750000}"/>
    <cellStyle name="Normal 19 9 5 2" xfId="7784" xr:uid="{00000000-0005-0000-0000-000025750000}"/>
    <cellStyle name="Normal 19 9 5 2 2" xfId="39525" xr:uid="{00000000-0005-0000-0000-000026750000}"/>
    <cellStyle name="Normal 19 9 5 2 2 2" xfId="55625" xr:uid="{00000000-0005-0000-0000-000027750000}"/>
    <cellStyle name="Normal 19 9 5 2 3" xfId="46058" xr:uid="{00000000-0005-0000-0000-000028750000}"/>
    <cellStyle name="Normal 19 9 5 2 4" xfId="29958" xr:uid="{00000000-0005-0000-0000-000029750000}"/>
    <cellStyle name="Normal 19 9 5 2 5" xfId="20389" xr:uid="{00000000-0005-0000-0000-00002A750000}"/>
    <cellStyle name="Normal 19 9 5 3" xfId="10820" xr:uid="{00000000-0005-0000-0000-00002B750000}"/>
    <cellStyle name="Normal 19 9 5 3 2" xfId="49094" xr:uid="{00000000-0005-0000-0000-00002C750000}"/>
    <cellStyle name="Normal 19 9 5 3 3" xfId="32994" xr:uid="{00000000-0005-0000-0000-00002D750000}"/>
    <cellStyle name="Normal 19 9 5 3 4" xfId="23425" xr:uid="{00000000-0005-0000-0000-00002E750000}"/>
    <cellStyle name="Normal 19 9 5 4" xfId="4748" xr:uid="{00000000-0005-0000-0000-00002F750000}"/>
    <cellStyle name="Normal 19 9 5 4 2" xfId="52589" xr:uid="{00000000-0005-0000-0000-000030750000}"/>
    <cellStyle name="Normal 19 9 5 4 3" xfId="36489" xr:uid="{00000000-0005-0000-0000-000031750000}"/>
    <cellStyle name="Normal 19 9 5 4 4" xfId="17353" xr:uid="{00000000-0005-0000-0000-000032750000}"/>
    <cellStyle name="Normal 19 9 5 5" xfId="43022" xr:uid="{00000000-0005-0000-0000-000033750000}"/>
    <cellStyle name="Normal 19 9 5 6" xfId="26922" xr:uid="{00000000-0005-0000-0000-000034750000}"/>
    <cellStyle name="Normal 19 9 5 7" xfId="13858" xr:uid="{00000000-0005-0000-0000-000035750000}"/>
    <cellStyle name="Normal 19 9 6" xfId="3738" xr:uid="{00000000-0005-0000-0000-000036750000}"/>
    <cellStyle name="Normal 19 9 6 2" xfId="35479" xr:uid="{00000000-0005-0000-0000-000037750000}"/>
    <cellStyle name="Normal 19 9 6 2 2" xfId="51579" xr:uid="{00000000-0005-0000-0000-000038750000}"/>
    <cellStyle name="Normal 19 9 6 3" xfId="42012" xr:uid="{00000000-0005-0000-0000-000039750000}"/>
    <cellStyle name="Normal 19 9 6 4" xfId="25912" xr:uid="{00000000-0005-0000-0000-00003A750000}"/>
    <cellStyle name="Normal 19 9 6 5" xfId="16343" xr:uid="{00000000-0005-0000-0000-00003B750000}"/>
    <cellStyle name="Normal 19 9 7" xfId="6774" xr:uid="{00000000-0005-0000-0000-00003C750000}"/>
    <cellStyle name="Normal 19 9 7 2" xfId="38515" xr:uid="{00000000-0005-0000-0000-00003D750000}"/>
    <cellStyle name="Normal 19 9 7 2 2" xfId="54615" xr:uid="{00000000-0005-0000-0000-00003E750000}"/>
    <cellStyle name="Normal 19 9 7 3" xfId="45048" xr:uid="{00000000-0005-0000-0000-00003F750000}"/>
    <cellStyle name="Normal 19 9 7 4" xfId="28948" xr:uid="{00000000-0005-0000-0000-000040750000}"/>
    <cellStyle name="Normal 19 9 7 5" xfId="19379" xr:uid="{00000000-0005-0000-0000-000041750000}"/>
    <cellStyle name="Normal 19 9 8" xfId="9810" xr:uid="{00000000-0005-0000-0000-000042750000}"/>
    <cellStyle name="Normal 19 9 8 2" xfId="48084" xr:uid="{00000000-0005-0000-0000-000043750000}"/>
    <cellStyle name="Normal 19 9 8 3" xfId="31984" xr:uid="{00000000-0005-0000-0000-000044750000}"/>
    <cellStyle name="Normal 19 9 8 4" xfId="22415" xr:uid="{00000000-0005-0000-0000-000045750000}"/>
    <cellStyle name="Normal 19 9 9" xfId="3278" xr:uid="{00000000-0005-0000-0000-000046750000}"/>
    <cellStyle name="Normal 19 9 9 2" xfId="51120" xr:uid="{00000000-0005-0000-0000-000047750000}"/>
    <cellStyle name="Normal 19 9 9 3" xfId="35020" xr:uid="{00000000-0005-0000-0000-000048750000}"/>
    <cellStyle name="Normal 19 9 9 4" xfId="15884" xr:uid="{00000000-0005-0000-0000-000049750000}"/>
    <cellStyle name="Normal 2" xfId="3" xr:uid="{00000000-0005-0000-0000-00004A750000}"/>
    <cellStyle name="Normal 2 2" xfId="27" xr:uid="{00000000-0005-0000-0000-00004B750000}"/>
    <cellStyle name="Normal 2 3" xfId="10" xr:uid="{00000000-0005-0000-0000-00004C750000}"/>
    <cellStyle name="Normal 20" xfId="19" xr:uid="{00000000-0005-0000-0000-00004D750000}"/>
    <cellStyle name="Normal 20 10" xfId="471" xr:uid="{00000000-0005-0000-0000-00004E750000}"/>
    <cellStyle name="Normal 20 10 10" xfId="41554" xr:uid="{00000000-0005-0000-0000-00004F750000}"/>
    <cellStyle name="Normal 20 10 11" xfId="25454" xr:uid="{00000000-0005-0000-0000-000050750000}"/>
    <cellStyle name="Normal 20 10 12" xfId="12849" xr:uid="{00000000-0005-0000-0000-000051750000}"/>
    <cellStyle name="Normal 20 10 2" xfId="924" xr:uid="{00000000-0005-0000-0000-000052750000}"/>
    <cellStyle name="Normal 20 10 2 10" xfId="13532" xr:uid="{00000000-0005-0000-0000-000053750000}"/>
    <cellStyle name="Normal 20 10 2 2" xfId="2952" xr:uid="{00000000-0005-0000-0000-000054750000}"/>
    <cellStyle name="Normal 20 10 2 2 2" xfId="9484" xr:uid="{00000000-0005-0000-0000-000055750000}"/>
    <cellStyle name="Normal 20 10 2 2 2 2" xfId="41225" xr:uid="{00000000-0005-0000-0000-000056750000}"/>
    <cellStyle name="Normal 20 10 2 2 2 2 2" xfId="57325" xr:uid="{00000000-0005-0000-0000-000057750000}"/>
    <cellStyle name="Normal 20 10 2 2 2 3" xfId="47758" xr:uid="{00000000-0005-0000-0000-000058750000}"/>
    <cellStyle name="Normal 20 10 2 2 2 4" xfId="31658" xr:uid="{00000000-0005-0000-0000-000059750000}"/>
    <cellStyle name="Normal 20 10 2 2 2 5" xfId="22089" xr:uid="{00000000-0005-0000-0000-00005A750000}"/>
    <cellStyle name="Normal 20 10 2 2 3" xfId="12520" xr:uid="{00000000-0005-0000-0000-00005B750000}"/>
    <cellStyle name="Normal 20 10 2 2 3 2" xfId="50794" xr:uid="{00000000-0005-0000-0000-00005C750000}"/>
    <cellStyle name="Normal 20 10 2 2 3 3" xfId="34694" xr:uid="{00000000-0005-0000-0000-00005D750000}"/>
    <cellStyle name="Normal 20 10 2 2 3 4" xfId="25125" xr:uid="{00000000-0005-0000-0000-00005E750000}"/>
    <cellStyle name="Normal 20 10 2 2 4" xfId="6448" xr:uid="{00000000-0005-0000-0000-00005F750000}"/>
    <cellStyle name="Normal 20 10 2 2 4 2" xfId="54289" xr:uid="{00000000-0005-0000-0000-000060750000}"/>
    <cellStyle name="Normal 20 10 2 2 4 3" xfId="38189" xr:uid="{00000000-0005-0000-0000-000061750000}"/>
    <cellStyle name="Normal 20 10 2 2 4 4" xfId="19053" xr:uid="{00000000-0005-0000-0000-000062750000}"/>
    <cellStyle name="Normal 20 10 2 2 5" xfId="44722" xr:uid="{00000000-0005-0000-0000-000063750000}"/>
    <cellStyle name="Normal 20 10 2 2 6" xfId="28622" xr:uid="{00000000-0005-0000-0000-000064750000}"/>
    <cellStyle name="Normal 20 10 2 2 7" xfId="15558" xr:uid="{00000000-0005-0000-0000-000065750000}"/>
    <cellStyle name="Normal 20 10 2 3" xfId="1934" xr:uid="{00000000-0005-0000-0000-000066750000}"/>
    <cellStyle name="Normal 20 10 2 3 2" xfId="8468" xr:uid="{00000000-0005-0000-0000-000067750000}"/>
    <cellStyle name="Normal 20 10 2 3 2 2" xfId="40209" xr:uid="{00000000-0005-0000-0000-000068750000}"/>
    <cellStyle name="Normal 20 10 2 3 2 2 2" xfId="56309" xr:uid="{00000000-0005-0000-0000-000069750000}"/>
    <cellStyle name="Normal 20 10 2 3 2 3" xfId="46742" xr:uid="{00000000-0005-0000-0000-00006A750000}"/>
    <cellStyle name="Normal 20 10 2 3 2 4" xfId="30642" xr:uid="{00000000-0005-0000-0000-00006B750000}"/>
    <cellStyle name="Normal 20 10 2 3 2 5" xfId="21073" xr:uid="{00000000-0005-0000-0000-00006C750000}"/>
    <cellStyle name="Normal 20 10 2 3 3" xfId="11504" xr:uid="{00000000-0005-0000-0000-00006D750000}"/>
    <cellStyle name="Normal 20 10 2 3 3 2" xfId="49778" xr:uid="{00000000-0005-0000-0000-00006E750000}"/>
    <cellStyle name="Normal 20 10 2 3 3 3" xfId="33678" xr:uid="{00000000-0005-0000-0000-00006F750000}"/>
    <cellStyle name="Normal 20 10 2 3 3 4" xfId="24109" xr:uid="{00000000-0005-0000-0000-000070750000}"/>
    <cellStyle name="Normal 20 10 2 3 4" xfId="5432" xr:uid="{00000000-0005-0000-0000-000071750000}"/>
    <cellStyle name="Normal 20 10 2 3 4 2" xfId="53273" xr:uid="{00000000-0005-0000-0000-000072750000}"/>
    <cellStyle name="Normal 20 10 2 3 4 3" xfId="37173" xr:uid="{00000000-0005-0000-0000-000073750000}"/>
    <cellStyle name="Normal 20 10 2 3 4 4" xfId="18037" xr:uid="{00000000-0005-0000-0000-000074750000}"/>
    <cellStyle name="Normal 20 10 2 3 5" xfId="43706" xr:uid="{00000000-0005-0000-0000-000075750000}"/>
    <cellStyle name="Normal 20 10 2 3 6" xfId="27606" xr:uid="{00000000-0005-0000-0000-000076750000}"/>
    <cellStyle name="Normal 20 10 2 3 7" xfId="14542" xr:uid="{00000000-0005-0000-0000-000077750000}"/>
    <cellStyle name="Normal 20 10 2 4" xfId="4422" xr:uid="{00000000-0005-0000-0000-000078750000}"/>
    <cellStyle name="Normal 20 10 2 4 2" xfId="36163" xr:uid="{00000000-0005-0000-0000-000079750000}"/>
    <cellStyle name="Normal 20 10 2 4 2 2" xfId="52263" xr:uid="{00000000-0005-0000-0000-00007A750000}"/>
    <cellStyle name="Normal 20 10 2 4 3" xfId="42696" xr:uid="{00000000-0005-0000-0000-00007B750000}"/>
    <cellStyle name="Normal 20 10 2 4 4" xfId="26596" xr:uid="{00000000-0005-0000-0000-00007C750000}"/>
    <cellStyle name="Normal 20 10 2 4 5" xfId="17027" xr:uid="{00000000-0005-0000-0000-00007D750000}"/>
    <cellStyle name="Normal 20 10 2 5" xfId="7458" xr:uid="{00000000-0005-0000-0000-00007E750000}"/>
    <cellStyle name="Normal 20 10 2 5 2" xfId="39199" xr:uid="{00000000-0005-0000-0000-00007F750000}"/>
    <cellStyle name="Normal 20 10 2 5 2 2" xfId="55299" xr:uid="{00000000-0005-0000-0000-000080750000}"/>
    <cellStyle name="Normal 20 10 2 5 3" xfId="45732" xr:uid="{00000000-0005-0000-0000-000081750000}"/>
    <cellStyle name="Normal 20 10 2 5 4" xfId="29632" xr:uid="{00000000-0005-0000-0000-000082750000}"/>
    <cellStyle name="Normal 20 10 2 5 5" xfId="20063" xr:uid="{00000000-0005-0000-0000-000083750000}"/>
    <cellStyle name="Normal 20 10 2 6" xfId="10494" xr:uid="{00000000-0005-0000-0000-000084750000}"/>
    <cellStyle name="Normal 20 10 2 6 2" xfId="48768" xr:uid="{00000000-0005-0000-0000-000085750000}"/>
    <cellStyle name="Normal 20 10 2 6 3" xfId="32668" xr:uid="{00000000-0005-0000-0000-000086750000}"/>
    <cellStyle name="Normal 20 10 2 6 4" xfId="23099" xr:uid="{00000000-0005-0000-0000-000087750000}"/>
    <cellStyle name="Normal 20 10 2 7" xfId="3517" xr:uid="{00000000-0005-0000-0000-000088750000}"/>
    <cellStyle name="Normal 20 10 2 7 2" xfId="51358" xr:uid="{00000000-0005-0000-0000-000089750000}"/>
    <cellStyle name="Normal 20 10 2 7 3" xfId="35258" xr:uid="{00000000-0005-0000-0000-00008A750000}"/>
    <cellStyle name="Normal 20 10 2 7 4" xfId="16122" xr:uid="{00000000-0005-0000-0000-00008B750000}"/>
    <cellStyle name="Normal 20 10 2 8" xfId="41791" xr:uid="{00000000-0005-0000-0000-00008C750000}"/>
    <cellStyle name="Normal 20 10 2 9" xfId="25691" xr:uid="{00000000-0005-0000-0000-00008D750000}"/>
    <cellStyle name="Normal 20 10 3" xfId="702" xr:uid="{00000000-0005-0000-0000-00008E750000}"/>
    <cellStyle name="Normal 20 10 3 2" xfId="2730" xr:uid="{00000000-0005-0000-0000-00008F750000}"/>
    <cellStyle name="Normal 20 10 3 2 2" xfId="9262" xr:uid="{00000000-0005-0000-0000-000090750000}"/>
    <cellStyle name="Normal 20 10 3 2 2 2" xfId="41003" xr:uid="{00000000-0005-0000-0000-000091750000}"/>
    <cellStyle name="Normal 20 10 3 2 2 2 2" xfId="57103" xr:uid="{00000000-0005-0000-0000-000092750000}"/>
    <cellStyle name="Normal 20 10 3 2 2 3" xfId="47536" xr:uid="{00000000-0005-0000-0000-000093750000}"/>
    <cellStyle name="Normal 20 10 3 2 2 4" xfId="31436" xr:uid="{00000000-0005-0000-0000-000094750000}"/>
    <cellStyle name="Normal 20 10 3 2 2 5" xfId="21867" xr:uid="{00000000-0005-0000-0000-000095750000}"/>
    <cellStyle name="Normal 20 10 3 2 3" xfId="12298" xr:uid="{00000000-0005-0000-0000-000096750000}"/>
    <cellStyle name="Normal 20 10 3 2 3 2" xfId="50572" xr:uid="{00000000-0005-0000-0000-000097750000}"/>
    <cellStyle name="Normal 20 10 3 2 3 3" xfId="34472" xr:uid="{00000000-0005-0000-0000-000098750000}"/>
    <cellStyle name="Normal 20 10 3 2 3 4" xfId="24903" xr:uid="{00000000-0005-0000-0000-000099750000}"/>
    <cellStyle name="Normal 20 10 3 2 4" xfId="6226" xr:uid="{00000000-0005-0000-0000-00009A750000}"/>
    <cellStyle name="Normal 20 10 3 2 4 2" xfId="54067" xr:uid="{00000000-0005-0000-0000-00009B750000}"/>
    <cellStyle name="Normal 20 10 3 2 4 3" xfId="37967" xr:uid="{00000000-0005-0000-0000-00009C750000}"/>
    <cellStyle name="Normal 20 10 3 2 4 4" xfId="18831" xr:uid="{00000000-0005-0000-0000-00009D750000}"/>
    <cellStyle name="Normal 20 10 3 2 5" xfId="44500" xr:uid="{00000000-0005-0000-0000-00009E750000}"/>
    <cellStyle name="Normal 20 10 3 2 6" xfId="28400" xr:uid="{00000000-0005-0000-0000-00009F750000}"/>
    <cellStyle name="Normal 20 10 3 2 7" xfId="15336" xr:uid="{00000000-0005-0000-0000-0000A0750000}"/>
    <cellStyle name="Normal 20 10 3 3" xfId="1712" xr:uid="{00000000-0005-0000-0000-0000A1750000}"/>
    <cellStyle name="Normal 20 10 3 3 2" xfId="8246" xr:uid="{00000000-0005-0000-0000-0000A2750000}"/>
    <cellStyle name="Normal 20 10 3 3 2 2" xfId="39987" xr:uid="{00000000-0005-0000-0000-0000A3750000}"/>
    <cellStyle name="Normal 20 10 3 3 2 2 2" xfId="56087" xr:uid="{00000000-0005-0000-0000-0000A4750000}"/>
    <cellStyle name="Normal 20 10 3 3 2 3" xfId="46520" xr:uid="{00000000-0005-0000-0000-0000A5750000}"/>
    <cellStyle name="Normal 20 10 3 3 2 4" xfId="30420" xr:uid="{00000000-0005-0000-0000-0000A6750000}"/>
    <cellStyle name="Normal 20 10 3 3 2 5" xfId="20851" xr:uid="{00000000-0005-0000-0000-0000A7750000}"/>
    <cellStyle name="Normal 20 10 3 3 3" xfId="11282" xr:uid="{00000000-0005-0000-0000-0000A8750000}"/>
    <cellStyle name="Normal 20 10 3 3 3 2" xfId="49556" xr:uid="{00000000-0005-0000-0000-0000A9750000}"/>
    <cellStyle name="Normal 20 10 3 3 3 3" xfId="33456" xr:uid="{00000000-0005-0000-0000-0000AA750000}"/>
    <cellStyle name="Normal 20 10 3 3 3 4" xfId="23887" xr:uid="{00000000-0005-0000-0000-0000AB750000}"/>
    <cellStyle name="Normal 20 10 3 3 4" xfId="5210" xr:uid="{00000000-0005-0000-0000-0000AC750000}"/>
    <cellStyle name="Normal 20 10 3 3 4 2" xfId="53051" xr:uid="{00000000-0005-0000-0000-0000AD750000}"/>
    <cellStyle name="Normal 20 10 3 3 4 3" xfId="36951" xr:uid="{00000000-0005-0000-0000-0000AE750000}"/>
    <cellStyle name="Normal 20 10 3 3 4 4" xfId="17815" xr:uid="{00000000-0005-0000-0000-0000AF750000}"/>
    <cellStyle name="Normal 20 10 3 3 5" xfId="43484" xr:uid="{00000000-0005-0000-0000-0000B0750000}"/>
    <cellStyle name="Normal 20 10 3 3 6" xfId="27384" xr:uid="{00000000-0005-0000-0000-0000B1750000}"/>
    <cellStyle name="Normal 20 10 3 3 7" xfId="14320" xr:uid="{00000000-0005-0000-0000-0000B2750000}"/>
    <cellStyle name="Normal 20 10 3 4" xfId="7236" xr:uid="{00000000-0005-0000-0000-0000B3750000}"/>
    <cellStyle name="Normal 20 10 3 4 2" xfId="38977" xr:uid="{00000000-0005-0000-0000-0000B4750000}"/>
    <cellStyle name="Normal 20 10 3 4 2 2" xfId="55077" xr:uid="{00000000-0005-0000-0000-0000B5750000}"/>
    <cellStyle name="Normal 20 10 3 4 3" xfId="45510" xr:uid="{00000000-0005-0000-0000-0000B6750000}"/>
    <cellStyle name="Normal 20 10 3 4 4" xfId="29410" xr:uid="{00000000-0005-0000-0000-0000B7750000}"/>
    <cellStyle name="Normal 20 10 3 4 5" xfId="19841" xr:uid="{00000000-0005-0000-0000-0000B8750000}"/>
    <cellStyle name="Normal 20 10 3 5" xfId="10272" xr:uid="{00000000-0005-0000-0000-0000B9750000}"/>
    <cellStyle name="Normal 20 10 3 5 2" xfId="48546" xr:uid="{00000000-0005-0000-0000-0000BA750000}"/>
    <cellStyle name="Normal 20 10 3 5 3" xfId="32446" xr:uid="{00000000-0005-0000-0000-0000BB750000}"/>
    <cellStyle name="Normal 20 10 3 5 4" xfId="22877" xr:uid="{00000000-0005-0000-0000-0000BC750000}"/>
    <cellStyle name="Normal 20 10 3 6" xfId="4200" xr:uid="{00000000-0005-0000-0000-0000BD750000}"/>
    <cellStyle name="Normal 20 10 3 6 2" xfId="52041" xr:uid="{00000000-0005-0000-0000-0000BE750000}"/>
    <cellStyle name="Normal 20 10 3 6 3" xfId="35941" xr:uid="{00000000-0005-0000-0000-0000BF750000}"/>
    <cellStyle name="Normal 20 10 3 6 4" xfId="16805" xr:uid="{00000000-0005-0000-0000-0000C0750000}"/>
    <cellStyle name="Normal 20 10 3 7" xfId="42474" xr:uid="{00000000-0005-0000-0000-0000C1750000}"/>
    <cellStyle name="Normal 20 10 3 8" xfId="26374" xr:uid="{00000000-0005-0000-0000-0000C2750000}"/>
    <cellStyle name="Normal 20 10 3 9" xfId="13310" xr:uid="{00000000-0005-0000-0000-0000C3750000}"/>
    <cellStyle name="Normal 20 10 4" xfId="2502" xr:uid="{00000000-0005-0000-0000-0000C4750000}"/>
    <cellStyle name="Normal 20 10 4 2" xfId="9034" xr:uid="{00000000-0005-0000-0000-0000C5750000}"/>
    <cellStyle name="Normal 20 10 4 2 2" xfId="40775" xr:uid="{00000000-0005-0000-0000-0000C6750000}"/>
    <cellStyle name="Normal 20 10 4 2 2 2" xfId="56875" xr:uid="{00000000-0005-0000-0000-0000C7750000}"/>
    <cellStyle name="Normal 20 10 4 2 3" xfId="47308" xr:uid="{00000000-0005-0000-0000-0000C8750000}"/>
    <cellStyle name="Normal 20 10 4 2 4" xfId="31208" xr:uid="{00000000-0005-0000-0000-0000C9750000}"/>
    <cellStyle name="Normal 20 10 4 2 5" xfId="21639" xr:uid="{00000000-0005-0000-0000-0000CA750000}"/>
    <cellStyle name="Normal 20 10 4 3" xfId="12070" xr:uid="{00000000-0005-0000-0000-0000CB750000}"/>
    <cellStyle name="Normal 20 10 4 3 2" xfId="50344" xr:uid="{00000000-0005-0000-0000-0000CC750000}"/>
    <cellStyle name="Normal 20 10 4 3 3" xfId="34244" xr:uid="{00000000-0005-0000-0000-0000CD750000}"/>
    <cellStyle name="Normal 20 10 4 3 4" xfId="24675" xr:uid="{00000000-0005-0000-0000-0000CE750000}"/>
    <cellStyle name="Normal 20 10 4 4" xfId="5998" xr:uid="{00000000-0005-0000-0000-0000CF750000}"/>
    <cellStyle name="Normal 20 10 4 4 2" xfId="53839" xr:uid="{00000000-0005-0000-0000-0000D0750000}"/>
    <cellStyle name="Normal 20 10 4 4 3" xfId="37739" xr:uid="{00000000-0005-0000-0000-0000D1750000}"/>
    <cellStyle name="Normal 20 10 4 4 4" xfId="18603" xr:uid="{00000000-0005-0000-0000-0000D2750000}"/>
    <cellStyle name="Normal 20 10 4 5" xfId="44272" xr:uid="{00000000-0005-0000-0000-0000D3750000}"/>
    <cellStyle name="Normal 20 10 4 6" xfId="28172" xr:uid="{00000000-0005-0000-0000-0000D4750000}"/>
    <cellStyle name="Normal 20 10 4 7" xfId="15108" xr:uid="{00000000-0005-0000-0000-0000D5750000}"/>
    <cellStyle name="Normal 20 10 5" xfId="1251" xr:uid="{00000000-0005-0000-0000-0000D6750000}"/>
    <cellStyle name="Normal 20 10 5 2" xfId="7785" xr:uid="{00000000-0005-0000-0000-0000D7750000}"/>
    <cellStyle name="Normal 20 10 5 2 2" xfId="39526" xr:uid="{00000000-0005-0000-0000-0000D8750000}"/>
    <cellStyle name="Normal 20 10 5 2 2 2" xfId="55626" xr:uid="{00000000-0005-0000-0000-0000D9750000}"/>
    <cellStyle name="Normal 20 10 5 2 3" xfId="46059" xr:uid="{00000000-0005-0000-0000-0000DA750000}"/>
    <cellStyle name="Normal 20 10 5 2 4" xfId="29959" xr:uid="{00000000-0005-0000-0000-0000DB750000}"/>
    <cellStyle name="Normal 20 10 5 2 5" xfId="20390" xr:uid="{00000000-0005-0000-0000-0000DC750000}"/>
    <cellStyle name="Normal 20 10 5 3" xfId="10821" xr:uid="{00000000-0005-0000-0000-0000DD750000}"/>
    <cellStyle name="Normal 20 10 5 3 2" xfId="49095" xr:uid="{00000000-0005-0000-0000-0000DE750000}"/>
    <cellStyle name="Normal 20 10 5 3 3" xfId="32995" xr:uid="{00000000-0005-0000-0000-0000DF750000}"/>
    <cellStyle name="Normal 20 10 5 3 4" xfId="23426" xr:uid="{00000000-0005-0000-0000-0000E0750000}"/>
    <cellStyle name="Normal 20 10 5 4" xfId="4749" xr:uid="{00000000-0005-0000-0000-0000E1750000}"/>
    <cellStyle name="Normal 20 10 5 4 2" xfId="52590" xr:uid="{00000000-0005-0000-0000-0000E2750000}"/>
    <cellStyle name="Normal 20 10 5 4 3" xfId="36490" xr:uid="{00000000-0005-0000-0000-0000E3750000}"/>
    <cellStyle name="Normal 20 10 5 4 4" xfId="17354" xr:uid="{00000000-0005-0000-0000-0000E4750000}"/>
    <cellStyle name="Normal 20 10 5 5" xfId="43023" xr:uid="{00000000-0005-0000-0000-0000E5750000}"/>
    <cellStyle name="Normal 20 10 5 6" xfId="26923" xr:uid="{00000000-0005-0000-0000-0000E6750000}"/>
    <cellStyle name="Normal 20 10 5 7" xfId="13859" xr:uid="{00000000-0005-0000-0000-0000E7750000}"/>
    <cellStyle name="Normal 20 10 6" xfId="3739" xr:uid="{00000000-0005-0000-0000-0000E8750000}"/>
    <cellStyle name="Normal 20 10 6 2" xfId="35480" xr:uid="{00000000-0005-0000-0000-0000E9750000}"/>
    <cellStyle name="Normal 20 10 6 2 2" xfId="51580" xr:uid="{00000000-0005-0000-0000-0000EA750000}"/>
    <cellStyle name="Normal 20 10 6 3" xfId="42013" xr:uid="{00000000-0005-0000-0000-0000EB750000}"/>
    <cellStyle name="Normal 20 10 6 4" xfId="25913" xr:uid="{00000000-0005-0000-0000-0000EC750000}"/>
    <cellStyle name="Normal 20 10 6 5" xfId="16344" xr:uid="{00000000-0005-0000-0000-0000ED750000}"/>
    <cellStyle name="Normal 20 10 7" xfId="6775" xr:uid="{00000000-0005-0000-0000-0000EE750000}"/>
    <cellStyle name="Normal 20 10 7 2" xfId="38516" xr:uid="{00000000-0005-0000-0000-0000EF750000}"/>
    <cellStyle name="Normal 20 10 7 2 2" xfId="54616" xr:uid="{00000000-0005-0000-0000-0000F0750000}"/>
    <cellStyle name="Normal 20 10 7 3" xfId="45049" xr:uid="{00000000-0005-0000-0000-0000F1750000}"/>
    <cellStyle name="Normal 20 10 7 4" xfId="28949" xr:uid="{00000000-0005-0000-0000-0000F2750000}"/>
    <cellStyle name="Normal 20 10 7 5" xfId="19380" xr:uid="{00000000-0005-0000-0000-0000F3750000}"/>
    <cellStyle name="Normal 20 10 8" xfId="9811" xr:uid="{00000000-0005-0000-0000-0000F4750000}"/>
    <cellStyle name="Normal 20 10 8 2" xfId="48085" xr:uid="{00000000-0005-0000-0000-0000F5750000}"/>
    <cellStyle name="Normal 20 10 8 3" xfId="31985" xr:uid="{00000000-0005-0000-0000-0000F6750000}"/>
    <cellStyle name="Normal 20 10 8 4" xfId="22416" xr:uid="{00000000-0005-0000-0000-0000F7750000}"/>
    <cellStyle name="Normal 20 10 9" xfId="3279" xr:uid="{00000000-0005-0000-0000-0000F8750000}"/>
    <cellStyle name="Normal 20 10 9 2" xfId="51121" xr:uid="{00000000-0005-0000-0000-0000F9750000}"/>
    <cellStyle name="Normal 20 10 9 3" xfId="35021" xr:uid="{00000000-0005-0000-0000-0000FA750000}"/>
    <cellStyle name="Normal 20 10 9 4" xfId="15885" xr:uid="{00000000-0005-0000-0000-0000FB750000}"/>
    <cellStyle name="Normal 20 11" xfId="488" xr:uid="{00000000-0005-0000-0000-0000FC750000}"/>
    <cellStyle name="Normal 20 11 10" xfId="41571" xr:uid="{00000000-0005-0000-0000-0000FD750000}"/>
    <cellStyle name="Normal 20 11 11" xfId="25471" xr:uid="{00000000-0005-0000-0000-0000FE750000}"/>
    <cellStyle name="Normal 20 11 12" xfId="12866" xr:uid="{00000000-0005-0000-0000-0000FF750000}"/>
    <cellStyle name="Normal 20 11 2" xfId="941" xr:uid="{00000000-0005-0000-0000-000000760000}"/>
    <cellStyle name="Normal 20 11 2 10" xfId="13549" xr:uid="{00000000-0005-0000-0000-000001760000}"/>
    <cellStyle name="Normal 20 11 2 2" xfId="2969" xr:uid="{00000000-0005-0000-0000-000002760000}"/>
    <cellStyle name="Normal 20 11 2 2 2" xfId="9501" xr:uid="{00000000-0005-0000-0000-000003760000}"/>
    <cellStyle name="Normal 20 11 2 2 2 2" xfId="41242" xr:uid="{00000000-0005-0000-0000-000004760000}"/>
    <cellStyle name="Normal 20 11 2 2 2 2 2" xfId="57342" xr:uid="{00000000-0005-0000-0000-000005760000}"/>
    <cellStyle name="Normal 20 11 2 2 2 3" xfId="47775" xr:uid="{00000000-0005-0000-0000-000006760000}"/>
    <cellStyle name="Normal 20 11 2 2 2 4" xfId="31675" xr:uid="{00000000-0005-0000-0000-000007760000}"/>
    <cellStyle name="Normal 20 11 2 2 2 5" xfId="22106" xr:uid="{00000000-0005-0000-0000-000008760000}"/>
    <cellStyle name="Normal 20 11 2 2 3" xfId="12537" xr:uid="{00000000-0005-0000-0000-000009760000}"/>
    <cellStyle name="Normal 20 11 2 2 3 2" xfId="50811" xr:uid="{00000000-0005-0000-0000-00000A760000}"/>
    <cellStyle name="Normal 20 11 2 2 3 3" xfId="34711" xr:uid="{00000000-0005-0000-0000-00000B760000}"/>
    <cellStyle name="Normal 20 11 2 2 3 4" xfId="25142" xr:uid="{00000000-0005-0000-0000-00000C760000}"/>
    <cellStyle name="Normal 20 11 2 2 4" xfId="6465" xr:uid="{00000000-0005-0000-0000-00000D760000}"/>
    <cellStyle name="Normal 20 11 2 2 4 2" xfId="54306" xr:uid="{00000000-0005-0000-0000-00000E760000}"/>
    <cellStyle name="Normal 20 11 2 2 4 3" xfId="38206" xr:uid="{00000000-0005-0000-0000-00000F760000}"/>
    <cellStyle name="Normal 20 11 2 2 4 4" xfId="19070" xr:uid="{00000000-0005-0000-0000-000010760000}"/>
    <cellStyle name="Normal 20 11 2 2 5" xfId="44739" xr:uid="{00000000-0005-0000-0000-000011760000}"/>
    <cellStyle name="Normal 20 11 2 2 6" xfId="28639" xr:uid="{00000000-0005-0000-0000-000012760000}"/>
    <cellStyle name="Normal 20 11 2 2 7" xfId="15575" xr:uid="{00000000-0005-0000-0000-000013760000}"/>
    <cellStyle name="Normal 20 11 2 3" xfId="1951" xr:uid="{00000000-0005-0000-0000-000014760000}"/>
    <cellStyle name="Normal 20 11 2 3 2" xfId="8485" xr:uid="{00000000-0005-0000-0000-000015760000}"/>
    <cellStyle name="Normal 20 11 2 3 2 2" xfId="40226" xr:uid="{00000000-0005-0000-0000-000016760000}"/>
    <cellStyle name="Normal 20 11 2 3 2 2 2" xfId="56326" xr:uid="{00000000-0005-0000-0000-000017760000}"/>
    <cellStyle name="Normal 20 11 2 3 2 3" xfId="46759" xr:uid="{00000000-0005-0000-0000-000018760000}"/>
    <cellStyle name="Normal 20 11 2 3 2 4" xfId="30659" xr:uid="{00000000-0005-0000-0000-000019760000}"/>
    <cellStyle name="Normal 20 11 2 3 2 5" xfId="21090" xr:uid="{00000000-0005-0000-0000-00001A760000}"/>
    <cellStyle name="Normal 20 11 2 3 3" xfId="11521" xr:uid="{00000000-0005-0000-0000-00001B760000}"/>
    <cellStyle name="Normal 20 11 2 3 3 2" xfId="49795" xr:uid="{00000000-0005-0000-0000-00001C760000}"/>
    <cellStyle name="Normal 20 11 2 3 3 3" xfId="33695" xr:uid="{00000000-0005-0000-0000-00001D760000}"/>
    <cellStyle name="Normal 20 11 2 3 3 4" xfId="24126" xr:uid="{00000000-0005-0000-0000-00001E760000}"/>
    <cellStyle name="Normal 20 11 2 3 4" xfId="5449" xr:uid="{00000000-0005-0000-0000-00001F760000}"/>
    <cellStyle name="Normal 20 11 2 3 4 2" xfId="53290" xr:uid="{00000000-0005-0000-0000-000020760000}"/>
    <cellStyle name="Normal 20 11 2 3 4 3" xfId="37190" xr:uid="{00000000-0005-0000-0000-000021760000}"/>
    <cellStyle name="Normal 20 11 2 3 4 4" xfId="18054" xr:uid="{00000000-0005-0000-0000-000022760000}"/>
    <cellStyle name="Normal 20 11 2 3 5" xfId="43723" xr:uid="{00000000-0005-0000-0000-000023760000}"/>
    <cellStyle name="Normal 20 11 2 3 6" xfId="27623" xr:uid="{00000000-0005-0000-0000-000024760000}"/>
    <cellStyle name="Normal 20 11 2 3 7" xfId="14559" xr:uid="{00000000-0005-0000-0000-000025760000}"/>
    <cellStyle name="Normal 20 11 2 4" xfId="4439" xr:uid="{00000000-0005-0000-0000-000026760000}"/>
    <cellStyle name="Normal 20 11 2 4 2" xfId="36180" xr:uid="{00000000-0005-0000-0000-000027760000}"/>
    <cellStyle name="Normal 20 11 2 4 2 2" xfId="52280" xr:uid="{00000000-0005-0000-0000-000028760000}"/>
    <cellStyle name="Normal 20 11 2 4 3" xfId="42713" xr:uid="{00000000-0005-0000-0000-000029760000}"/>
    <cellStyle name="Normal 20 11 2 4 4" xfId="26613" xr:uid="{00000000-0005-0000-0000-00002A760000}"/>
    <cellStyle name="Normal 20 11 2 4 5" xfId="17044" xr:uid="{00000000-0005-0000-0000-00002B760000}"/>
    <cellStyle name="Normal 20 11 2 5" xfId="7475" xr:uid="{00000000-0005-0000-0000-00002C760000}"/>
    <cellStyle name="Normal 20 11 2 5 2" xfId="39216" xr:uid="{00000000-0005-0000-0000-00002D760000}"/>
    <cellStyle name="Normal 20 11 2 5 2 2" xfId="55316" xr:uid="{00000000-0005-0000-0000-00002E760000}"/>
    <cellStyle name="Normal 20 11 2 5 3" xfId="45749" xr:uid="{00000000-0005-0000-0000-00002F760000}"/>
    <cellStyle name="Normal 20 11 2 5 4" xfId="29649" xr:uid="{00000000-0005-0000-0000-000030760000}"/>
    <cellStyle name="Normal 20 11 2 5 5" xfId="20080" xr:uid="{00000000-0005-0000-0000-000031760000}"/>
    <cellStyle name="Normal 20 11 2 6" xfId="10511" xr:uid="{00000000-0005-0000-0000-000032760000}"/>
    <cellStyle name="Normal 20 11 2 6 2" xfId="48785" xr:uid="{00000000-0005-0000-0000-000033760000}"/>
    <cellStyle name="Normal 20 11 2 6 3" xfId="32685" xr:uid="{00000000-0005-0000-0000-000034760000}"/>
    <cellStyle name="Normal 20 11 2 6 4" xfId="23116" xr:uid="{00000000-0005-0000-0000-000035760000}"/>
    <cellStyle name="Normal 20 11 2 7" xfId="3534" xr:uid="{00000000-0005-0000-0000-000036760000}"/>
    <cellStyle name="Normal 20 11 2 7 2" xfId="51375" xr:uid="{00000000-0005-0000-0000-000037760000}"/>
    <cellStyle name="Normal 20 11 2 7 3" xfId="35275" xr:uid="{00000000-0005-0000-0000-000038760000}"/>
    <cellStyle name="Normal 20 11 2 7 4" xfId="16139" xr:uid="{00000000-0005-0000-0000-000039760000}"/>
    <cellStyle name="Normal 20 11 2 8" xfId="41808" xr:uid="{00000000-0005-0000-0000-00003A760000}"/>
    <cellStyle name="Normal 20 11 2 9" xfId="25708" xr:uid="{00000000-0005-0000-0000-00003B760000}"/>
    <cellStyle name="Normal 20 11 3" xfId="719" xr:uid="{00000000-0005-0000-0000-00003C760000}"/>
    <cellStyle name="Normal 20 11 3 2" xfId="2747" xr:uid="{00000000-0005-0000-0000-00003D760000}"/>
    <cellStyle name="Normal 20 11 3 2 2" xfId="9279" xr:uid="{00000000-0005-0000-0000-00003E760000}"/>
    <cellStyle name="Normal 20 11 3 2 2 2" xfId="41020" xr:uid="{00000000-0005-0000-0000-00003F760000}"/>
    <cellStyle name="Normal 20 11 3 2 2 2 2" xfId="57120" xr:uid="{00000000-0005-0000-0000-000040760000}"/>
    <cellStyle name="Normal 20 11 3 2 2 3" xfId="47553" xr:uid="{00000000-0005-0000-0000-000041760000}"/>
    <cellStyle name="Normal 20 11 3 2 2 4" xfId="31453" xr:uid="{00000000-0005-0000-0000-000042760000}"/>
    <cellStyle name="Normal 20 11 3 2 2 5" xfId="21884" xr:uid="{00000000-0005-0000-0000-000043760000}"/>
    <cellStyle name="Normal 20 11 3 2 3" xfId="12315" xr:uid="{00000000-0005-0000-0000-000044760000}"/>
    <cellStyle name="Normal 20 11 3 2 3 2" xfId="50589" xr:uid="{00000000-0005-0000-0000-000045760000}"/>
    <cellStyle name="Normal 20 11 3 2 3 3" xfId="34489" xr:uid="{00000000-0005-0000-0000-000046760000}"/>
    <cellStyle name="Normal 20 11 3 2 3 4" xfId="24920" xr:uid="{00000000-0005-0000-0000-000047760000}"/>
    <cellStyle name="Normal 20 11 3 2 4" xfId="6243" xr:uid="{00000000-0005-0000-0000-000048760000}"/>
    <cellStyle name="Normal 20 11 3 2 4 2" xfId="54084" xr:uid="{00000000-0005-0000-0000-000049760000}"/>
    <cellStyle name="Normal 20 11 3 2 4 3" xfId="37984" xr:uid="{00000000-0005-0000-0000-00004A760000}"/>
    <cellStyle name="Normal 20 11 3 2 4 4" xfId="18848" xr:uid="{00000000-0005-0000-0000-00004B760000}"/>
    <cellStyle name="Normal 20 11 3 2 5" xfId="44517" xr:uid="{00000000-0005-0000-0000-00004C760000}"/>
    <cellStyle name="Normal 20 11 3 2 6" xfId="28417" xr:uid="{00000000-0005-0000-0000-00004D760000}"/>
    <cellStyle name="Normal 20 11 3 2 7" xfId="15353" xr:uid="{00000000-0005-0000-0000-00004E760000}"/>
    <cellStyle name="Normal 20 11 3 3" xfId="1729" xr:uid="{00000000-0005-0000-0000-00004F760000}"/>
    <cellStyle name="Normal 20 11 3 3 2" xfId="8263" xr:uid="{00000000-0005-0000-0000-000050760000}"/>
    <cellStyle name="Normal 20 11 3 3 2 2" xfId="40004" xr:uid="{00000000-0005-0000-0000-000051760000}"/>
    <cellStyle name="Normal 20 11 3 3 2 2 2" xfId="56104" xr:uid="{00000000-0005-0000-0000-000052760000}"/>
    <cellStyle name="Normal 20 11 3 3 2 3" xfId="46537" xr:uid="{00000000-0005-0000-0000-000053760000}"/>
    <cellStyle name="Normal 20 11 3 3 2 4" xfId="30437" xr:uid="{00000000-0005-0000-0000-000054760000}"/>
    <cellStyle name="Normal 20 11 3 3 2 5" xfId="20868" xr:uid="{00000000-0005-0000-0000-000055760000}"/>
    <cellStyle name="Normal 20 11 3 3 3" xfId="11299" xr:uid="{00000000-0005-0000-0000-000056760000}"/>
    <cellStyle name="Normal 20 11 3 3 3 2" xfId="49573" xr:uid="{00000000-0005-0000-0000-000057760000}"/>
    <cellStyle name="Normal 20 11 3 3 3 3" xfId="33473" xr:uid="{00000000-0005-0000-0000-000058760000}"/>
    <cellStyle name="Normal 20 11 3 3 3 4" xfId="23904" xr:uid="{00000000-0005-0000-0000-000059760000}"/>
    <cellStyle name="Normal 20 11 3 3 4" xfId="5227" xr:uid="{00000000-0005-0000-0000-00005A760000}"/>
    <cellStyle name="Normal 20 11 3 3 4 2" xfId="53068" xr:uid="{00000000-0005-0000-0000-00005B760000}"/>
    <cellStyle name="Normal 20 11 3 3 4 3" xfId="36968" xr:uid="{00000000-0005-0000-0000-00005C760000}"/>
    <cellStyle name="Normal 20 11 3 3 4 4" xfId="17832" xr:uid="{00000000-0005-0000-0000-00005D760000}"/>
    <cellStyle name="Normal 20 11 3 3 5" xfId="43501" xr:uid="{00000000-0005-0000-0000-00005E760000}"/>
    <cellStyle name="Normal 20 11 3 3 6" xfId="27401" xr:uid="{00000000-0005-0000-0000-00005F760000}"/>
    <cellStyle name="Normal 20 11 3 3 7" xfId="14337" xr:uid="{00000000-0005-0000-0000-000060760000}"/>
    <cellStyle name="Normal 20 11 3 4" xfId="7253" xr:uid="{00000000-0005-0000-0000-000061760000}"/>
    <cellStyle name="Normal 20 11 3 4 2" xfId="38994" xr:uid="{00000000-0005-0000-0000-000062760000}"/>
    <cellStyle name="Normal 20 11 3 4 2 2" xfId="55094" xr:uid="{00000000-0005-0000-0000-000063760000}"/>
    <cellStyle name="Normal 20 11 3 4 3" xfId="45527" xr:uid="{00000000-0005-0000-0000-000064760000}"/>
    <cellStyle name="Normal 20 11 3 4 4" xfId="29427" xr:uid="{00000000-0005-0000-0000-000065760000}"/>
    <cellStyle name="Normal 20 11 3 4 5" xfId="19858" xr:uid="{00000000-0005-0000-0000-000066760000}"/>
    <cellStyle name="Normal 20 11 3 5" xfId="10289" xr:uid="{00000000-0005-0000-0000-000067760000}"/>
    <cellStyle name="Normal 20 11 3 5 2" xfId="48563" xr:uid="{00000000-0005-0000-0000-000068760000}"/>
    <cellStyle name="Normal 20 11 3 5 3" xfId="32463" xr:uid="{00000000-0005-0000-0000-000069760000}"/>
    <cellStyle name="Normal 20 11 3 5 4" xfId="22894" xr:uid="{00000000-0005-0000-0000-00006A760000}"/>
    <cellStyle name="Normal 20 11 3 6" xfId="4217" xr:uid="{00000000-0005-0000-0000-00006B760000}"/>
    <cellStyle name="Normal 20 11 3 6 2" xfId="52058" xr:uid="{00000000-0005-0000-0000-00006C760000}"/>
    <cellStyle name="Normal 20 11 3 6 3" xfId="35958" xr:uid="{00000000-0005-0000-0000-00006D760000}"/>
    <cellStyle name="Normal 20 11 3 6 4" xfId="16822" xr:uid="{00000000-0005-0000-0000-00006E760000}"/>
    <cellStyle name="Normal 20 11 3 7" xfId="42491" xr:uid="{00000000-0005-0000-0000-00006F760000}"/>
    <cellStyle name="Normal 20 11 3 8" xfId="26391" xr:uid="{00000000-0005-0000-0000-000070760000}"/>
    <cellStyle name="Normal 20 11 3 9" xfId="13327" xr:uid="{00000000-0005-0000-0000-000071760000}"/>
    <cellStyle name="Normal 20 11 4" xfId="2519" xr:uid="{00000000-0005-0000-0000-000072760000}"/>
    <cellStyle name="Normal 20 11 4 2" xfId="9051" xr:uid="{00000000-0005-0000-0000-000073760000}"/>
    <cellStyle name="Normal 20 11 4 2 2" xfId="40792" xr:uid="{00000000-0005-0000-0000-000074760000}"/>
    <cellStyle name="Normal 20 11 4 2 2 2" xfId="56892" xr:uid="{00000000-0005-0000-0000-000075760000}"/>
    <cellStyle name="Normal 20 11 4 2 3" xfId="47325" xr:uid="{00000000-0005-0000-0000-000076760000}"/>
    <cellStyle name="Normal 20 11 4 2 4" xfId="31225" xr:uid="{00000000-0005-0000-0000-000077760000}"/>
    <cellStyle name="Normal 20 11 4 2 5" xfId="21656" xr:uid="{00000000-0005-0000-0000-000078760000}"/>
    <cellStyle name="Normal 20 11 4 3" xfId="12087" xr:uid="{00000000-0005-0000-0000-000079760000}"/>
    <cellStyle name="Normal 20 11 4 3 2" xfId="50361" xr:uid="{00000000-0005-0000-0000-00007A760000}"/>
    <cellStyle name="Normal 20 11 4 3 3" xfId="34261" xr:uid="{00000000-0005-0000-0000-00007B760000}"/>
    <cellStyle name="Normal 20 11 4 3 4" xfId="24692" xr:uid="{00000000-0005-0000-0000-00007C760000}"/>
    <cellStyle name="Normal 20 11 4 4" xfId="6015" xr:uid="{00000000-0005-0000-0000-00007D760000}"/>
    <cellStyle name="Normal 20 11 4 4 2" xfId="53856" xr:uid="{00000000-0005-0000-0000-00007E760000}"/>
    <cellStyle name="Normal 20 11 4 4 3" xfId="37756" xr:uid="{00000000-0005-0000-0000-00007F760000}"/>
    <cellStyle name="Normal 20 11 4 4 4" xfId="18620" xr:uid="{00000000-0005-0000-0000-000080760000}"/>
    <cellStyle name="Normal 20 11 4 5" xfId="44289" xr:uid="{00000000-0005-0000-0000-000081760000}"/>
    <cellStyle name="Normal 20 11 4 6" xfId="28189" xr:uid="{00000000-0005-0000-0000-000082760000}"/>
    <cellStyle name="Normal 20 11 4 7" xfId="15125" xr:uid="{00000000-0005-0000-0000-000083760000}"/>
    <cellStyle name="Normal 20 11 5" xfId="1268" xr:uid="{00000000-0005-0000-0000-000084760000}"/>
    <cellStyle name="Normal 20 11 5 2" xfId="7802" xr:uid="{00000000-0005-0000-0000-000085760000}"/>
    <cellStyle name="Normal 20 11 5 2 2" xfId="39543" xr:uid="{00000000-0005-0000-0000-000086760000}"/>
    <cellStyle name="Normal 20 11 5 2 2 2" xfId="55643" xr:uid="{00000000-0005-0000-0000-000087760000}"/>
    <cellStyle name="Normal 20 11 5 2 3" xfId="46076" xr:uid="{00000000-0005-0000-0000-000088760000}"/>
    <cellStyle name="Normal 20 11 5 2 4" xfId="29976" xr:uid="{00000000-0005-0000-0000-000089760000}"/>
    <cellStyle name="Normal 20 11 5 2 5" xfId="20407" xr:uid="{00000000-0005-0000-0000-00008A760000}"/>
    <cellStyle name="Normal 20 11 5 3" xfId="10838" xr:uid="{00000000-0005-0000-0000-00008B760000}"/>
    <cellStyle name="Normal 20 11 5 3 2" xfId="49112" xr:uid="{00000000-0005-0000-0000-00008C760000}"/>
    <cellStyle name="Normal 20 11 5 3 3" xfId="33012" xr:uid="{00000000-0005-0000-0000-00008D760000}"/>
    <cellStyle name="Normal 20 11 5 3 4" xfId="23443" xr:uid="{00000000-0005-0000-0000-00008E760000}"/>
    <cellStyle name="Normal 20 11 5 4" xfId="4766" xr:uid="{00000000-0005-0000-0000-00008F760000}"/>
    <cellStyle name="Normal 20 11 5 4 2" xfId="52607" xr:uid="{00000000-0005-0000-0000-000090760000}"/>
    <cellStyle name="Normal 20 11 5 4 3" xfId="36507" xr:uid="{00000000-0005-0000-0000-000091760000}"/>
    <cellStyle name="Normal 20 11 5 4 4" xfId="17371" xr:uid="{00000000-0005-0000-0000-000092760000}"/>
    <cellStyle name="Normal 20 11 5 5" xfId="43040" xr:uid="{00000000-0005-0000-0000-000093760000}"/>
    <cellStyle name="Normal 20 11 5 6" xfId="26940" xr:uid="{00000000-0005-0000-0000-000094760000}"/>
    <cellStyle name="Normal 20 11 5 7" xfId="13876" xr:uid="{00000000-0005-0000-0000-000095760000}"/>
    <cellStyle name="Normal 20 11 6" xfId="3756" xr:uid="{00000000-0005-0000-0000-000096760000}"/>
    <cellStyle name="Normal 20 11 6 2" xfId="35497" xr:uid="{00000000-0005-0000-0000-000097760000}"/>
    <cellStyle name="Normal 20 11 6 2 2" xfId="51597" xr:uid="{00000000-0005-0000-0000-000098760000}"/>
    <cellStyle name="Normal 20 11 6 3" xfId="42030" xr:uid="{00000000-0005-0000-0000-000099760000}"/>
    <cellStyle name="Normal 20 11 6 4" xfId="25930" xr:uid="{00000000-0005-0000-0000-00009A760000}"/>
    <cellStyle name="Normal 20 11 6 5" xfId="16361" xr:uid="{00000000-0005-0000-0000-00009B760000}"/>
    <cellStyle name="Normal 20 11 7" xfId="6792" xr:uid="{00000000-0005-0000-0000-00009C760000}"/>
    <cellStyle name="Normal 20 11 7 2" xfId="38533" xr:uid="{00000000-0005-0000-0000-00009D760000}"/>
    <cellStyle name="Normal 20 11 7 2 2" xfId="54633" xr:uid="{00000000-0005-0000-0000-00009E760000}"/>
    <cellStyle name="Normal 20 11 7 3" xfId="45066" xr:uid="{00000000-0005-0000-0000-00009F760000}"/>
    <cellStyle name="Normal 20 11 7 4" xfId="28966" xr:uid="{00000000-0005-0000-0000-0000A0760000}"/>
    <cellStyle name="Normal 20 11 7 5" xfId="19397" xr:uid="{00000000-0005-0000-0000-0000A1760000}"/>
    <cellStyle name="Normal 20 11 8" xfId="9828" xr:uid="{00000000-0005-0000-0000-0000A2760000}"/>
    <cellStyle name="Normal 20 11 8 2" xfId="48102" xr:uid="{00000000-0005-0000-0000-0000A3760000}"/>
    <cellStyle name="Normal 20 11 8 3" xfId="32002" xr:uid="{00000000-0005-0000-0000-0000A4760000}"/>
    <cellStyle name="Normal 20 11 8 4" xfId="22433" xr:uid="{00000000-0005-0000-0000-0000A5760000}"/>
    <cellStyle name="Normal 20 11 9" xfId="3296" xr:uid="{00000000-0005-0000-0000-0000A6760000}"/>
    <cellStyle name="Normal 20 11 9 2" xfId="51138" xr:uid="{00000000-0005-0000-0000-0000A7760000}"/>
    <cellStyle name="Normal 20 11 9 3" xfId="35038" xr:uid="{00000000-0005-0000-0000-0000A8760000}"/>
    <cellStyle name="Normal 20 11 9 4" xfId="15902" xr:uid="{00000000-0005-0000-0000-0000A9760000}"/>
    <cellStyle name="Normal 20 12" xfId="431" xr:uid="{00000000-0005-0000-0000-0000AA760000}"/>
    <cellStyle name="Normal 20 12 10" xfId="41418" xr:uid="{00000000-0005-0000-0000-0000AB760000}"/>
    <cellStyle name="Normal 20 12 11" xfId="25318" xr:uid="{00000000-0005-0000-0000-0000AC760000}"/>
    <cellStyle name="Normal 20 12 12" xfId="12713" xr:uid="{00000000-0005-0000-0000-0000AD760000}"/>
    <cellStyle name="Normal 20 12 2" xfId="788" xr:uid="{00000000-0005-0000-0000-0000AE760000}"/>
    <cellStyle name="Normal 20 12 2 10" xfId="13396" xr:uid="{00000000-0005-0000-0000-0000AF760000}"/>
    <cellStyle name="Normal 20 12 2 2" xfId="2816" xr:uid="{00000000-0005-0000-0000-0000B0760000}"/>
    <cellStyle name="Normal 20 12 2 2 2" xfId="9348" xr:uid="{00000000-0005-0000-0000-0000B1760000}"/>
    <cellStyle name="Normal 20 12 2 2 2 2" xfId="41089" xr:uid="{00000000-0005-0000-0000-0000B2760000}"/>
    <cellStyle name="Normal 20 12 2 2 2 2 2" xfId="57189" xr:uid="{00000000-0005-0000-0000-0000B3760000}"/>
    <cellStyle name="Normal 20 12 2 2 2 3" xfId="47622" xr:uid="{00000000-0005-0000-0000-0000B4760000}"/>
    <cellStyle name="Normal 20 12 2 2 2 4" xfId="31522" xr:uid="{00000000-0005-0000-0000-0000B5760000}"/>
    <cellStyle name="Normal 20 12 2 2 2 5" xfId="21953" xr:uid="{00000000-0005-0000-0000-0000B6760000}"/>
    <cellStyle name="Normal 20 12 2 2 3" xfId="12384" xr:uid="{00000000-0005-0000-0000-0000B7760000}"/>
    <cellStyle name="Normal 20 12 2 2 3 2" xfId="50658" xr:uid="{00000000-0005-0000-0000-0000B8760000}"/>
    <cellStyle name="Normal 20 12 2 2 3 3" xfId="34558" xr:uid="{00000000-0005-0000-0000-0000B9760000}"/>
    <cellStyle name="Normal 20 12 2 2 3 4" xfId="24989" xr:uid="{00000000-0005-0000-0000-0000BA760000}"/>
    <cellStyle name="Normal 20 12 2 2 4" xfId="6312" xr:uid="{00000000-0005-0000-0000-0000BB760000}"/>
    <cellStyle name="Normal 20 12 2 2 4 2" xfId="54153" xr:uid="{00000000-0005-0000-0000-0000BC760000}"/>
    <cellStyle name="Normal 20 12 2 2 4 3" xfId="38053" xr:uid="{00000000-0005-0000-0000-0000BD760000}"/>
    <cellStyle name="Normal 20 12 2 2 4 4" xfId="18917" xr:uid="{00000000-0005-0000-0000-0000BE760000}"/>
    <cellStyle name="Normal 20 12 2 2 5" xfId="44586" xr:uid="{00000000-0005-0000-0000-0000BF760000}"/>
    <cellStyle name="Normal 20 12 2 2 6" xfId="28486" xr:uid="{00000000-0005-0000-0000-0000C0760000}"/>
    <cellStyle name="Normal 20 12 2 2 7" xfId="15422" xr:uid="{00000000-0005-0000-0000-0000C1760000}"/>
    <cellStyle name="Normal 20 12 2 3" xfId="1798" xr:uid="{00000000-0005-0000-0000-0000C2760000}"/>
    <cellStyle name="Normal 20 12 2 3 2" xfId="8332" xr:uid="{00000000-0005-0000-0000-0000C3760000}"/>
    <cellStyle name="Normal 20 12 2 3 2 2" xfId="40073" xr:uid="{00000000-0005-0000-0000-0000C4760000}"/>
    <cellStyle name="Normal 20 12 2 3 2 2 2" xfId="56173" xr:uid="{00000000-0005-0000-0000-0000C5760000}"/>
    <cellStyle name="Normal 20 12 2 3 2 3" xfId="46606" xr:uid="{00000000-0005-0000-0000-0000C6760000}"/>
    <cellStyle name="Normal 20 12 2 3 2 4" xfId="30506" xr:uid="{00000000-0005-0000-0000-0000C7760000}"/>
    <cellStyle name="Normal 20 12 2 3 2 5" xfId="20937" xr:uid="{00000000-0005-0000-0000-0000C8760000}"/>
    <cellStyle name="Normal 20 12 2 3 3" xfId="11368" xr:uid="{00000000-0005-0000-0000-0000C9760000}"/>
    <cellStyle name="Normal 20 12 2 3 3 2" xfId="49642" xr:uid="{00000000-0005-0000-0000-0000CA760000}"/>
    <cellStyle name="Normal 20 12 2 3 3 3" xfId="33542" xr:uid="{00000000-0005-0000-0000-0000CB760000}"/>
    <cellStyle name="Normal 20 12 2 3 3 4" xfId="23973" xr:uid="{00000000-0005-0000-0000-0000CC760000}"/>
    <cellStyle name="Normal 20 12 2 3 4" xfId="5296" xr:uid="{00000000-0005-0000-0000-0000CD760000}"/>
    <cellStyle name="Normal 20 12 2 3 4 2" xfId="53137" xr:uid="{00000000-0005-0000-0000-0000CE760000}"/>
    <cellStyle name="Normal 20 12 2 3 4 3" xfId="37037" xr:uid="{00000000-0005-0000-0000-0000CF760000}"/>
    <cellStyle name="Normal 20 12 2 3 4 4" xfId="17901" xr:uid="{00000000-0005-0000-0000-0000D0760000}"/>
    <cellStyle name="Normal 20 12 2 3 5" xfId="43570" xr:uid="{00000000-0005-0000-0000-0000D1760000}"/>
    <cellStyle name="Normal 20 12 2 3 6" xfId="27470" xr:uid="{00000000-0005-0000-0000-0000D2760000}"/>
    <cellStyle name="Normal 20 12 2 3 7" xfId="14406" xr:uid="{00000000-0005-0000-0000-0000D3760000}"/>
    <cellStyle name="Normal 20 12 2 4" xfId="4286" xr:uid="{00000000-0005-0000-0000-0000D4760000}"/>
    <cellStyle name="Normal 20 12 2 4 2" xfId="36027" xr:uid="{00000000-0005-0000-0000-0000D5760000}"/>
    <cellStyle name="Normal 20 12 2 4 2 2" xfId="52127" xr:uid="{00000000-0005-0000-0000-0000D6760000}"/>
    <cellStyle name="Normal 20 12 2 4 3" xfId="42560" xr:uid="{00000000-0005-0000-0000-0000D7760000}"/>
    <cellStyle name="Normal 20 12 2 4 4" xfId="26460" xr:uid="{00000000-0005-0000-0000-0000D8760000}"/>
    <cellStyle name="Normal 20 12 2 4 5" xfId="16891" xr:uid="{00000000-0005-0000-0000-0000D9760000}"/>
    <cellStyle name="Normal 20 12 2 5" xfId="7322" xr:uid="{00000000-0005-0000-0000-0000DA760000}"/>
    <cellStyle name="Normal 20 12 2 5 2" xfId="39063" xr:uid="{00000000-0005-0000-0000-0000DB760000}"/>
    <cellStyle name="Normal 20 12 2 5 2 2" xfId="55163" xr:uid="{00000000-0005-0000-0000-0000DC760000}"/>
    <cellStyle name="Normal 20 12 2 5 3" xfId="45596" xr:uid="{00000000-0005-0000-0000-0000DD760000}"/>
    <cellStyle name="Normal 20 12 2 5 4" xfId="29496" xr:uid="{00000000-0005-0000-0000-0000DE760000}"/>
    <cellStyle name="Normal 20 12 2 5 5" xfId="19927" xr:uid="{00000000-0005-0000-0000-0000DF760000}"/>
    <cellStyle name="Normal 20 12 2 6" xfId="10358" xr:uid="{00000000-0005-0000-0000-0000E0760000}"/>
    <cellStyle name="Normal 20 12 2 6 2" xfId="48632" xr:uid="{00000000-0005-0000-0000-0000E1760000}"/>
    <cellStyle name="Normal 20 12 2 6 3" xfId="32532" xr:uid="{00000000-0005-0000-0000-0000E2760000}"/>
    <cellStyle name="Normal 20 12 2 6 4" xfId="22963" xr:uid="{00000000-0005-0000-0000-0000E3760000}"/>
    <cellStyle name="Normal 20 12 2 7" xfId="3381" xr:uid="{00000000-0005-0000-0000-0000E4760000}"/>
    <cellStyle name="Normal 20 12 2 7 2" xfId="51222" xr:uid="{00000000-0005-0000-0000-0000E5760000}"/>
    <cellStyle name="Normal 20 12 2 7 3" xfId="35122" xr:uid="{00000000-0005-0000-0000-0000E6760000}"/>
    <cellStyle name="Normal 20 12 2 7 4" xfId="15986" xr:uid="{00000000-0005-0000-0000-0000E7760000}"/>
    <cellStyle name="Normal 20 12 2 8" xfId="41655" xr:uid="{00000000-0005-0000-0000-0000E8760000}"/>
    <cellStyle name="Normal 20 12 2 9" xfId="25555" xr:uid="{00000000-0005-0000-0000-0000E9760000}"/>
    <cellStyle name="Normal 20 12 3" xfId="646" xr:uid="{00000000-0005-0000-0000-0000EA760000}"/>
    <cellStyle name="Normal 20 12 3 2" xfId="2674" xr:uid="{00000000-0005-0000-0000-0000EB760000}"/>
    <cellStyle name="Normal 20 12 3 2 2" xfId="9206" xr:uid="{00000000-0005-0000-0000-0000EC760000}"/>
    <cellStyle name="Normal 20 12 3 2 2 2" xfId="40947" xr:uid="{00000000-0005-0000-0000-0000ED760000}"/>
    <cellStyle name="Normal 20 12 3 2 2 2 2" xfId="57047" xr:uid="{00000000-0005-0000-0000-0000EE760000}"/>
    <cellStyle name="Normal 20 12 3 2 2 3" xfId="47480" xr:uid="{00000000-0005-0000-0000-0000EF760000}"/>
    <cellStyle name="Normal 20 12 3 2 2 4" xfId="31380" xr:uid="{00000000-0005-0000-0000-0000F0760000}"/>
    <cellStyle name="Normal 20 12 3 2 2 5" xfId="21811" xr:uid="{00000000-0005-0000-0000-0000F1760000}"/>
    <cellStyle name="Normal 20 12 3 2 3" xfId="12242" xr:uid="{00000000-0005-0000-0000-0000F2760000}"/>
    <cellStyle name="Normal 20 12 3 2 3 2" xfId="50516" xr:uid="{00000000-0005-0000-0000-0000F3760000}"/>
    <cellStyle name="Normal 20 12 3 2 3 3" xfId="34416" xr:uid="{00000000-0005-0000-0000-0000F4760000}"/>
    <cellStyle name="Normal 20 12 3 2 3 4" xfId="24847" xr:uid="{00000000-0005-0000-0000-0000F5760000}"/>
    <cellStyle name="Normal 20 12 3 2 4" xfId="6170" xr:uid="{00000000-0005-0000-0000-0000F6760000}"/>
    <cellStyle name="Normal 20 12 3 2 4 2" xfId="54011" xr:uid="{00000000-0005-0000-0000-0000F7760000}"/>
    <cellStyle name="Normal 20 12 3 2 4 3" xfId="37911" xr:uid="{00000000-0005-0000-0000-0000F8760000}"/>
    <cellStyle name="Normal 20 12 3 2 4 4" xfId="18775" xr:uid="{00000000-0005-0000-0000-0000F9760000}"/>
    <cellStyle name="Normal 20 12 3 2 5" xfId="44444" xr:uid="{00000000-0005-0000-0000-0000FA760000}"/>
    <cellStyle name="Normal 20 12 3 2 6" xfId="28344" xr:uid="{00000000-0005-0000-0000-0000FB760000}"/>
    <cellStyle name="Normal 20 12 3 2 7" xfId="15280" xr:uid="{00000000-0005-0000-0000-0000FC760000}"/>
    <cellStyle name="Normal 20 12 3 3" xfId="1656" xr:uid="{00000000-0005-0000-0000-0000FD760000}"/>
    <cellStyle name="Normal 20 12 3 3 2" xfId="8190" xr:uid="{00000000-0005-0000-0000-0000FE760000}"/>
    <cellStyle name="Normal 20 12 3 3 2 2" xfId="39931" xr:uid="{00000000-0005-0000-0000-0000FF760000}"/>
    <cellStyle name="Normal 20 12 3 3 2 2 2" xfId="56031" xr:uid="{00000000-0005-0000-0000-000000770000}"/>
    <cellStyle name="Normal 20 12 3 3 2 3" xfId="46464" xr:uid="{00000000-0005-0000-0000-000001770000}"/>
    <cellStyle name="Normal 20 12 3 3 2 4" xfId="30364" xr:uid="{00000000-0005-0000-0000-000002770000}"/>
    <cellStyle name="Normal 20 12 3 3 2 5" xfId="20795" xr:uid="{00000000-0005-0000-0000-000003770000}"/>
    <cellStyle name="Normal 20 12 3 3 3" xfId="11226" xr:uid="{00000000-0005-0000-0000-000004770000}"/>
    <cellStyle name="Normal 20 12 3 3 3 2" xfId="49500" xr:uid="{00000000-0005-0000-0000-000005770000}"/>
    <cellStyle name="Normal 20 12 3 3 3 3" xfId="33400" xr:uid="{00000000-0005-0000-0000-000006770000}"/>
    <cellStyle name="Normal 20 12 3 3 3 4" xfId="23831" xr:uid="{00000000-0005-0000-0000-000007770000}"/>
    <cellStyle name="Normal 20 12 3 3 4" xfId="5154" xr:uid="{00000000-0005-0000-0000-000008770000}"/>
    <cellStyle name="Normal 20 12 3 3 4 2" xfId="52995" xr:uid="{00000000-0005-0000-0000-000009770000}"/>
    <cellStyle name="Normal 20 12 3 3 4 3" xfId="36895" xr:uid="{00000000-0005-0000-0000-00000A770000}"/>
    <cellStyle name="Normal 20 12 3 3 4 4" xfId="17759" xr:uid="{00000000-0005-0000-0000-00000B770000}"/>
    <cellStyle name="Normal 20 12 3 3 5" xfId="43428" xr:uid="{00000000-0005-0000-0000-00000C770000}"/>
    <cellStyle name="Normal 20 12 3 3 6" xfId="27328" xr:uid="{00000000-0005-0000-0000-00000D770000}"/>
    <cellStyle name="Normal 20 12 3 3 7" xfId="14264" xr:uid="{00000000-0005-0000-0000-00000E770000}"/>
    <cellStyle name="Normal 20 12 3 4" xfId="7180" xr:uid="{00000000-0005-0000-0000-00000F770000}"/>
    <cellStyle name="Normal 20 12 3 4 2" xfId="38921" xr:uid="{00000000-0005-0000-0000-000010770000}"/>
    <cellStyle name="Normal 20 12 3 4 2 2" xfId="55021" xr:uid="{00000000-0005-0000-0000-000011770000}"/>
    <cellStyle name="Normal 20 12 3 4 3" xfId="45454" xr:uid="{00000000-0005-0000-0000-000012770000}"/>
    <cellStyle name="Normal 20 12 3 4 4" xfId="29354" xr:uid="{00000000-0005-0000-0000-000013770000}"/>
    <cellStyle name="Normal 20 12 3 4 5" xfId="19785" xr:uid="{00000000-0005-0000-0000-000014770000}"/>
    <cellStyle name="Normal 20 12 3 5" xfId="10216" xr:uid="{00000000-0005-0000-0000-000015770000}"/>
    <cellStyle name="Normal 20 12 3 5 2" xfId="48490" xr:uid="{00000000-0005-0000-0000-000016770000}"/>
    <cellStyle name="Normal 20 12 3 5 3" xfId="32390" xr:uid="{00000000-0005-0000-0000-000017770000}"/>
    <cellStyle name="Normal 20 12 3 5 4" xfId="22821" xr:uid="{00000000-0005-0000-0000-000018770000}"/>
    <cellStyle name="Normal 20 12 3 6" xfId="4144" xr:uid="{00000000-0005-0000-0000-000019770000}"/>
    <cellStyle name="Normal 20 12 3 6 2" xfId="51985" xr:uid="{00000000-0005-0000-0000-00001A770000}"/>
    <cellStyle name="Normal 20 12 3 6 3" xfId="35885" xr:uid="{00000000-0005-0000-0000-00001B770000}"/>
    <cellStyle name="Normal 20 12 3 6 4" xfId="16749" xr:uid="{00000000-0005-0000-0000-00001C770000}"/>
    <cellStyle name="Normal 20 12 3 7" xfId="42418" xr:uid="{00000000-0005-0000-0000-00001D770000}"/>
    <cellStyle name="Normal 20 12 3 8" xfId="26318" xr:uid="{00000000-0005-0000-0000-00001E770000}"/>
    <cellStyle name="Normal 20 12 3 9" xfId="13254" xr:uid="{00000000-0005-0000-0000-00001F770000}"/>
    <cellStyle name="Normal 20 12 4" xfId="2446" xr:uid="{00000000-0005-0000-0000-000020770000}"/>
    <cellStyle name="Normal 20 12 4 2" xfId="8978" xr:uid="{00000000-0005-0000-0000-000021770000}"/>
    <cellStyle name="Normal 20 12 4 2 2" xfId="40719" xr:uid="{00000000-0005-0000-0000-000022770000}"/>
    <cellStyle name="Normal 20 12 4 2 2 2" xfId="56819" xr:uid="{00000000-0005-0000-0000-000023770000}"/>
    <cellStyle name="Normal 20 12 4 2 3" xfId="47252" xr:uid="{00000000-0005-0000-0000-000024770000}"/>
    <cellStyle name="Normal 20 12 4 2 4" xfId="31152" xr:uid="{00000000-0005-0000-0000-000025770000}"/>
    <cellStyle name="Normal 20 12 4 2 5" xfId="21583" xr:uid="{00000000-0005-0000-0000-000026770000}"/>
    <cellStyle name="Normal 20 12 4 3" xfId="12014" xr:uid="{00000000-0005-0000-0000-000027770000}"/>
    <cellStyle name="Normal 20 12 4 3 2" xfId="50288" xr:uid="{00000000-0005-0000-0000-000028770000}"/>
    <cellStyle name="Normal 20 12 4 3 3" xfId="34188" xr:uid="{00000000-0005-0000-0000-000029770000}"/>
    <cellStyle name="Normal 20 12 4 3 4" xfId="24619" xr:uid="{00000000-0005-0000-0000-00002A770000}"/>
    <cellStyle name="Normal 20 12 4 4" xfId="5942" xr:uid="{00000000-0005-0000-0000-00002B770000}"/>
    <cellStyle name="Normal 20 12 4 4 2" xfId="53783" xr:uid="{00000000-0005-0000-0000-00002C770000}"/>
    <cellStyle name="Normal 20 12 4 4 3" xfId="37683" xr:uid="{00000000-0005-0000-0000-00002D770000}"/>
    <cellStyle name="Normal 20 12 4 4 4" xfId="18547" xr:uid="{00000000-0005-0000-0000-00002E770000}"/>
    <cellStyle name="Normal 20 12 4 5" xfId="44216" xr:uid="{00000000-0005-0000-0000-00002F770000}"/>
    <cellStyle name="Normal 20 12 4 6" xfId="28116" xr:uid="{00000000-0005-0000-0000-000030770000}"/>
    <cellStyle name="Normal 20 12 4 7" xfId="15052" xr:uid="{00000000-0005-0000-0000-000031770000}"/>
    <cellStyle name="Normal 20 12 5" xfId="1115" xr:uid="{00000000-0005-0000-0000-000032770000}"/>
    <cellStyle name="Normal 20 12 5 2" xfId="7649" xr:uid="{00000000-0005-0000-0000-000033770000}"/>
    <cellStyle name="Normal 20 12 5 2 2" xfId="39390" xr:uid="{00000000-0005-0000-0000-000034770000}"/>
    <cellStyle name="Normal 20 12 5 2 2 2" xfId="55490" xr:uid="{00000000-0005-0000-0000-000035770000}"/>
    <cellStyle name="Normal 20 12 5 2 3" xfId="45923" xr:uid="{00000000-0005-0000-0000-000036770000}"/>
    <cellStyle name="Normal 20 12 5 2 4" xfId="29823" xr:uid="{00000000-0005-0000-0000-000037770000}"/>
    <cellStyle name="Normal 20 12 5 2 5" xfId="20254" xr:uid="{00000000-0005-0000-0000-000038770000}"/>
    <cellStyle name="Normal 20 12 5 3" xfId="10685" xr:uid="{00000000-0005-0000-0000-000039770000}"/>
    <cellStyle name="Normal 20 12 5 3 2" xfId="48959" xr:uid="{00000000-0005-0000-0000-00003A770000}"/>
    <cellStyle name="Normal 20 12 5 3 3" xfId="32859" xr:uid="{00000000-0005-0000-0000-00003B770000}"/>
    <cellStyle name="Normal 20 12 5 3 4" xfId="23290" xr:uid="{00000000-0005-0000-0000-00003C770000}"/>
    <cellStyle name="Normal 20 12 5 4" xfId="4613" xr:uid="{00000000-0005-0000-0000-00003D770000}"/>
    <cellStyle name="Normal 20 12 5 4 2" xfId="52454" xr:uid="{00000000-0005-0000-0000-00003E770000}"/>
    <cellStyle name="Normal 20 12 5 4 3" xfId="36354" xr:uid="{00000000-0005-0000-0000-00003F770000}"/>
    <cellStyle name="Normal 20 12 5 4 4" xfId="17218" xr:uid="{00000000-0005-0000-0000-000040770000}"/>
    <cellStyle name="Normal 20 12 5 5" xfId="42887" xr:uid="{00000000-0005-0000-0000-000041770000}"/>
    <cellStyle name="Normal 20 12 5 6" xfId="26787" xr:uid="{00000000-0005-0000-0000-000042770000}"/>
    <cellStyle name="Normal 20 12 5 7" xfId="13723" xr:uid="{00000000-0005-0000-0000-000043770000}"/>
    <cellStyle name="Normal 20 12 6" xfId="3603" xr:uid="{00000000-0005-0000-0000-000044770000}"/>
    <cellStyle name="Normal 20 12 6 2" xfId="35344" xr:uid="{00000000-0005-0000-0000-000045770000}"/>
    <cellStyle name="Normal 20 12 6 2 2" xfId="51444" xr:uid="{00000000-0005-0000-0000-000046770000}"/>
    <cellStyle name="Normal 20 12 6 3" xfId="41877" xr:uid="{00000000-0005-0000-0000-000047770000}"/>
    <cellStyle name="Normal 20 12 6 4" xfId="25777" xr:uid="{00000000-0005-0000-0000-000048770000}"/>
    <cellStyle name="Normal 20 12 6 5" xfId="16208" xr:uid="{00000000-0005-0000-0000-000049770000}"/>
    <cellStyle name="Normal 20 12 7" xfId="6639" xr:uid="{00000000-0005-0000-0000-00004A770000}"/>
    <cellStyle name="Normal 20 12 7 2" xfId="38380" xr:uid="{00000000-0005-0000-0000-00004B770000}"/>
    <cellStyle name="Normal 20 12 7 2 2" xfId="54480" xr:uid="{00000000-0005-0000-0000-00004C770000}"/>
    <cellStyle name="Normal 20 12 7 3" xfId="44913" xr:uid="{00000000-0005-0000-0000-00004D770000}"/>
    <cellStyle name="Normal 20 12 7 4" xfId="28813" xr:uid="{00000000-0005-0000-0000-00004E770000}"/>
    <cellStyle name="Normal 20 12 7 5" xfId="19244" xr:uid="{00000000-0005-0000-0000-00004F770000}"/>
    <cellStyle name="Normal 20 12 8" xfId="9675" xr:uid="{00000000-0005-0000-0000-000050770000}"/>
    <cellStyle name="Normal 20 12 8 2" xfId="47949" xr:uid="{00000000-0005-0000-0000-000051770000}"/>
    <cellStyle name="Normal 20 12 8 3" xfId="31849" xr:uid="{00000000-0005-0000-0000-000052770000}"/>
    <cellStyle name="Normal 20 12 8 4" xfId="22280" xr:uid="{00000000-0005-0000-0000-000053770000}"/>
    <cellStyle name="Normal 20 12 9" xfId="3143" xr:uid="{00000000-0005-0000-0000-000054770000}"/>
    <cellStyle name="Normal 20 12 9 2" xfId="50985" xr:uid="{00000000-0005-0000-0000-000055770000}"/>
    <cellStyle name="Normal 20 12 9 3" xfId="34885" xr:uid="{00000000-0005-0000-0000-000056770000}"/>
    <cellStyle name="Normal 20 12 9 4" xfId="15749" xr:uid="{00000000-0005-0000-0000-000057770000}"/>
    <cellStyle name="Normal 20 13" xfId="411" xr:uid="{00000000-0005-0000-0000-000058770000}"/>
    <cellStyle name="Normal 20 13 10" xfId="41401" xr:uid="{00000000-0005-0000-0000-000059770000}"/>
    <cellStyle name="Normal 20 13 11" xfId="25301" xr:uid="{00000000-0005-0000-0000-00005A770000}"/>
    <cellStyle name="Normal 20 13 12" xfId="12696" xr:uid="{00000000-0005-0000-0000-00005B770000}"/>
    <cellStyle name="Normal 20 13 2" xfId="771" xr:uid="{00000000-0005-0000-0000-00005C770000}"/>
    <cellStyle name="Normal 20 13 2 10" xfId="13379" xr:uid="{00000000-0005-0000-0000-00005D770000}"/>
    <cellStyle name="Normal 20 13 2 2" xfId="2799" xr:uid="{00000000-0005-0000-0000-00005E770000}"/>
    <cellStyle name="Normal 20 13 2 2 2" xfId="9331" xr:uid="{00000000-0005-0000-0000-00005F770000}"/>
    <cellStyle name="Normal 20 13 2 2 2 2" xfId="41072" xr:uid="{00000000-0005-0000-0000-000060770000}"/>
    <cellStyle name="Normal 20 13 2 2 2 2 2" xfId="57172" xr:uid="{00000000-0005-0000-0000-000061770000}"/>
    <cellStyle name="Normal 20 13 2 2 2 3" xfId="47605" xr:uid="{00000000-0005-0000-0000-000062770000}"/>
    <cellStyle name="Normal 20 13 2 2 2 4" xfId="31505" xr:uid="{00000000-0005-0000-0000-000063770000}"/>
    <cellStyle name="Normal 20 13 2 2 2 5" xfId="21936" xr:uid="{00000000-0005-0000-0000-000064770000}"/>
    <cellStyle name="Normal 20 13 2 2 3" xfId="12367" xr:uid="{00000000-0005-0000-0000-000065770000}"/>
    <cellStyle name="Normal 20 13 2 2 3 2" xfId="50641" xr:uid="{00000000-0005-0000-0000-000066770000}"/>
    <cellStyle name="Normal 20 13 2 2 3 3" xfId="34541" xr:uid="{00000000-0005-0000-0000-000067770000}"/>
    <cellStyle name="Normal 20 13 2 2 3 4" xfId="24972" xr:uid="{00000000-0005-0000-0000-000068770000}"/>
    <cellStyle name="Normal 20 13 2 2 4" xfId="6295" xr:uid="{00000000-0005-0000-0000-000069770000}"/>
    <cellStyle name="Normal 20 13 2 2 4 2" xfId="54136" xr:uid="{00000000-0005-0000-0000-00006A770000}"/>
    <cellStyle name="Normal 20 13 2 2 4 3" xfId="38036" xr:uid="{00000000-0005-0000-0000-00006B770000}"/>
    <cellStyle name="Normal 20 13 2 2 4 4" xfId="18900" xr:uid="{00000000-0005-0000-0000-00006C770000}"/>
    <cellStyle name="Normal 20 13 2 2 5" xfId="44569" xr:uid="{00000000-0005-0000-0000-00006D770000}"/>
    <cellStyle name="Normal 20 13 2 2 6" xfId="28469" xr:uid="{00000000-0005-0000-0000-00006E770000}"/>
    <cellStyle name="Normal 20 13 2 2 7" xfId="15405" xr:uid="{00000000-0005-0000-0000-00006F770000}"/>
    <cellStyle name="Normal 20 13 2 3" xfId="1781" xr:uid="{00000000-0005-0000-0000-000070770000}"/>
    <cellStyle name="Normal 20 13 2 3 2" xfId="8315" xr:uid="{00000000-0005-0000-0000-000071770000}"/>
    <cellStyle name="Normal 20 13 2 3 2 2" xfId="40056" xr:uid="{00000000-0005-0000-0000-000072770000}"/>
    <cellStyle name="Normal 20 13 2 3 2 2 2" xfId="56156" xr:uid="{00000000-0005-0000-0000-000073770000}"/>
    <cellStyle name="Normal 20 13 2 3 2 3" xfId="46589" xr:uid="{00000000-0005-0000-0000-000074770000}"/>
    <cellStyle name="Normal 20 13 2 3 2 4" xfId="30489" xr:uid="{00000000-0005-0000-0000-000075770000}"/>
    <cellStyle name="Normal 20 13 2 3 2 5" xfId="20920" xr:uid="{00000000-0005-0000-0000-000076770000}"/>
    <cellStyle name="Normal 20 13 2 3 3" xfId="11351" xr:uid="{00000000-0005-0000-0000-000077770000}"/>
    <cellStyle name="Normal 20 13 2 3 3 2" xfId="49625" xr:uid="{00000000-0005-0000-0000-000078770000}"/>
    <cellStyle name="Normal 20 13 2 3 3 3" xfId="33525" xr:uid="{00000000-0005-0000-0000-000079770000}"/>
    <cellStyle name="Normal 20 13 2 3 3 4" xfId="23956" xr:uid="{00000000-0005-0000-0000-00007A770000}"/>
    <cellStyle name="Normal 20 13 2 3 4" xfId="5279" xr:uid="{00000000-0005-0000-0000-00007B770000}"/>
    <cellStyle name="Normal 20 13 2 3 4 2" xfId="53120" xr:uid="{00000000-0005-0000-0000-00007C770000}"/>
    <cellStyle name="Normal 20 13 2 3 4 3" xfId="37020" xr:uid="{00000000-0005-0000-0000-00007D770000}"/>
    <cellStyle name="Normal 20 13 2 3 4 4" xfId="17884" xr:uid="{00000000-0005-0000-0000-00007E770000}"/>
    <cellStyle name="Normal 20 13 2 3 5" xfId="43553" xr:uid="{00000000-0005-0000-0000-00007F770000}"/>
    <cellStyle name="Normal 20 13 2 3 6" xfId="27453" xr:uid="{00000000-0005-0000-0000-000080770000}"/>
    <cellStyle name="Normal 20 13 2 3 7" xfId="14389" xr:uid="{00000000-0005-0000-0000-000081770000}"/>
    <cellStyle name="Normal 20 13 2 4" xfId="4269" xr:uid="{00000000-0005-0000-0000-000082770000}"/>
    <cellStyle name="Normal 20 13 2 4 2" xfId="36010" xr:uid="{00000000-0005-0000-0000-000083770000}"/>
    <cellStyle name="Normal 20 13 2 4 2 2" xfId="52110" xr:uid="{00000000-0005-0000-0000-000084770000}"/>
    <cellStyle name="Normal 20 13 2 4 3" xfId="42543" xr:uid="{00000000-0005-0000-0000-000085770000}"/>
    <cellStyle name="Normal 20 13 2 4 4" xfId="26443" xr:uid="{00000000-0005-0000-0000-000086770000}"/>
    <cellStyle name="Normal 20 13 2 4 5" xfId="16874" xr:uid="{00000000-0005-0000-0000-000087770000}"/>
    <cellStyle name="Normal 20 13 2 5" xfId="7305" xr:uid="{00000000-0005-0000-0000-000088770000}"/>
    <cellStyle name="Normal 20 13 2 5 2" xfId="39046" xr:uid="{00000000-0005-0000-0000-000089770000}"/>
    <cellStyle name="Normal 20 13 2 5 2 2" xfId="55146" xr:uid="{00000000-0005-0000-0000-00008A770000}"/>
    <cellStyle name="Normal 20 13 2 5 3" xfId="45579" xr:uid="{00000000-0005-0000-0000-00008B770000}"/>
    <cellStyle name="Normal 20 13 2 5 4" xfId="29479" xr:uid="{00000000-0005-0000-0000-00008C770000}"/>
    <cellStyle name="Normal 20 13 2 5 5" xfId="19910" xr:uid="{00000000-0005-0000-0000-00008D770000}"/>
    <cellStyle name="Normal 20 13 2 6" xfId="10341" xr:uid="{00000000-0005-0000-0000-00008E770000}"/>
    <cellStyle name="Normal 20 13 2 6 2" xfId="48615" xr:uid="{00000000-0005-0000-0000-00008F770000}"/>
    <cellStyle name="Normal 20 13 2 6 3" xfId="32515" xr:uid="{00000000-0005-0000-0000-000090770000}"/>
    <cellStyle name="Normal 20 13 2 6 4" xfId="22946" xr:uid="{00000000-0005-0000-0000-000091770000}"/>
    <cellStyle name="Normal 20 13 2 7" xfId="3364" xr:uid="{00000000-0005-0000-0000-000092770000}"/>
    <cellStyle name="Normal 20 13 2 7 2" xfId="51205" xr:uid="{00000000-0005-0000-0000-000093770000}"/>
    <cellStyle name="Normal 20 13 2 7 3" xfId="35105" xr:uid="{00000000-0005-0000-0000-000094770000}"/>
    <cellStyle name="Normal 20 13 2 7 4" xfId="15969" xr:uid="{00000000-0005-0000-0000-000095770000}"/>
    <cellStyle name="Normal 20 13 2 8" xfId="41638" xr:uid="{00000000-0005-0000-0000-000096770000}"/>
    <cellStyle name="Normal 20 13 2 9" xfId="25538" xr:uid="{00000000-0005-0000-0000-000097770000}"/>
    <cellStyle name="Normal 20 13 3" xfId="629" xr:uid="{00000000-0005-0000-0000-000098770000}"/>
    <cellStyle name="Normal 20 13 3 2" xfId="2657" xr:uid="{00000000-0005-0000-0000-000099770000}"/>
    <cellStyle name="Normal 20 13 3 2 2" xfId="9189" xr:uid="{00000000-0005-0000-0000-00009A770000}"/>
    <cellStyle name="Normal 20 13 3 2 2 2" xfId="40930" xr:uid="{00000000-0005-0000-0000-00009B770000}"/>
    <cellStyle name="Normal 20 13 3 2 2 2 2" xfId="57030" xr:uid="{00000000-0005-0000-0000-00009C770000}"/>
    <cellStyle name="Normal 20 13 3 2 2 3" xfId="47463" xr:uid="{00000000-0005-0000-0000-00009D770000}"/>
    <cellStyle name="Normal 20 13 3 2 2 4" xfId="31363" xr:uid="{00000000-0005-0000-0000-00009E770000}"/>
    <cellStyle name="Normal 20 13 3 2 2 5" xfId="21794" xr:uid="{00000000-0005-0000-0000-00009F770000}"/>
    <cellStyle name="Normal 20 13 3 2 3" xfId="12225" xr:uid="{00000000-0005-0000-0000-0000A0770000}"/>
    <cellStyle name="Normal 20 13 3 2 3 2" xfId="50499" xr:uid="{00000000-0005-0000-0000-0000A1770000}"/>
    <cellStyle name="Normal 20 13 3 2 3 3" xfId="34399" xr:uid="{00000000-0005-0000-0000-0000A2770000}"/>
    <cellStyle name="Normal 20 13 3 2 3 4" xfId="24830" xr:uid="{00000000-0005-0000-0000-0000A3770000}"/>
    <cellStyle name="Normal 20 13 3 2 4" xfId="6153" xr:uid="{00000000-0005-0000-0000-0000A4770000}"/>
    <cellStyle name="Normal 20 13 3 2 4 2" xfId="53994" xr:uid="{00000000-0005-0000-0000-0000A5770000}"/>
    <cellStyle name="Normal 20 13 3 2 4 3" xfId="37894" xr:uid="{00000000-0005-0000-0000-0000A6770000}"/>
    <cellStyle name="Normal 20 13 3 2 4 4" xfId="18758" xr:uid="{00000000-0005-0000-0000-0000A7770000}"/>
    <cellStyle name="Normal 20 13 3 2 5" xfId="44427" xr:uid="{00000000-0005-0000-0000-0000A8770000}"/>
    <cellStyle name="Normal 20 13 3 2 6" xfId="28327" xr:uid="{00000000-0005-0000-0000-0000A9770000}"/>
    <cellStyle name="Normal 20 13 3 2 7" xfId="15263" xr:uid="{00000000-0005-0000-0000-0000AA770000}"/>
    <cellStyle name="Normal 20 13 3 3" xfId="1639" xr:uid="{00000000-0005-0000-0000-0000AB770000}"/>
    <cellStyle name="Normal 20 13 3 3 2" xfId="8173" xr:uid="{00000000-0005-0000-0000-0000AC770000}"/>
    <cellStyle name="Normal 20 13 3 3 2 2" xfId="39914" xr:uid="{00000000-0005-0000-0000-0000AD770000}"/>
    <cellStyle name="Normal 20 13 3 3 2 2 2" xfId="56014" xr:uid="{00000000-0005-0000-0000-0000AE770000}"/>
    <cellStyle name="Normal 20 13 3 3 2 3" xfId="46447" xr:uid="{00000000-0005-0000-0000-0000AF770000}"/>
    <cellStyle name="Normal 20 13 3 3 2 4" xfId="30347" xr:uid="{00000000-0005-0000-0000-0000B0770000}"/>
    <cellStyle name="Normal 20 13 3 3 2 5" xfId="20778" xr:uid="{00000000-0005-0000-0000-0000B1770000}"/>
    <cellStyle name="Normal 20 13 3 3 3" xfId="11209" xr:uid="{00000000-0005-0000-0000-0000B2770000}"/>
    <cellStyle name="Normal 20 13 3 3 3 2" xfId="49483" xr:uid="{00000000-0005-0000-0000-0000B3770000}"/>
    <cellStyle name="Normal 20 13 3 3 3 3" xfId="33383" xr:uid="{00000000-0005-0000-0000-0000B4770000}"/>
    <cellStyle name="Normal 20 13 3 3 3 4" xfId="23814" xr:uid="{00000000-0005-0000-0000-0000B5770000}"/>
    <cellStyle name="Normal 20 13 3 3 4" xfId="5137" xr:uid="{00000000-0005-0000-0000-0000B6770000}"/>
    <cellStyle name="Normal 20 13 3 3 4 2" xfId="52978" xr:uid="{00000000-0005-0000-0000-0000B7770000}"/>
    <cellStyle name="Normal 20 13 3 3 4 3" xfId="36878" xr:uid="{00000000-0005-0000-0000-0000B8770000}"/>
    <cellStyle name="Normal 20 13 3 3 4 4" xfId="17742" xr:uid="{00000000-0005-0000-0000-0000B9770000}"/>
    <cellStyle name="Normal 20 13 3 3 5" xfId="43411" xr:uid="{00000000-0005-0000-0000-0000BA770000}"/>
    <cellStyle name="Normal 20 13 3 3 6" xfId="27311" xr:uid="{00000000-0005-0000-0000-0000BB770000}"/>
    <cellStyle name="Normal 20 13 3 3 7" xfId="14247" xr:uid="{00000000-0005-0000-0000-0000BC770000}"/>
    <cellStyle name="Normal 20 13 3 4" xfId="7163" xr:uid="{00000000-0005-0000-0000-0000BD770000}"/>
    <cellStyle name="Normal 20 13 3 4 2" xfId="38904" xr:uid="{00000000-0005-0000-0000-0000BE770000}"/>
    <cellStyle name="Normal 20 13 3 4 2 2" xfId="55004" xr:uid="{00000000-0005-0000-0000-0000BF770000}"/>
    <cellStyle name="Normal 20 13 3 4 3" xfId="45437" xr:uid="{00000000-0005-0000-0000-0000C0770000}"/>
    <cellStyle name="Normal 20 13 3 4 4" xfId="29337" xr:uid="{00000000-0005-0000-0000-0000C1770000}"/>
    <cellStyle name="Normal 20 13 3 4 5" xfId="19768" xr:uid="{00000000-0005-0000-0000-0000C2770000}"/>
    <cellStyle name="Normal 20 13 3 5" xfId="10199" xr:uid="{00000000-0005-0000-0000-0000C3770000}"/>
    <cellStyle name="Normal 20 13 3 5 2" xfId="48473" xr:uid="{00000000-0005-0000-0000-0000C4770000}"/>
    <cellStyle name="Normal 20 13 3 5 3" xfId="32373" xr:uid="{00000000-0005-0000-0000-0000C5770000}"/>
    <cellStyle name="Normal 20 13 3 5 4" xfId="22804" xr:uid="{00000000-0005-0000-0000-0000C6770000}"/>
    <cellStyle name="Normal 20 13 3 6" xfId="4127" xr:uid="{00000000-0005-0000-0000-0000C7770000}"/>
    <cellStyle name="Normal 20 13 3 6 2" xfId="51968" xr:uid="{00000000-0005-0000-0000-0000C8770000}"/>
    <cellStyle name="Normal 20 13 3 6 3" xfId="35868" xr:uid="{00000000-0005-0000-0000-0000C9770000}"/>
    <cellStyle name="Normal 20 13 3 6 4" xfId="16732" xr:uid="{00000000-0005-0000-0000-0000CA770000}"/>
    <cellStyle name="Normal 20 13 3 7" xfId="42401" xr:uid="{00000000-0005-0000-0000-0000CB770000}"/>
    <cellStyle name="Normal 20 13 3 8" xfId="26301" xr:uid="{00000000-0005-0000-0000-0000CC770000}"/>
    <cellStyle name="Normal 20 13 3 9" xfId="13237" xr:uid="{00000000-0005-0000-0000-0000CD770000}"/>
    <cellStyle name="Normal 20 13 4" xfId="2429" xr:uid="{00000000-0005-0000-0000-0000CE770000}"/>
    <cellStyle name="Normal 20 13 4 2" xfId="8961" xr:uid="{00000000-0005-0000-0000-0000CF770000}"/>
    <cellStyle name="Normal 20 13 4 2 2" xfId="40702" xr:uid="{00000000-0005-0000-0000-0000D0770000}"/>
    <cellStyle name="Normal 20 13 4 2 2 2" xfId="56802" xr:uid="{00000000-0005-0000-0000-0000D1770000}"/>
    <cellStyle name="Normal 20 13 4 2 3" xfId="47235" xr:uid="{00000000-0005-0000-0000-0000D2770000}"/>
    <cellStyle name="Normal 20 13 4 2 4" xfId="31135" xr:uid="{00000000-0005-0000-0000-0000D3770000}"/>
    <cellStyle name="Normal 20 13 4 2 5" xfId="21566" xr:uid="{00000000-0005-0000-0000-0000D4770000}"/>
    <cellStyle name="Normal 20 13 4 3" xfId="11997" xr:uid="{00000000-0005-0000-0000-0000D5770000}"/>
    <cellStyle name="Normal 20 13 4 3 2" xfId="50271" xr:uid="{00000000-0005-0000-0000-0000D6770000}"/>
    <cellStyle name="Normal 20 13 4 3 3" xfId="34171" xr:uid="{00000000-0005-0000-0000-0000D7770000}"/>
    <cellStyle name="Normal 20 13 4 3 4" xfId="24602" xr:uid="{00000000-0005-0000-0000-0000D8770000}"/>
    <cellStyle name="Normal 20 13 4 4" xfId="5925" xr:uid="{00000000-0005-0000-0000-0000D9770000}"/>
    <cellStyle name="Normal 20 13 4 4 2" xfId="53766" xr:uid="{00000000-0005-0000-0000-0000DA770000}"/>
    <cellStyle name="Normal 20 13 4 4 3" xfId="37666" xr:uid="{00000000-0005-0000-0000-0000DB770000}"/>
    <cellStyle name="Normal 20 13 4 4 4" xfId="18530" xr:uid="{00000000-0005-0000-0000-0000DC770000}"/>
    <cellStyle name="Normal 20 13 4 5" xfId="44199" xr:uid="{00000000-0005-0000-0000-0000DD770000}"/>
    <cellStyle name="Normal 20 13 4 6" xfId="28099" xr:uid="{00000000-0005-0000-0000-0000DE770000}"/>
    <cellStyle name="Normal 20 13 4 7" xfId="15035" xr:uid="{00000000-0005-0000-0000-0000DF770000}"/>
    <cellStyle name="Normal 20 13 5" xfId="1098" xr:uid="{00000000-0005-0000-0000-0000E0770000}"/>
    <cellStyle name="Normal 20 13 5 2" xfId="7632" xr:uid="{00000000-0005-0000-0000-0000E1770000}"/>
    <cellStyle name="Normal 20 13 5 2 2" xfId="39373" xr:uid="{00000000-0005-0000-0000-0000E2770000}"/>
    <cellStyle name="Normal 20 13 5 2 2 2" xfId="55473" xr:uid="{00000000-0005-0000-0000-0000E3770000}"/>
    <cellStyle name="Normal 20 13 5 2 3" xfId="45906" xr:uid="{00000000-0005-0000-0000-0000E4770000}"/>
    <cellStyle name="Normal 20 13 5 2 4" xfId="29806" xr:uid="{00000000-0005-0000-0000-0000E5770000}"/>
    <cellStyle name="Normal 20 13 5 2 5" xfId="20237" xr:uid="{00000000-0005-0000-0000-0000E6770000}"/>
    <cellStyle name="Normal 20 13 5 3" xfId="10668" xr:uid="{00000000-0005-0000-0000-0000E7770000}"/>
    <cellStyle name="Normal 20 13 5 3 2" xfId="48942" xr:uid="{00000000-0005-0000-0000-0000E8770000}"/>
    <cellStyle name="Normal 20 13 5 3 3" xfId="32842" xr:uid="{00000000-0005-0000-0000-0000E9770000}"/>
    <cellStyle name="Normal 20 13 5 3 4" xfId="23273" xr:uid="{00000000-0005-0000-0000-0000EA770000}"/>
    <cellStyle name="Normal 20 13 5 4" xfId="4596" xr:uid="{00000000-0005-0000-0000-0000EB770000}"/>
    <cellStyle name="Normal 20 13 5 4 2" xfId="52437" xr:uid="{00000000-0005-0000-0000-0000EC770000}"/>
    <cellStyle name="Normal 20 13 5 4 3" xfId="36337" xr:uid="{00000000-0005-0000-0000-0000ED770000}"/>
    <cellStyle name="Normal 20 13 5 4 4" xfId="17201" xr:uid="{00000000-0005-0000-0000-0000EE770000}"/>
    <cellStyle name="Normal 20 13 5 5" xfId="42870" xr:uid="{00000000-0005-0000-0000-0000EF770000}"/>
    <cellStyle name="Normal 20 13 5 6" xfId="26770" xr:uid="{00000000-0005-0000-0000-0000F0770000}"/>
    <cellStyle name="Normal 20 13 5 7" xfId="13706" xr:uid="{00000000-0005-0000-0000-0000F1770000}"/>
    <cellStyle name="Normal 20 13 6" xfId="3586" xr:uid="{00000000-0005-0000-0000-0000F2770000}"/>
    <cellStyle name="Normal 20 13 6 2" xfId="35327" xr:uid="{00000000-0005-0000-0000-0000F3770000}"/>
    <cellStyle name="Normal 20 13 6 2 2" xfId="51427" xr:uid="{00000000-0005-0000-0000-0000F4770000}"/>
    <cellStyle name="Normal 20 13 6 3" xfId="41860" xr:uid="{00000000-0005-0000-0000-0000F5770000}"/>
    <cellStyle name="Normal 20 13 6 4" xfId="25760" xr:uid="{00000000-0005-0000-0000-0000F6770000}"/>
    <cellStyle name="Normal 20 13 6 5" xfId="16191" xr:uid="{00000000-0005-0000-0000-0000F7770000}"/>
    <cellStyle name="Normal 20 13 7" xfId="6622" xr:uid="{00000000-0005-0000-0000-0000F8770000}"/>
    <cellStyle name="Normal 20 13 7 2" xfId="38363" xr:uid="{00000000-0005-0000-0000-0000F9770000}"/>
    <cellStyle name="Normal 20 13 7 2 2" xfId="54463" xr:uid="{00000000-0005-0000-0000-0000FA770000}"/>
    <cellStyle name="Normal 20 13 7 3" xfId="44896" xr:uid="{00000000-0005-0000-0000-0000FB770000}"/>
    <cellStyle name="Normal 20 13 7 4" xfId="28796" xr:uid="{00000000-0005-0000-0000-0000FC770000}"/>
    <cellStyle name="Normal 20 13 7 5" xfId="19227" xr:uid="{00000000-0005-0000-0000-0000FD770000}"/>
    <cellStyle name="Normal 20 13 8" xfId="9658" xr:uid="{00000000-0005-0000-0000-0000FE770000}"/>
    <cellStyle name="Normal 20 13 8 2" xfId="47932" xr:uid="{00000000-0005-0000-0000-0000FF770000}"/>
    <cellStyle name="Normal 20 13 8 3" xfId="31832" xr:uid="{00000000-0005-0000-0000-000000780000}"/>
    <cellStyle name="Normal 20 13 8 4" xfId="22263" xr:uid="{00000000-0005-0000-0000-000001780000}"/>
    <cellStyle name="Normal 20 13 9" xfId="3126" xr:uid="{00000000-0005-0000-0000-000002780000}"/>
    <cellStyle name="Normal 20 13 9 2" xfId="50968" xr:uid="{00000000-0005-0000-0000-000003780000}"/>
    <cellStyle name="Normal 20 13 9 3" xfId="34868" xr:uid="{00000000-0005-0000-0000-000004780000}"/>
    <cellStyle name="Normal 20 13 9 4" xfId="15732" xr:uid="{00000000-0005-0000-0000-000005780000}"/>
    <cellStyle name="Normal 20 14" xfId="504" xr:uid="{00000000-0005-0000-0000-000006780000}"/>
    <cellStyle name="Normal 20 14 10" xfId="25487" xr:uid="{00000000-0005-0000-0000-000007780000}"/>
    <cellStyle name="Normal 20 14 11" xfId="12881" xr:uid="{00000000-0005-0000-0000-000008780000}"/>
    <cellStyle name="Normal 20 14 2" xfId="956" xr:uid="{00000000-0005-0000-0000-000009780000}"/>
    <cellStyle name="Normal 20 14 2 2" xfId="2984" xr:uid="{00000000-0005-0000-0000-00000A780000}"/>
    <cellStyle name="Normal 20 14 2 2 2" xfId="9516" xr:uid="{00000000-0005-0000-0000-00000B780000}"/>
    <cellStyle name="Normal 20 14 2 2 2 2" xfId="41257" xr:uid="{00000000-0005-0000-0000-00000C780000}"/>
    <cellStyle name="Normal 20 14 2 2 2 2 2" xfId="57357" xr:uid="{00000000-0005-0000-0000-00000D780000}"/>
    <cellStyle name="Normal 20 14 2 2 2 3" xfId="47790" xr:uid="{00000000-0005-0000-0000-00000E780000}"/>
    <cellStyle name="Normal 20 14 2 2 2 4" xfId="31690" xr:uid="{00000000-0005-0000-0000-00000F780000}"/>
    <cellStyle name="Normal 20 14 2 2 2 5" xfId="22121" xr:uid="{00000000-0005-0000-0000-000010780000}"/>
    <cellStyle name="Normal 20 14 2 2 3" xfId="12552" xr:uid="{00000000-0005-0000-0000-000011780000}"/>
    <cellStyle name="Normal 20 14 2 2 3 2" xfId="50826" xr:uid="{00000000-0005-0000-0000-000012780000}"/>
    <cellStyle name="Normal 20 14 2 2 3 3" xfId="34726" xr:uid="{00000000-0005-0000-0000-000013780000}"/>
    <cellStyle name="Normal 20 14 2 2 3 4" xfId="25157" xr:uid="{00000000-0005-0000-0000-000014780000}"/>
    <cellStyle name="Normal 20 14 2 2 4" xfId="6480" xr:uid="{00000000-0005-0000-0000-000015780000}"/>
    <cellStyle name="Normal 20 14 2 2 4 2" xfId="54321" xr:uid="{00000000-0005-0000-0000-000016780000}"/>
    <cellStyle name="Normal 20 14 2 2 4 3" xfId="38221" xr:uid="{00000000-0005-0000-0000-000017780000}"/>
    <cellStyle name="Normal 20 14 2 2 4 4" xfId="19085" xr:uid="{00000000-0005-0000-0000-000018780000}"/>
    <cellStyle name="Normal 20 14 2 2 5" xfId="44754" xr:uid="{00000000-0005-0000-0000-000019780000}"/>
    <cellStyle name="Normal 20 14 2 2 6" xfId="28654" xr:uid="{00000000-0005-0000-0000-00001A780000}"/>
    <cellStyle name="Normal 20 14 2 2 7" xfId="15590" xr:uid="{00000000-0005-0000-0000-00001B780000}"/>
    <cellStyle name="Normal 20 14 2 3" xfId="1966" xr:uid="{00000000-0005-0000-0000-00001C780000}"/>
    <cellStyle name="Normal 20 14 2 3 2" xfId="8500" xr:uid="{00000000-0005-0000-0000-00001D780000}"/>
    <cellStyle name="Normal 20 14 2 3 2 2" xfId="40241" xr:uid="{00000000-0005-0000-0000-00001E780000}"/>
    <cellStyle name="Normal 20 14 2 3 2 2 2" xfId="56341" xr:uid="{00000000-0005-0000-0000-00001F780000}"/>
    <cellStyle name="Normal 20 14 2 3 2 3" xfId="46774" xr:uid="{00000000-0005-0000-0000-000020780000}"/>
    <cellStyle name="Normal 20 14 2 3 2 4" xfId="30674" xr:uid="{00000000-0005-0000-0000-000021780000}"/>
    <cellStyle name="Normal 20 14 2 3 2 5" xfId="21105" xr:uid="{00000000-0005-0000-0000-000022780000}"/>
    <cellStyle name="Normal 20 14 2 3 3" xfId="11536" xr:uid="{00000000-0005-0000-0000-000023780000}"/>
    <cellStyle name="Normal 20 14 2 3 3 2" xfId="49810" xr:uid="{00000000-0005-0000-0000-000024780000}"/>
    <cellStyle name="Normal 20 14 2 3 3 3" xfId="33710" xr:uid="{00000000-0005-0000-0000-000025780000}"/>
    <cellStyle name="Normal 20 14 2 3 3 4" xfId="24141" xr:uid="{00000000-0005-0000-0000-000026780000}"/>
    <cellStyle name="Normal 20 14 2 3 4" xfId="5464" xr:uid="{00000000-0005-0000-0000-000027780000}"/>
    <cellStyle name="Normal 20 14 2 3 4 2" xfId="53305" xr:uid="{00000000-0005-0000-0000-000028780000}"/>
    <cellStyle name="Normal 20 14 2 3 4 3" xfId="37205" xr:uid="{00000000-0005-0000-0000-000029780000}"/>
    <cellStyle name="Normal 20 14 2 3 4 4" xfId="18069" xr:uid="{00000000-0005-0000-0000-00002A780000}"/>
    <cellStyle name="Normal 20 14 2 3 5" xfId="43738" xr:uid="{00000000-0005-0000-0000-00002B780000}"/>
    <cellStyle name="Normal 20 14 2 3 6" xfId="27638" xr:uid="{00000000-0005-0000-0000-00002C780000}"/>
    <cellStyle name="Normal 20 14 2 3 7" xfId="14574" xr:uid="{00000000-0005-0000-0000-00002D780000}"/>
    <cellStyle name="Normal 20 14 2 4" xfId="7490" xr:uid="{00000000-0005-0000-0000-00002E780000}"/>
    <cellStyle name="Normal 20 14 2 4 2" xfId="39231" xr:uid="{00000000-0005-0000-0000-00002F780000}"/>
    <cellStyle name="Normal 20 14 2 4 2 2" xfId="55331" xr:uid="{00000000-0005-0000-0000-000030780000}"/>
    <cellStyle name="Normal 20 14 2 4 3" xfId="45764" xr:uid="{00000000-0005-0000-0000-000031780000}"/>
    <cellStyle name="Normal 20 14 2 4 4" xfId="29664" xr:uid="{00000000-0005-0000-0000-000032780000}"/>
    <cellStyle name="Normal 20 14 2 4 5" xfId="20095" xr:uid="{00000000-0005-0000-0000-000033780000}"/>
    <cellStyle name="Normal 20 14 2 5" xfId="10526" xr:uid="{00000000-0005-0000-0000-000034780000}"/>
    <cellStyle name="Normal 20 14 2 5 2" xfId="48800" xr:uid="{00000000-0005-0000-0000-000035780000}"/>
    <cellStyle name="Normal 20 14 2 5 3" xfId="32700" xr:uid="{00000000-0005-0000-0000-000036780000}"/>
    <cellStyle name="Normal 20 14 2 5 4" xfId="23131" xr:uid="{00000000-0005-0000-0000-000037780000}"/>
    <cellStyle name="Normal 20 14 2 6" xfId="4454" xr:uid="{00000000-0005-0000-0000-000038780000}"/>
    <cellStyle name="Normal 20 14 2 6 2" xfId="52295" xr:uid="{00000000-0005-0000-0000-000039780000}"/>
    <cellStyle name="Normal 20 14 2 6 3" xfId="36195" xr:uid="{00000000-0005-0000-0000-00003A780000}"/>
    <cellStyle name="Normal 20 14 2 6 4" xfId="17059" xr:uid="{00000000-0005-0000-0000-00003B780000}"/>
    <cellStyle name="Normal 20 14 2 7" xfId="42728" xr:uid="{00000000-0005-0000-0000-00003C780000}"/>
    <cellStyle name="Normal 20 14 2 8" xfId="26628" xr:uid="{00000000-0005-0000-0000-00003D780000}"/>
    <cellStyle name="Normal 20 14 2 9" xfId="13564" xr:uid="{00000000-0005-0000-0000-00003E780000}"/>
    <cellStyle name="Normal 20 14 3" xfId="2534" xr:uid="{00000000-0005-0000-0000-00003F780000}"/>
    <cellStyle name="Normal 20 14 3 2" xfId="9066" xr:uid="{00000000-0005-0000-0000-000040780000}"/>
    <cellStyle name="Normal 20 14 3 2 2" xfId="40807" xr:uid="{00000000-0005-0000-0000-000041780000}"/>
    <cellStyle name="Normal 20 14 3 2 2 2" xfId="56907" xr:uid="{00000000-0005-0000-0000-000042780000}"/>
    <cellStyle name="Normal 20 14 3 2 3" xfId="47340" xr:uid="{00000000-0005-0000-0000-000043780000}"/>
    <cellStyle name="Normal 20 14 3 2 4" xfId="31240" xr:uid="{00000000-0005-0000-0000-000044780000}"/>
    <cellStyle name="Normal 20 14 3 2 5" xfId="21671" xr:uid="{00000000-0005-0000-0000-000045780000}"/>
    <cellStyle name="Normal 20 14 3 3" xfId="12102" xr:uid="{00000000-0005-0000-0000-000046780000}"/>
    <cellStyle name="Normal 20 14 3 3 2" xfId="50376" xr:uid="{00000000-0005-0000-0000-000047780000}"/>
    <cellStyle name="Normal 20 14 3 3 3" xfId="34276" xr:uid="{00000000-0005-0000-0000-000048780000}"/>
    <cellStyle name="Normal 20 14 3 3 4" xfId="24707" xr:uid="{00000000-0005-0000-0000-000049780000}"/>
    <cellStyle name="Normal 20 14 3 4" xfId="6030" xr:uid="{00000000-0005-0000-0000-00004A780000}"/>
    <cellStyle name="Normal 20 14 3 4 2" xfId="53871" xr:uid="{00000000-0005-0000-0000-00004B780000}"/>
    <cellStyle name="Normal 20 14 3 4 3" xfId="37771" xr:uid="{00000000-0005-0000-0000-00004C780000}"/>
    <cellStyle name="Normal 20 14 3 4 4" xfId="18635" xr:uid="{00000000-0005-0000-0000-00004D780000}"/>
    <cellStyle name="Normal 20 14 3 5" xfId="44304" xr:uid="{00000000-0005-0000-0000-00004E780000}"/>
    <cellStyle name="Normal 20 14 3 6" xfId="28204" xr:uid="{00000000-0005-0000-0000-00004F780000}"/>
    <cellStyle name="Normal 20 14 3 7" xfId="15140" xr:uid="{00000000-0005-0000-0000-000050780000}"/>
    <cellStyle name="Normal 20 14 4" xfId="1283" xr:uid="{00000000-0005-0000-0000-000051780000}"/>
    <cellStyle name="Normal 20 14 4 2" xfId="7817" xr:uid="{00000000-0005-0000-0000-000052780000}"/>
    <cellStyle name="Normal 20 14 4 2 2" xfId="39558" xr:uid="{00000000-0005-0000-0000-000053780000}"/>
    <cellStyle name="Normal 20 14 4 2 2 2" xfId="55658" xr:uid="{00000000-0005-0000-0000-000054780000}"/>
    <cellStyle name="Normal 20 14 4 2 3" xfId="46091" xr:uid="{00000000-0005-0000-0000-000055780000}"/>
    <cellStyle name="Normal 20 14 4 2 4" xfId="29991" xr:uid="{00000000-0005-0000-0000-000056780000}"/>
    <cellStyle name="Normal 20 14 4 2 5" xfId="20422" xr:uid="{00000000-0005-0000-0000-000057780000}"/>
    <cellStyle name="Normal 20 14 4 3" xfId="10853" xr:uid="{00000000-0005-0000-0000-000058780000}"/>
    <cellStyle name="Normal 20 14 4 3 2" xfId="49127" xr:uid="{00000000-0005-0000-0000-000059780000}"/>
    <cellStyle name="Normal 20 14 4 3 3" xfId="33027" xr:uid="{00000000-0005-0000-0000-00005A780000}"/>
    <cellStyle name="Normal 20 14 4 3 4" xfId="23458" xr:uid="{00000000-0005-0000-0000-00005B780000}"/>
    <cellStyle name="Normal 20 14 4 4" xfId="4781" xr:uid="{00000000-0005-0000-0000-00005C780000}"/>
    <cellStyle name="Normal 20 14 4 4 2" xfId="52622" xr:uid="{00000000-0005-0000-0000-00005D780000}"/>
    <cellStyle name="Normal 20 14 4 4 3" xfId="36522" xr:uid="{00000000-0005-0000-0000-00005E780000}"/>
    <cellStyle name="Normal 20 14 4 4 4" xfId="17386" xr:uid="{00000000-0005-0000-0000-00005F780000}"/>
    <cellStyle name="Normal 20 14 4 5" xfId="43055" xr:uid="{00000000-0005-0000-0000-000060780000}"/>
    <cellStyle name="Normal 20 14 4 6" xfId="26955" xr:uid="{00000000-0005-0000-0000-000061780000}"/>
    <cellStyle name="Normal 20 14 4 7" xfId="13891" xr:uid="{00000000-0005-0000-0000-000062780000}"/>
    <cellStyle name="Normal 20 14 5" xfId="3771" xr:uid="{00000000-0005-0000-0000-000063780000}"/>
    <cellStyle name="Normal 20 14 5 2" xfId="35512" xr:uid="{00000000-0005-0000-0000-000064780000}"/>
    <cellStyle name="Normal 20 14 5 2 2" xfId="51612" xr:uid="{00000000-0005-0000-0000-000065780000}"/>
    <cellStyle name="Normal 20 14 5 3" xfId="42045" xr:uid="{00000000-0005-0000-0000-000066780000}"/>
    <cellStyle name="Normal 20 14 5 4" xfId="25945" xr:uid="{00000000-0005-0000-0000-000067780000}"/>
    <cellStyle name="Normal 20 14 5 5" xfId="16376" xr:uid="{00000000-0005-0000-0000-000068780000}"/>
    <cellStyle name="Normal 20 14 6" xfId="6807" xr:uid="{00000000-0005-0000-0000-000069780000}"/>
    <cellStyle name="Normal 20 14 6 2" xfId="38548" xr:uid="{00000000-0005-0000-0000-00006A780000}"/>
    <cellStyle name="Normal 20 14 6 2 2" xfId="54648" xr:uid="{00000000-0005-0000-0000-00006B780000}"/>
    <cellStyle name="Normal 20 14 6 3" xfId="45081" xr:uid="{00000000-0005-0000-0000-00006C780000}"/>
    <cellStyle name="Normal 20 14 6 4" xfId="28981" xr:uid="{00000000-0005-0000-0000-00006D780000}"/>
    <cellStyle name="Normal 20 14 6 5" xfId="19412" xr:uid="{00000000-0005-0000-0000-00006E780000}"/>
    <cellStyle name="Normal 20 14 7" xfId="9843" xr:uid="{00000000-0005-0000-0000-00006F780000}"/>
    <cellStyle name="Normal 20 14 7 2" xfId="48117" xr:uid="{00000000-0005-0000-0000-000070780000}"/>
    <cellStyle name="Normal 20 14 7 3" xfId="32017" xr:uid="{00000000-0005-0000-0000-000071780000}"/>
    <cellStyle name="Normal 20 14 7 4" xfId="22448" xr:uid="{00000000-0005-0000-0000-000072780000}"/>
    <cellStyle name="Normal 20 14 8" xfId="3313" xr:uid="{00000000-0005-0000-0000-000073780000}"/>
    <cellStyle name="Normal 20 14 8 2" xfId="51154" xr:uid="{00000000-0005-0000-0000-000074780000}"/>
    <cellStyle name="Normal 20 14 8 3" xfId="35054" xr:uid="{00000000-0005-0000-0000-000075780000}"/>
    <cellStyle name="Normal 20 14 8 4" xfId="15918" xr:uid="{00000000-0005-0000-0000-000076780000}"/>
    <cellStyle name="Normal 20 14 9" xfId="41587" xr:uid="{00000000-0005-0000-0000-000077780000}"/>
    <cellStyle name="Normal 20 15" xfId="734" xr:uid="{00000000-0005-0000-0000-000078780000}"/>
    <cellStyle name="Normal 20 15 10" xfId="13342" xr:uid="{00000000-0005-0000-0000-000079780000}"/>
    <cellStyle name="Normal 20 15 2" xfId="2762" xr:uid="{00000000-0005-0000-0000-00007A780000}"/>
    <cellStyle name="Normal 20 15 2 2" xfId="9294" xr:uid="{00000000-0005-0000-0000-00007B780000}"/>
    <cellStyle name="Normal 20 15 2 2 2" xfId="41035" xr:uid="{00000000-0005-0000-0000-00007C780000}"/>
    <cellStyle name="Normal 20 15 2 2 2 2" xfId="57135" xr:uid="{00000000-0005-0000-0000-00007D780000}"/>
    <cellStyle name="Normal 20 15 2 2 3" xfId="47568" xr:uid="{00000000-0005-0000-0000-00007E780000}"/>
    <cellStyle name="Normal 20 15 2 2 4" xfId="31468" xr:uid="{00000000-0005-0000-0000-00007F780000}"/>
    <cellStyle name="Normal 20 15 2 2 5" xfId="21899" xr:uid="{00000000-0005-0000-0000-000080780000}"/>
    <cellStyle name="Normal 20 15 2 3" xfId="12330" xr:uid="{00000000-0005-0000-0000-000081780000}"/>
    <cellStyle name="Normal 20 15 2 3 2" xfId="50604" xr:uid="{00000000-0005-0000-0000-000082780000}"/>
    <cellStyle name="Normal 20 15 2 3 3" xfId="34504" xr:uid="{00000000-0005-0000-0000-000083780000}"/>
    <cellStyle name="Normal 20 15 2 3 4" xfId="24935" xr:uid="{00000000-0005-0000-0000-000084780000}"/>
    <cellStyle name="Normal 20 15 2 4" xfId="6258" xr:uid="{00000000-0005-0000-0000-000085780000}"/>
    <cellStyle name="Normal 20 15 2 4 2" xfId="54099" xr:uid="{00000000-0005-0000-0000-000086780000}"/>
    <cellStyle name="Normal 20 15 2 4 3" xfId="37999" xr:uid="{00000000-0005-0000-0000-000087780000}"/>
    <cellStyle name="Normal 20 15 2 4 4" xfId="18863" xr:uid="{00000000-0005-0000-0000-000088780000}"/>
    <cellStyle name="Normal 20 15 2 5" xfId="44532" xr:uid="{00000000-0005-0000-0000-000089780000}"/>
    <cellStyle name="Normal 20 15 2 6" xfId="28432" xr:uid="{00000000-0005-0000-0000-00008A780000}"/>
    <cellStyle name="Normal 20 15 2 7" xfId="15368" xr:uid="{00000000-0005-0000-0000-00008B780000}"/>
    <cellStyle name="Normal 20 15 3" xfId="1744" xr:uid="{00000000-0005-0000-0000-00008C780000}"/>
    <cellStyle name="Normal 20 15 3 2" xfId="8278" xr:uid="{00000000-0005-0000-0000-00008D780000}"/>
    <cellStyle name="Normal 20 15 3 2 2" xfId="40019" xr:uid="{00000000-0005-0000-0000-00008E780000}"/>
    <cellStyle name="Normal 20 15 3 2 2 2" xfId="56119" xr:uid="{00000000-0005-0000-0000-00008F780000}"/>
    <cellStyle name="Normal 20 15 3 2 3" xfId="46552" xr:uid="{00000000-0005-0000-0000-000090780000}"/>
    <cellStyle name="Normal 20 15 3 2 4" xfId="30452" xr:uid="{00000000-0005-0000-0000-000091780000}"/>
    <cellStyle name="Normal 20 15 3 2 5" xfId="20883" xr:uid="{00000000-0005-0000-0000-000092780000}"/>
    <cellStyle name="Normal 20 15 3 3" xfId="11314" xr:uid="{00000000-0005-0000-0000-000093780000}"/>
    <cellStyle name="Normal 20 15 3 3 2" xfId="49588" xr:uid="{00000000-0005-0000-0000-000094780000}"/>
    <cellStyle name="Normal 20 15 3 3 3" xfId="33488" xr:uid="{00000000-0005-0000-0000-000095780000}"/>
    <cellStyle name="Normal 20 15 3 3 4" xfId="23919" xr:uid="{00000000-0005-0000-0000-000096780000}"/>
    <cellStyle name="Normal 20 15 3 4" xfId="5242" xr:uid="{00000000-0005-0000-0000-000097780000}"/>
    <cellStyle name="Normal 20 15 3 4 2" xfId="53083" xr:uid="{00000000-0005-0000-0000-000098780000}"/>
    <cellStyle name="Normal 20 15 3 4 3" xfId="36983" xr:uid="{00000000-0005-0000-0000-000099780000}"/>
    <cellStyle name="Normal 20 15 3 4 4" xfId="17847" xr:uid="{00000000-0005-0000-0000-00009A780000}"/>
    <cellStyle name="Normal 20 15 3 5" xfId="43516" xr:uid="{00000000-0005-0000-0000-00009B780000}"/>
    <cellStyle name="Normal 20 15 3 6" xfId="27416" xr:uid="{00000000-0005-0000-0000-00009C780000}"/>
    <cellStyle name="Normal 20 15 3 7" xfId="14352" xr:uid="{00000000-0005-0000-0000-00009D780000}"/>
    <cellStyle name="Normal 20 15 4" xfId="4232" xr:uid="{00000000-0005-0000-0000-00009E780000}"/>
    <cellStyle name="Normal 20 15 4 2" xfId="35973" xr:uid="{00000000-0005-0000-0000-00009F780000}"/>
    <cellStyle name="Normal 20 15 4 2 2" xfId="52073" xr:uid="{00000000-0005-0000-0000-0000A0780000}"/>
    <cellStyle name="Normal 20 15 4 3" xfId="42506" xr:uid="{00000000-0005-0000-0000-0000A1780000}"/>
    <cellStyle name="Normal 20 15 4 4" xfId="26406" xr:uid="{00000000-0005-0000-0000-0000A2780000}"/>
    <cellStyle name="Normal 20 15 4 5" xfId="16837" xr:uid="{00000000-0005-0000-0000-0000A3780000}"/>
    <cellStyle name="Normal 20 15 5" xfId="7268" xr:uid="{00000000-0005-0000-0000-0000A4780000}"/>
    <cellStyle name="Normal 20 15 5 2" xfId="39009" xr:uid="{00000000-0005-0000-0000-0000A5780000}"/>
    <cellStyle name="Normal 20 15 5 2 2" xfId="55109" xr:uid="{00000000-0005-0000-0000-0000A6780000}"/>
    <cellStyle name="Normal 20 15 5 3" xfId="45542" xr:uid="{00000000-0005-0000-0000-0000A7780000}"/>
    <cellStyle name="Normal 20 15 5 4" xfId="29442" xr:uid="{00000000-0005-0000-0000-0000A8780000}"/>
    <cellStyle name="Normal 20 15 5 5" xfId="19873" xr:uid="{00000000-0005-0000-0000-0000A9780000}"/>
    <cellStyle name="Normal 20 15 6" xfId="10304" xr:uid="{00000000-0005-0000-0000-0000AA780000}"/>
    <cellStyle name="Normal 20 15 6 2" xfId="48578" xr:uid="{00000000-0005-0000-0000-0000AB780000}"/>
    <cellStyle name="Normal 20 15 6 3" xfId="32478" xr:uid="{00000000-0005-0000-0000-0000AC780000}"/>
    <cellStyle name="Normal 20 15 6 4" xfId="22909" xr:uid="{00000000-0005-0000-0000-0000AD780000}"/>
    <cellStyle name="Normal 20 15 7" xfId="3327" xr:uid="{00000000-0005-0000-0000-0000AE780000}"/>
    <cellStyle name="Normal 20 15 7 2" xfId="51168" xr:uid="{00000000-0005-0000-0000-0000AF780000}"/>
    <cellStyle name="Normal 20 15 7 3" xfId="35068" xr:uid="{00000000-0005-0000-0000-0000B0780000}"/>
    <cellStyle name="Normal 20 15 7 4" xfId="15932" xr:uid="{00000000-0005-0000-0000-0000B1780000}"/>
    <cellStyle name="Normal 20 15 8" xfId="41601" xr:uid="{00000000-0005-0000-0000-0000B2780000}"/>
    <cellStyle name="Normal 20 15 9" xfId="25501" xr:uid="{00000000-0005-0000-0000-0000B3780000}"/>
    <cellStyle name="Normal 20 16" xfId="2071" xr:uid="{00000000-0005-0000-0000-0000B4780000}"/>
    <cellStyle name="Normal 20 16 2" xfId="8605" xr:uid="{00000000-0005-0000-0000-0000B5780000}"/>
    <cellStyle name="Normal 20 16 2 2" xfId="40346" xr:uid="{00000000-0005-0000-0000-0000B6780000}"/>
    <cellStyle name="Normal 20 16 2 2 2" xfId="56446" xr:uid="{00000000-0005-0000-0000-0000B7780000}"/>
    <cellStyle name="Normal 20 16 2 3" xfId="46879" xr:uid="{00000000-0005-0000-0000-0000B8780000}"/>
    <cellStyle name="Normal 20 16 2 4" xfId="30779" xr:uid="{00000000-0005-0000-0000-0000B9780000}"/>
    <cellStyle name="Normal 20 16 2 5" xfId="21210" xr:uid="{00000000-0005-0000-0000-0000BA780000}"/>
    <cellStyle name="Normal 20 16 3" xfId="11641" xr:uid="{00000000-0005-0000-0000-0000BB780000}"/>
    <cellStyle name="Normal 20 16 3 2" xfId="49915" xr:uid="{00000000-0005-0000-0000-0000BC780000}"/>
    <cellStyle name="Normal 20 16 3 3" xfId="33815" xr:uid="{00000000-0005-0000-0000-0000BD780000}"/>
    <cellStyle name="Normal 20 16 3 4" xfId="24246" xr:uid="{00000000-0005-0000-0000-0000BE780000}"/>
    <cellStyle name="Normal 20 16 4" xfId="5569" xr:uid="{00000000-0005-0000-0000-0000BF780000}"/>
    <cellStyle name="Normal 20 16 4 2" xfId="53410" xr:uid="{00000000-0005-0000-0000-0000C0780000}"/>
    <cellStyle name="Normal 20 16 4 3" xfId="37310" xr:uid="{00000000-0005-0000-0000-0000C1780000}"/>
    <cellStyle name="Normal 20 16 4 4" xfId="18174" xr:uid="{00000000-0005-0000-0000-0000C2780000}"/>
    <cellStyle name="Normal 20 16 5" xfId="43843" xr:uid="{00000000-0005-0000-0000-0000C3780000}"/>
    <cellStyle name="Normal 20 16 6" xfId="27743" xr:uid="{00000000-0005-0000-0000-0000C4780000}"/>
    <cellStyle name="Normal 20 16 7" xfId="14679" xr:uid="{00000000-0005-0000-0000-0000C5780000}"/>
    <cellStyle name="Normal 20 17" xfId="1061" xr:uid="{00000000-0005-0000-0000-0000C6780000}"/>
    <cellStyle name="Normal 20 17 2" xfId="7595" xr:uid="{00000000-0005-0000-0000-0000C7780000}"/>
    <cellStyle name="Normal 20 17 2 2" xfId="39336" xr:uid="{00000000-0005-0000-0000-0000C8780000}"/>
    <cellStyle name="Normal 20 17 2 2 2" xfId="55436" xr:uid="{00000000-0005-0000-0000-0000C9780000}"/>
    <cellStyle name="Normal 20 17 2 3" xfId="45869" xr:uid="{00000000-0005-0000-0000-0000CA780000}"/>
    <cellStyle name="Normal 20 17 2 4" xfId="29769" xr:uid="{00000000-0005-0000-0000-0000CB780000}"/>
    <cellStyle name="Normal 20 17 2 5" xfId="20200" xr:uid="{00000000-0005-0000-0000-0000CC780000}"/>
    <cellStyle name="Normal 20 17 3" xfId="10631" xr:uid="{00000000-0005-0000-0000-0000CD780000}"/>
    <cellStyle name="Normal 20 17 3 2" xfId="48905" xr:uid="{00000000-0005-0000-0000-0000CE780000}"/>
    <cellStyle name="Normal 20 17 3 3" xfId="32805" xr:uid="{00000000-0005-0000-0000-0000CF780000}"/>
    <cellStyle name="Normal 20 17 3 4" xfId="23236" xr:uid="{00000000-0005-0000-0000-0000D0780000}"/>
    <cellStyle name="Normal 20 17 4" xfId="4559" xr:uid="{00000000-0005-0000-0000-0000D1780000}"/>
    <cellStyle name="Normal 20 17 4 2" xfId="52400" xr:uid="{00000000-0005-0000-0000-0000D2780000}"/>
    <cellStyle name="Normal 20 17 4 3" xfId="36300" xr:uid="{00000000-0005-0000-0000-0000D3780000}"/>
    <cellStyle name="Normal 20 17 4 4" xfId="17164" xr:uid="{00000000-0005-0000-0000-0000D4780000}"/>
    <cellStyle name="Normal 20 17 5" xfId="42833" xr:uid="{00000000-0005-0000-0000-0000D5780000}"/>
    <cellStyle name="Normal 20 17 6" xfId="26733" xr:uid="{00000000-0005-0000-0000-0000D6780000}"/>
    <cellStyle name="Normal 20 17 7" xfId="13669" xr:uid="{00000000-0005-0000-0000-0000D7780000}"/>
    <cellStyle name="Normal 20 18" xfId="3549" xr:uid="{00000000-0005-0000-0000-0000D8780000}"/>
    <cellStyle name="Normal 20 18 2" xfId="35290" xr:uid="{00000000-0005-0000-0000-0000D9780000}"/>
    <cellStyle name="Normal 20 18 2 2" xfId="51390" xr:uid="{00000000-0005-0000-0000-0000DA780000}"/>
    <cellStyle name="Normal 20 18 3" xfId="41823" xr:uid="{00000000-0005-0000-0000-0000DB780000}"/>
    <cellStyle name="Normal 20 18 4" xfId="25723" xr:uid="{00000000-0005-0000-0000-0000DC780000}"/>
    <cellStyle name="Normal 20 18 5" xfId="16154" xr:uid="{00000000-0005-0000-0000-0000DD780000}"/>
    <cellStyle name="Normal 20 19" xfId="6585" xr:uid="{00000000-0005-0000-0000-0000DE780000}"/>
    <cellStyle name="Normal 20 19 2" xfId="38326" xr:uid="{00000000-0005-0000-0000-0000DF780000}"/>
    <cellStyle name="Normal 20 19 2 2" xfId="54426" xr:uid="{00000000-0005-0000-0000-0000E0780000}"/>
    <cellStyle name="Normal 20 19 3" xfId="44859" xr:uid="{00000000-0005-0000-0000-0000E1780000}"/>
    <cellStyle name="Normal 20 19 4" xfId="28759" xr:uid="{00000000-0005-0000-0000-0000E2780000}"/>
    <cellStyle name="Normal 20 19 5" xfId="19190" xr:uid="{00000000-0005-0000-0000-0000E3780000}"/>
    <cellStyle name="Normal 20 2" xfId="29" xr:uid="{00000000-0005-0000-0000-0000E4780000}"/>
    <cellStyle name="Normal 20 2 10" xfId="489" xr:uid="{00000000-0005-0000-0000-0000E5780000}"/>
    <cellStyle name="Normal 20 2 10 10" xfId="41572" xr:uid="{00000000-0005-0000-0000-0000E6780000}"/>
    <cellStyle name="Normal 20 2 10 11" xfId="25472" xr:uid="{00000000-0005-0000-0000-0000E7780000}"/>
    <cellStyle name="Normal 20 2 10 12" xfId="12867" xr:uid="{00000000-0005-0000-0000-0000E8780000}"/>
    <cellStyle name="Normal 20 2 10 2" xfId="942" xr:uid="{00000000-0005-0000-0000-0000E9780000}"/>
    <cellStyle name="Normal 20 2 10 2 10" xfId="13550" xr:uid="{00000000-0005-0000-0000-0000EA780000}"/>
    <cellStyle name="Normal 20 2 10 2 2" xfId="2970" xr:uid="{00000000-0005-0000-0000-0000EB780000}"/>
    <cellStyle name="Normal 20 2 10 2 2 2" xfId="9502" xr:uid="{00000000-0005-0000-0000-0000EC780000}"/>
    <cellStyle name="Normal 20 2 10 2 2 2 2" xfId="41243" xr:uid="{00000000-0005-0000-0000-0000ED780000}"/>
    <cellStyle name="Normal 20 2 10 2 2 2 2 2" xfId="57343" xr:uid="{00000000-0005-0000-0000-0000EE780000}"/>
    <cellStyle name="Normal 20 2 10 2 2 2 3" xfId="47776" xr:uid="{00000000-0005-0000-0000-0000EF780000}"/>
    <cellStyle name="Normal 20 2 10 2 2 2 4" xfId="31676" xr:uid="{00000000-0005-0000-0000-0000F0780000}"/>
    <cellStyle name="Normal 20 2 10 2 2 2 5" xfId="22107" xr:uid="{00000000-0005-0000-0000-0000F1780000}"/>
    <cellStyle name="Normal 20 2 10 2 2 3" xfId="12538" xr:uid="{00000000-0005-0000-0000-0000F2780000}"/>
    <cellStyle name="Normal 20 2 10 2 2 3 2" xfId="50812" xr:uid="{00000000-0005-0000-0000-0000F3780000}"/>
    <cellStyle name="Normal 20 2 10 2 2 3 3" xfId="34712" xr:uid="{00000000-0005-0000-0000-0000F4780000}"/>
    <cellStyle name="Normal 20 2 10 2 2 3 4" xfId="25143" xr:uid="{00000000-0005-0000-0000-0000F5780000}"/>
    <cellStyle name="Normal 20 2 10 2 2 4" xfId="6466" xr:uid="{00000000-0005-0000-0000-0000F6780000}"/>
    <cellStyle name="Normal 20 2 10 2 2 4 2" xfId="54307" xr:uid="{00000000-0005-0000-0000-0000F7780000}"/>
    <cellStyle name="Normal 20 2 10 2 2 4 3" xfId="38207" xr:uid="{00000000-0005-0000-0000-0000F8780000}"/>
    <cellStyle name="Normal 20 2 10 2 2 4 4" xfId="19071" xr:uid="{00000000-0005-0000-0000-0000F9780000}"/>
    <cellStyle name="Normal 20 2 10 2 2 5" xfId="44740" xr:uid="{00000000-0005-0000-0000-0000FA780000}"/>
    <cellStyle name="Normal 20 2 10 2 2 6" xfId="28640" xr:uid="{00000000-0005-0000-0000-0000FB780000}"/>
    <cellStyle name="Normal 20 2 10 2 2 7" xfId="15576" xr:uid="{00000000-0005-0000-0000-0000FC780000}"/>
    <cellStyle name="Normal 20 2 10 2 3" xfId="1952" xr:uid="{00000000-0005-0000-0000-0000FD780000}"/>
    <cellStyle name="Normal 20 2 10 2 3 2" xfId="8486" xr:uid="{00000000-0005-0000-0000-0000FE780000}"/>
    <cellStyle name="Normal 20 2 10 2 3 2 2" xfId="40227" xr:uid="{00000000-0005-0000-0000-0000FF780000}"/>
    <cellStyle name="Normal 20 2 10 2 3 2 2 2" xfId="56327" xr:uid="{00000000-0005-0000-0000-000000790000}"/>
    <cellStyle name="Normal 20 2 10 2 3 2 3" xfId="46760" xr:uid="{00000000-0005-0000-0000-000001790000}"/>
    <cellStyle name="Normal 20 2 10 2 3 2 4" xfId="30660" xr:uid="{00000000-0005-0000-0000-000002790000}"/>
    <cellStyle name="Normal 20 2 10 2 3 2 5" xfId="21091" xr:uid="{00000000-0005-0000-0000-000003790000}"/>
    <cellStyle name="Normal 20 2 10 2 3 3" xfId="11522" xr:uid="{00000000-0005-0000-0000-000004790000}"/>
    <cellStyle name="Normal 20 2 10 2 3 3 2" xfId="49796" xr:uid="{00000000-0005-0000-0000-000005790000}"/>
    <cellStyle name="Normal 20 2 10 2 3 3 3" xfId="33696" xr:uid="{00000000-0005-0000-0000-000006790000}"/>
    <cellStyle name="Normal 20 2 10 2 3 3 4" xfId="24127" xr:uid="{00000000-0005-0000-0000-000007790000}"/>
    <cellStyle name="Normal 20 2 10 2 3 4" xfId="5450" xr:uid="{00000000-0005-0000-0000-000008790000}"/>
    <cellStyle name="Normal 20 2 10 2 3 4 2" xfId="53291" xr:uid="{00000000-0005-0000-0000-000009790000}"/>
    <cellStyle name="Normal 20 2 10 2 3 4 3" xfId="37191" xr:uid="{00000000-0005-0000-0000-00000A790000}"/>
    <cellStyle name="Normal 20 2 10 2 3 4 4" xfId="18055" xr:uid="{00000000-0005-0000-0000-00000B790000}"/>
    <cellStyle name="Normal 20 2 10 2 3 5" xfId="43724" xr:uid="{00000000-0005-0000-0000-00000C790000}"/>
    <cellStyle name="Normal 20 2 10 2 3 6" xfId="27624" xr:uid="{00000000-0005-0000-0000-00000D790000}"/>
    <cellStyle name="Normal 20 2 10 2 3 7" xfId="14560" xr:uid="{00000000-0005-0000-0000-00000E790000}"/>
    <cellStyle name="Normal 20 2 10 2 4" xfId="4440" xr:uid="{00000000-0005-0000-0000-00000F790000}"/>
    <cellStyle name="Normal 20 2 10 2 4 2" xfId="36181" xr:uid="{00000000-0005-0000-0000-000010790000}"/>
    <cellStyle name="Normal 20 2 10 2 4 2 2" xfId="52281" xr:uid="{00000000-0005-0000-0000-000011790000}"/>
    <cellStyle name="Normal 20 2 10 2 4 3" xfId="42714" xr:uid="{00000000-0005-0000-0000-000012790000}"/>
    <cellStyle name="Normal 20 2 10 2 4 4" xfId="26614" xr:uid="{00000000-0005-0000-0000-000013790000}"/>
    <cellStyle name="Normal 20 2 10 2 4 5" xfId="17045" xr:uid="{00000000-0005-0000-0000-000014790000}"/>
    <cellStyle name="Normal 20 2 10 2 5" xfId="7476" xr:uid="{00000000-0005-0000-0000-000015790000}"/>
    <cellStyle name="Normal 20 2 10 2 5 2" xfId="39217" xr:uid="{00000000-0005-0000-0000-000016790000}"/>
    <cellStyle name="Normal 20 2 10 2 5 2 2" xfId="55317" xr:uid="{00000000-0005-0000-0000-000017790000}"/>
    <cellStyle name="Normal 20 2 10 2 5 3" xfId="45750" xr:uid="{00000000-0005-0000-0000-000018790000}"/>
    <cellStyle name="Normal 20 2 10 2 5 4" xfId="29650" xr:uid="{00000000-0005-0000-0000-000019790000}"/>
    <cellStyle name="Normal 20 2 10 2 5 5" xfId="20081" xr:uid="{00000000-0005-0000-0000-00001A790000}"/>
    <cellStyle name="Normal 20 2 10 2 6" xfId="10512" xr:uid="{00000000-0005-0000-0000-00001B790000}"/>
    <cellStyle name="Normal 20 2 10 2 6 2" xfId="48786" xr:uid="{00000000-0005-0000-0000-00001C790000}"/>
    <cellStyle name="Normal 20 2 10 2 6 3" xfId="32686" xr:uid="{00000000-0005-0000-0000-00001D790000}"/>
    <cellStyle name="Normal 20 2 10 2 6 4" xfId="23117" xr:uid="{00000000-0005-0000-0000-00001E790000}"/>
    <cellStyle name="Normal 20 2 10 2 7" xfId="3535" xr:uid="{00000000-0005-0000-0000-00001F790000}"/>
    <cellStyle name="Normal 20 2 10 2 7 2" xfId="51376" xr:uid="{00000000-0005-0000-0000-000020790000}"/>
    <cellStyle name="Normal 20 2 10 2 7 3" xfId="35276" xr:uid="{00000000-0005-0000-0000-000021790000}"/>
    <cellStyle name="Normal 20 2 10 2 7 4" xfId="16140" xr:uid="{00000000-0005-0000-0000-000022790000}"/>
    <cellStyle name="Normal 20 2 10 2 8" xfId="41809" xr:uid="{00000000-0005-0000-0000-000023790000}"/>
    <cellStyle name="Normal 20 2 10 2 9" xfId="25709" xr:uid="{00000000-0005-0000-0000-000024790000}"/>
    <cellStyle name="Normal 20 2 10 3" xfId="720" xr:uid="{00000000-0005-0000-0000-000025790000}"/>
    <cellStyle name="Normal 20 2 10 3 2" xfId="2748" xr:uid="{00000000-0005-0000-0000-000026790000}"/>
    <cellStyle name="Normal 20 2 10 3 2 2" xfId="9280" xr:uid="{00000000-0005-0000-0000-000027790000}"/>
    <cellStyle name="Normal 20 2 10 3 2 2 2" xfId="41021" xr:uid="{00000000-0005-0000-0000-000028790000}"/>
    <cellStyle name="Normal 20 2 10 3 2 2 2 2" xfId="57121" xr:uid="{00000000-0005-0000-0000-000029790000}"/>
    <cellStyle name="Normal 20 2 10 3 2 2 3" xfId="47554" xr:uid="{00000000-0005-0000-0000-00002A790000}"/>
    <cellStyle name="Normal 20 2 10 3 2 2 4" xfId="31454" xr:uid="{00000000-0005-0000-0000-00002B790000}"/>
    <cellStyle name="Normal 20 2 10 3 2 2 5" xfId="21885" xr:uid="{00000000-0005-0000-0000-00002C790000}"/>
    <cellStyle name="Normal 20 2 10 3 2 3" xfId="12316" xr:uid="{00000000-0005-0000-0000-00002D790000}"/>
    <cellStyle name="Normal 20 2 10 3 2 3 2" xfId="50590" xr:uid="{00000000-0005-0000-0000-00002E790000}"/>
    <cellStyle name="Normal 20 2 10 3 2 3 3" xfId="34490" xr:uid="{00000000-0005-0000-0000-00002F790000}"/>
    <cellStyle name="Normal 20 2 10 3 2 3 4" xfId="24921" xr:uid="{00000000-0005-0000-0000-000030790000}"/>
    <cellStyle name="Normal 20 2 10 3 2 4" xfId="6244" xr:uid="{00000000-0005-0000-0000-000031790000}"/>
    <cellStyle name="Normal 20 2 10 3 2 4 2" xfId="54085" xr:uid="{00000000-0005-0000-0000-000032790000}"/>
    <cellStyle name="Normal 20 2 10 3 2 4 3" xfId="37985" xr:uid="{00000000-0005-0000-0000-000033790000}"/>
    <cellStyle name="Normal 20 2 10 3 2 4 4" xfId="18849" xr:uid="{00000000-0005-0000-0000-000034790000}"/>
    <cellStyle name="Normal 20 2 10 3 2 5" xfId="44518" xr:uid="{00000000-0005-0000-0000-000035790000}"/>
    <cellStyle name="Normal 20 2 10 3 2 6" xfId="28418" xr:uid="{00000000-0005-0000-0000-000036790000}"/>
    <cellStyle name="Normal 20 2 10 3 2 7" xfId="15354" xr:uid="{00000000-0005-0000-0000-000037790000}"/>
    <cellStyle name="Normal 20 2 10 3 3" xfId="1730" xr:uid="{00000000-0005-0000-0000-000038790000}"/>
    <cellStyle name="Normal 20 2 10 3 3 2" xfId="8264" xr:uid="{00000000-0005-0000-0000-000039790000}"/>
    <cellStyle name="Normal 20 2 10 3 3 2 2" xfId="40005" xr:uid="{00000000-0005-0000-0000-00003A790000}"/>
    <cellStyle name="Normal 20 2 10 3 3 2 2 2" xfId="56105" xr:uid="{00000000-0005-0000-0000-00003B790000}"/>
    <cellStyle name="Normal 20 2 10 3 3 2 3" xfId="46538" xr:uid="{00000000-0005-0000-0000-00003C790000}"/>
    <cellStyle name="Normal 20 2 10 3 3 2 4" xfId="30438" xr:uid="{00000000-0005-0000-0000-00003D790000}"/>
    <cellStyle name="Normal 20 2 10 3 3 2 5" xfId="20869" xr:uid="{00000000-0005-0000-0000-00003E790000}"/>
    <cellStyle name="Normal 20 2 10 3 3 3" xfId="11300" xr:uid="{00000000-0005-0000-0000-00003F790000}"/>
    <cellStyle name="Normal 20 2 10 3 3 3 2" xfId="49574" xr:uid="{00000000-0005-0000-0000-000040790000}"/>
    <cellStyle name="Normal 20 2 10 3 3 3 3" xfId="33474" xr:uid="{00000000-0005-0000-0000-000041790000}"/>
    <cellStyle name="Normal 20 2 10 3 3 3 4" xfId="23905" xr:uid="{00000000-0005-0000-0000-000042790000}"/>
    <cellStyle name="Normal 20 2 10 3 3 4" xfId="5228" xr:uid="{00000000-0005-0000-0000-000043790000}"/>
    <cellStyle name="Normal 20 2 10 3 3 4 2" xfId="53069" xr:uid="{00000000-0005-0000-0000-000044790000}"/>
    <cellStyle name="Normal 20 2 10 3 3 4 3" xfId="36969" xr:uid="{00000000-0005-0000-0000-000045790000}"/>
    <cellStyle name="Normal 20 2 10 3 3 4 4" xfId="17833" xr:uid="{00000000-0005-0000-0000-000046790000}"/>
    <cellStyle name="Normal 20 2 10 3 3 5" xfId="43502" xr:uid="{00000000-0005-0000-0000-000047790000}"/>
    <cellStyle name="Normal 20 2 10 3 3 6" xfId="27402" xr:uid="{00000000-0005-0000-0000-000048790000}"/>
    <cellStyle name="Normal 20 2 10 3 3 7" xfId="14338" xr:uid="{00000000-0005-0000-0000-000049790000}"/>
    <cellStyle name="Normal 20 2 10 3 4" xfId="7254" xr:uid="{00000000-0005-0000-0000-00004A790000}"/>
    <cellStyle name="Normal 20 2 10 3 4 2" xfId="38995" xr:uid="{00000000-0005-0000-0000-00004B790000}"/>
    <cellStyle name="Normal 20 2 10 3 4 2 2" xfId="55095" xr:uid="{00000000-0005-0000-0000-00004C790000}"/>
    <cellStyle name="Normal 20 2 10 3 4 3" xfId="45528" xr:uid="{00000000-0005-0000-0000-00004D790000}"/>
    <cellStyle name="Normal 20 2 10 3 4 4" xfId="29428" xr:uid="{00000000-0005-0000-0000-00004E790000}"/>
    <cellStyle name="Normal 20 2 10 3 4 5" xfId="19859" xr:uid="{00000000-0005-0000-0000-00004F790000}"/>
    <cellStyle name="Normal 20 2 10 3 5" xfId="10290" xr:uid="{00000000-0005-0000-0000-000050790000}"/>
    <cellStyle name="Normal 20 2 10 3 5 2" xfId="48564" xr:uid="{00000000-0005-0000-0000-000051790000}"/>
    <cellStyle name="Normal 20 2 10 3 5 3" xfId="32464" xr:uid="{00000000-0005-0000-0000-000052790000}"/>
    <cellStyle name="Normal 20 2 10 3 5 4" xfId="22895" xr:uid="{00000000-0005-0000-0000-000053790000}"/>
    <cellStyle name="Normal 20 2 10 3 6" xfId="4218" xr:uid="{00000000-0005-0000-0000-000054790000}"/>
    <cellStyle name="Normal 20 2 10 3 6 2" xfId="52059" xr:uid="{00000000-0005-0000-0000-000055790000}"/>
    <cellStyle name="Normal 20 2 10 3 6 3" xfId="35959" xr:uid="{00000000-0005-0000-0000-000056790000}"/>
    <cellStyle name="Normal 20 2 10 3 6 4" xfId="16823" xr:uid="{00000000-0005-0000-0000-000057790000}"/>
    <cellStyle name="Normal 20 2 10 3 7" xfId="42492" xr:uid="{00000000-0005-0000-0000-000058790000}"/>
    <cellStyle name="Normal 20 2 10 3 8" xfId="26392" xr:uid="{00000000-0005-0000-0000-000059790000}"/>
    <cellStyle name="Normal 20 2 10 3 9" xfId="13328" xr:uid="{00000000-0005-0000-0000-00005A790000}"/>
    <cellStyle name="Normal 20 2 10 4" xfId="2520" xr:uid="{00000000-0005-0000-0000-00005B790000}"/>
    <cellStyle name="Normal 20 2 10 4 2" xfId="9052" xr:uid="{00000000-0005-0000-0000-00005C790000}"/>
    <cellStyle name="Normal 20 2 10 4 2 2" xfId="40793" xr:uid="{00000000-0005-0000-0000-00005D790000}"/>
    <cellStyle name="Normal 20 2 10 4 2 2 2" xfId="56893" xr:uid="{00000000-0005-0000-0000-00005E790000}"/>
    <cellStyle name="Normal 20 2 10 4 2 3" xfId="47326" xr:uid="{00000000-0005-0000-0000-00005F790000}"/>
    <cellStyle name="Normal 20 2 10 4 2 4" xfId="31226" xr:uid="{00000000-0005-0000-0000-000060790000}"/>
    <cellStyle name="Normal 20 2 10 4 2 5" xfId="21657" xr:uid="{00000000-0005-0000-0000-000061790000}"/>
    <cellStyle name="Normal 20 2 10 4 3" xfId="12088" xr:uid="{00000000-0005-0000-0000-000062790000}"/>
    <cellStyle name="Normal 20 2 10 4 3 2" xfId="50362" xr:uid="{00000000-0005-0000-0000-000063790000}"/>
    <cellStyle name="Normal 20 2 10 4 3 3" xfId="34262" xr:uid="{00000000-0005-0000-0000-000064790000}"/>
    <cellStyle name="Normal 20 2 10 4 3 4" xfId="24693" xr:uid="{00000000-0005-0000-0000-000065790000}"/>
    <cellStyle name="Normal 20 2 10 4 4" xfId="6016" xr:uid="{00000000-0005-0000-0000-000066790000}"/>
    <cellStyle name="Normal 20 2 10 4 4 2" xfId="53857" xr:uid="{00000000-0005-0000-0000-000067790000}"/>
    <cellStyle name="Normal 20 2 10 4 4 3" xfId="37757" xr:uid="{00000000-0005-0000-0000-000068790000}"/>
    <cellStyle name="Normal 20 2 10 4 4 4" xfId="18621" xr:uid="{00000000-0005-0000-0000-000069790000}"/>
    <cellStyle name="Normal 20 2 10 4 5" xfId="44290" xr:uid="{00000000-0005-0000-0000-00006A790000}"/>
    <cellStyle name="Normal 20 2 10 4 6" xfId="28190" xr:uid="{00000000-0005-0000-0000-00006B790000}"/>
    <cellStyle name="Normal 20 2 10 4 7" xfId="15126" xr:uid="{00000000-0005-0000-0000-00006C790000}"/>
    <cellStyle name="Normal 20 2 10 5" xfId="1269" xr:uid="{00000000-0005-0000-0000-00006D790000}"/>
    <cellStyle name="Normal 20 2 10 5 2" xfId="7803" xr:uid="{00000000-0005-0000-0000-00006E790000}"/>
    <cellStyle name="Normal 20 2 10 5 2 2" xfId="39544" xr:uid="{00000000-0005-0000-0000-00006F790000}"/>
    <cellStyle name="Normal 20 2 10 5 2 2 2" xfId="55644" xr:uid="{00000000-0005-0000-0000-000070790000}"/>
    <cellStyle name="Normal 20 2 10 5 2 3" xfId="46077" xr:uid="{00000000-0005-0000-0000-000071790000}"/>
    <cellStyle name="Normal 20 2 10 5 2 4" xfId="29977" xr:uid="{00000000-0005-0000-0000-000072790000}"/>
    <cellStyle name="Normal 20 2 10 5 2 5" xfId="20408" xr:uid="{00000000-0005-0000-0000-000073790000}"/>
    <cellStyle name="Normal 20 2 10 5 3" xfId="10839" xr:uid="{00000000-0005-0000-0000-000074790000}"/>
    <cellStyle name="Normal 20 2 10 5 3 2" xfId="49113" xr:uid="{00000000-0005-0000-0000-000075790000}"/>
    <cellStyle name="Normal 20 2 10 5 3 3" xfId="33013" xr:uid="{00000000-0005-0000-0000-000076790000}"/>
    <cellStyle name="Normal 20 2 10 5 3 4" xfId="23444" xr:uid="{00000000-0005-0000-0000-000077790000}"/>
    <cellStyle name="Normal 20 2 10 5 4" xfId="4767" xr:uid="{00000000-0005-0000-0000-000078790000}"/>
    <cellStyle name="Normal 20 2 10 5 4 2" xfId="52608" xr:uid="{00000000-0005-0000-0000-000079790000}"/>
    <cellStyle name="Normal 20 2 10 5 4 3" xfId="36508" xr:uid="{00000000-0005-0000-0000-00007A790000}"/>
    <cellStyle name="Normal 20 2 10 5 4 4" xfId="17372" xr:uid="{00000000-0005-0000-0000-00007B790000}"/>
    <cellStyle name="Normal 20 2 10 5 5" xfId="43041" xr:uid="{00000000-0005-0000-0000-00007C790000}"/>
    <cellStyle name="Normal 20 2 10 5 6" xfId="26941" xr:uid="{00000000-0005-0000-0000-00007D790000}"/>
    <cellStyle name="Normal 20 2 10 5 7" xfId="13877" xr:uid="{00000000-0005-0000-0000-00007E790000}"/>
    <cellStyle name="Normal 20 2 10 6" xfId="3757" xr:uid="{00000000-0005-0000-0000-00007F790000}"/>
    <cellStyle name="Normal 20 2 10 6 2" xfId="35498" xr:uid="{00000000-0005-0000-0000-000080790000}"/>
    <cellStyle name="Normal 20 2 10 6 2 2" xfId="51598" xr:uid="{00000000-0005-0000-0000-000081790000}"/>
    <cellStyle name="Normal 20 2 10 6 3" xfId="42031" xr:uid="{00000000-0005-0000-0000-000082790000}"/>
    <cellStyle name="Normal 20 2 10 6 4" xfId="25931" xr:uid="{00000000-0005-0000-0000-000083790000}"/>
    <cellStyle name="Normal 20 2 10 6 5" xfId="16362" xr:uid="{00000000-0005-0000-0000-000084790000}"/>
    <cellStyle name="Normal 20 2 10 7" xfId="6793" xr:uid="{00000000-0005-0000-0000-000085790000}"/>
    <cellStyle name="Normal 20 2 10 7 2" xfId="38534" xr:uid="{00000000-0005-0000-0000-000086790000}"/>
    <cellStyle name="Normal 20 2 10 7 2 2" xfId="54634" xr:uid="{00000000-0005-0000-0000-000087790000}"/>
    <cellStyle name="Normal 20 2 10 7 3" xfId="45067" xr:uid="{00000000-0005-0000-0000-000088790000}"/>
    <cellStyle name="Normal 20 2 10 7 4" xfId="28967" xr:uid="{00000000-0005-0000-0000-000089790000}"/>
    <cellStyle name="Normal 20 2 10 7 5" xfId="19398" xr:uid="{00000000-0005-0000-0000-00008A790000}"/>
    <cellStyle name="Normal 20 2 10 8" xfId="9829" xr:uid="{00000000-0005-0000-0000-00008B790000}"/>
    <cellStyle name="Normal 20 2 10 8 2" xfId="48103" xr:uid="{00000000-0005-0000-0000-00008C790000}"/>
    <cellStyle name="Normal 20 2 10 8 3" xfId="32003" xr:uid="{00000000-0005-0000-0000-00008D790000}"/>
    <cellStyle name="Normal 20 2 10 8 4" xfId="22434" xr:uid="{00000000-0005-0000-0000-00008E790000}"/>
    <cellStyle name="Normal 20 2 10 9" xfId="3297" xr:uid="{00000000-0005-0000-0000-00008F790000}"/>
    <cellStyle name="Normal 20 2 10 9 2" xfId="51139" xr:uid="{00000000-0005-0000-0000-000090790000}"/>
    <cellStyle name="Normal 20 2 10 9 3" xfId="35039" xr:uid="{00000000-0005-0000-0000-000091790000}"/>
    <cellStyle name="Normal 20 2 10 9 4" xfId="15903" xr:uid="{00000000-0005-0000-0000-000092790000}"/>
    <cellStyle name="Normal 20 2 11" xfId="432" xr:uid="{00000000-0005-0000-0000-000093790000}"/>
    <cellStyle name="Normal 20 2 11 10" xfId="41419" xr:uid="{00000000-0005-0000-0000-000094790000}"/>
    <cellStyle name="Normal 20 2 11 11" xfId="25319" xr:uid="{00000000-0005-0000-0000-000095790000}"/>
    <cellStyle name="Normal 20 2 11 12" xfId="12714" xr:uid="{00000000-0005-0000-0000-000096790000}"/>
    <cellStyle name="Normal 20 2 11 2" xfId="789" xr:uid="{00000000-0005-0000-0000-000097790000}"/>
    <cellStyle name="Normal 20 2 11 2 10" xfId="13397" xr:uid="{00000000-0005-0000-0000-000098790000}"/>
    <cellStyle name="Normal 20 2 11 2 2" xfId="2817" xr:uid="{00000000-0005-0000-0000-000099790000}"/>
    <cellStyle name="Normal 20 2 11 2 2 2" xfId="9349" xr:uid="{00000000-0005-0000-0000-00009A790000}"/>
    <cellStyle name="Normal 20 2 11 2 2 2 2" xfId="41090" xr:uid="{00000000-0005-0000-0000-00009B790000}"/>
    <cellStyle name="Normal 20 2 11 2 2 2 2 2" xfId="57190" xr:uid="{00000000-0005-0000-0000-00009C790000}"/>
    <cellStyle name="Normal 20 2 11 2 2 2 3" xfId="47623" xr:uid="{00000000-0005-0000-0000-00009D790000}"/>
    <cellStyle name="Normal 20 2 11 2 2 2 4" xfId="31523" xr:uid="{00000000-0005-0000-0000-00009E790000}"/>
    <cellStyle name="Normal 20 2 11 2 2 2 5" xfId="21954" xr:uid="{00000000-0005-0000-0000-00009F790000}"/>
    <cellStyle name="Normal 20 2 11 2 2 3" xfId="12385" xr:uid="{00000000-0005-0000-0000-0000A0790000}"/>
    <cellStyle name="Normal 20 2 11 2 2 3 2" xfId="50659" xr:uid="{00000000-0005-0000-0000-0000A1790000}"/>
    <cellStyle name="Normal 20 2 11 2 2 3 3" xfId="34559" xr:uid="{00000000-0005-0000-0000-0000A2790000}"/>
    <cellStyle name="Normal 20 2 11 2 2 3 4" xfId="24990" xr:uid="{00000000-0005-0000-0000-0000A3790000}"/>
    <cellStyle name="Normal 20 2 11 2 2 4" xfId="6313" xr:uid="{00000000-0005-0000-0000-0000A4790000}"/>
    <cellStyle name="Normal 20 2 11 2 2 4 2" xfId="54154" xr:uid="{00000000-0005-0000-0000-0000A5790000}"/>
    <cellStyle name="Normal 20 2 11 2 2 4 3" xfId="38054" xr:uid="{00000000-0005-0000-0000-0000A6790000}"/>
    <cellStyle name="Normal 20 2 11 2 2 4 4" xfId="18918" xr:uid="{00000000-0005-0000-0000-0000A7790000}"/>
    <cellStyle name="Normal 20 2 11 2 2 5" xfId="44587" xr:uid="{00000000-0005-0000-0000-0000A8790000}"/>
    <cellStyle name="Normal 20 2 11 2 2 6" xfId="28487" xr:uid="{00000000-0005-0000-0000-0000A9790000}"/>
    <cellStyle name="Normal 20 2 11 2 2 7" xfId="15423" xr:uid="{00000000-0005-0000-0000-0000AA790000}"/>
    <cellStyle name="Normal 20 2 11 2 3" xfId="1799" xr:uid="{00000000-0005-0000-0000-0000AB790000}"/>
    <cellStyle name="Normal 20 2 11 2 3 2" xfId="8333" xr:uid="{00000000-0005-0000-0000-0000AC790000}"/>
    <cellStyle name="Normal 20 2 11 2 3 2 2" xfId="40074" xr:uid="{00000000-0005-0000-0000-0000AD790000}"/>
    <cellStyle name="Normal 20 2 11 2 3 2 2 2" xfId="56174" xr:uid="{00000000-0005-0000-0000-0000AE790000}"/>
    <cellStyle name="Normal 20 2 11 2 3 2 3" xfId="46607" xr:uid="{00000000-0005-0000-0000-0000AF790000}"/>
    <cellStyle name="Normal 20 2 11 2 3 2 4" xfId="30507" xr:uid="{00000000-0005-0000-0000-0000B0790000}"/>
    <cellStyle name="Normal 20 2 11 2 3 2 5" xfId="20938" xr:uid="{00000000-0005-0000-0000-0000B1790000}"/>
    <cellStyle name="Normal 20 2 11 2 3 3" xfId="11369" xr:uid="{00000000-0005-0000-0000-0000B2790000}"/>
    <cellStyle name="Normal 20 2 11 2 3 3 2" xfId="49643" xr:uid="{00000000-0005-0000-0000-0000B3790000}"/>
    <cellStyle name="Normal 20 2 11 2 3 3 3" xfId="33543" xr:uid="{00000000-0005-0000-0000-0000B4790000}"/>
    <cellStyle name="Normal 20 2 11 2 3 3 4" xfId="23974" xr:uid="{00000000-0005-0000-0000-0000B5790000}"/>
    <cellStyle name="Normal 20 2 11 2 3 4" xfId="5297" xr:uid="{00000000-0005-0000-0000-0000B6790000}"/>
    <cellStyle name="Normal 20 2 11 2 3 4 2" xfId="53138" xr:uid="{00000000-0005-0000-0000-0000B7790000}"/>
    <cellStyle name="Normal 20 2 11 2 3 4 3" xfId="37038" xr:uid="{00000000-0005-0000-0000-0000B8790000}"/>
    <cellStyle name="Normal 20 2 11 2 3 4 4" xfId="17902" xr:uid="{00000000-0005-0000-0000-0000B9790000}"/>
    <cellStyle name="Normal 20 2 11 2 3 5" xfId="43571" xr:uid="{00000000-0005-0000-0000-0000BA790000}"/>
    <cellStyle name="Normal 20 2 11 2 3 6" xfId="27471" xr:uid="{00000000-0005-0000-0000-0000BB790000}"/>
    <cellStyle name="Normal 20 2 11 2 3 7" xfId="14407" xr:uid="{00000000-0005-0000-0000-0000BC790000}"/>
    <cellStyle name="Normal 20 2 11 2 4" xfId="4287" xr:uid="{00000000-0005-0000-0000-0000BD790000}"/>
    <cellStyle name="Normal 20 2 11 2 4 2" xfId="36028" xr:uid="{00000000-0005-0000-0000-0000BE790000}"/>
    <cellStyle name="Normal 20 2 11 2 4 2 2" xfId="52128" xr:uid="{00000000-0005-0000-0000-0000BF790000}"/>
    <cellStyle name="Normal 20 2 11 2 4 3" xfId="42561" xr:uid="{00000000-0005-0000-0000-0000C0790000}"/>
    <cellStyle name="Normal 20 2 11 2 4 4" xfId="26461" xr:uid="{00000000-0005-0000-0000-0000C1790000}"/>
    <cellStyle name="Normal 20 2 11 2 4 5" xfId="16892" xr:uid="{00000000-0005-0000-0000-0000C2790000}"/>
    <cellStyle name="Normal 20 2 11 2 5" xfId="7323" xr:uid="{00000000-0005-0000-0000-0000C3790000}"/>
    <cellStyle name="Normal 20 2 11 2 5 2" xfId="39064" xr:uid="{00000000-0005-0000-0000-0000C4790000}"/>
    <cellStyle name="Normal 20 2 11 2 5 2 2" xfId="55164" xr:uid="{00000000-0005-0000-0000-0000C5790000}"/>
    <cellStyle name="Normal 20 2 11 2 5 3" xfId="45597" xr:uid="{00000000-0005-0000-0000-0000C6790000}"/>
    <cellStyle name="Normal 20 2 11 2 5 4" xfId="29497" xr:uid="{00000000-0005-0000-0000-0000C7790000}"/>
    <cellStyle name="Normal 20 2 11 2 5 5" xfId="19928" xr:uid="{00000000-0005-0000-0000-0000C8790000}"/>
    <cellStyle name="Normal 20 2 11 2 6" xfId="10359" xr:uid="{00000000-0005-0000-0000-0000C9790000}"/>
    <cellStyle name="Normal 20 2 11 2 6 2" xfId="48633" xr:uid="{00000000-0005-0000-0000-0000CA790000}"/>
    <cellStyle name="Normal 20 2 11 2 6 3" xfId="32533" xr:uid="{00000000-0005-0000-0000-0000CB790000}"/>
    <cellStyle name="Normal 20 2 11 2 6 4" xfId="22964" xr:uid="{00000000-0005-0000-0000-0000CC790000}"/>
    <cellStyle name="Normal 20 2 11 2 7" xfId="3382" xr:uid="{00000000-0005-0000-0000-0000CD790000}"/>
    <cellStyle name="Normal 20 2 11 2 7 2" xfId="51223" xr:uid="{00000000-0005-0000-0000-0000CE790000}"/>
    <cellStyle name="Normal 20 2 11 2 7 3" xfId="35123" xr:uid="{00000000-0005-0000-0000-0000CF790000}"/>
    <cellStyle name="Normal 20 2 11 2 7 4" xfId="15987" xr:uid="{00000000-0005-0000-0000-0000D0790000}"/>
    <cellStyle name="Normal 20 2 11 2 8" xfId="41656" xr:uid="{00000000-0005-0000-0000-0000D1790000}"/>
    <cellStyle name="Normal 20 2 11 2 9" xfId="25556" xr:uid="{00000000-0005-0000-0000-0000D2790000}"/>
    <cellStyle name="Normal 20 2 11 3" xfId="647" xr:uid="{00000000-0005-0000-0000-0000D3790000}"/>
    <cellStyle name="Normal 20 2 11 3 2" xfId="2675" xr:uid="{00000000-0005-0000-0000-0000D4790000}"/>
    <cellStyle name="Normal 20 2 11 3 2 2" xfId="9207" xr:uid="{00000000-0005-0000-0000-0000D5790000}"/>
    <cellStyle name="Normal 20 2 11 3 2 2 2" xfId="40948" xr:uid="{00000000-0005-0000-0000-0000D6790000}"/>
    <cellStyle name="Normal 20 2 11 3 2 2 2 2" xfId="57048" xr:uid="{00000000-0005-0000-0000-0000D7790000}"/>
    <cellStyle name="Normal 20 2 11 3 2 2 3" xfId="47481" xr:uid="{00000000-0005-0000-0000-0000D8790000}"/>
    <cellStyle name="Normal 20 2 11 3 2 2 4" xfId="31381" xr:uid="{00000000-0005-0000-0000-0000D9790000}"/>
    <cellStyle name="Normal 20 2 11 3 2 2 5" xfId="21812" xr:uid="{00000000-0005-0000-0000-0000DA790000}"/>
    <cellStyle name="Normal 20 2 11 3 2 3" xfId="12243" xr:uid="{00000000-0005-0000-0000-0000DB790000}"/>
    <cellStyle name="Normal 20 2 11 3 2 3 2" xfId="50517" xr:uid="{00000000-0005-0000-0000-0000DC790000}"/>
    <cellStyle name="Normal 20 2 11 3 2 3 3" xfId="34417" xr:uid="{00000000-0005-0000-0000-0000DD790000}"/>
    <cellStyle name="Normal 20 2 11 3 2 3 4" xfId="24848" xr:uid="{00000000-0005-0000-0000-0000DE790000}"/>
    <cellStyle name="Normal 20 2 11 3 2 4" xfId="6171" xr:uid="{00000000-0005-0000-0000-0000DF790000}"/>
    <cellStyle name="Normal 20 2 11 3 2 4 2" xfId="54012" xr:uid="{00000000-0005-0000-0000-0000E0790000}"/>
    <cellStyle name="Normal 20 2 11 3 2 4 3" xfId="37912" xr:uid="{00000000-0005-0000-0000-0000E1790000}"/>
    <cellStyle name="Normal 20 2 11 3 2 4 4" xfId="18776" xr:uid="{00000000-0005-0000-0000-0000E2790000}"/>
    <cellStyle name="Normal 20 2 11 3 2 5" xfId="44445" xr:uid="{00000000-0005-0000-0000-0000E3790000}"/>
    <cellStyle name="Normal 20 2 11 3 2 6" xfId="28345" xr:uid="{00000000-0005-0000-0000-0000E4790000}"/>
    <cellStyle name="Normal 20 2 11 3 2 7" xfId="15281" xr:uid="{00000000-0005-0000-0000-0000E5790000}"/>
    <cellStyle name="Normal 20 2 11 3 3" xfId="1657" xr:uid="{00000000-0005-0000-0000-0000E6790000}"/>
    <cellStyle name="Normal 20 2 11 3 3 2" xfId="8191" xr:uid="{00000000-0005-0000-0000-0000E7790000}"/>
    <cellStyle name="Normal 20 2 11 3 3 2 2" xfId="39932" xr:uid="{00000000-0005-0000-0000-0000E8790000}"/>
    <cellStyle name="Normal 20 2 11 3 3 2 2 2" xfId="56032" xr:uid="{00000000-0005-0000-0000-0000E9790000}"/>
    <cellStyle name="Normal 20 2 11 3 3 2 3" xfId="46465" xr:uid="{00000000-0005-0000-0000-0000EA790000}"/>
    <cellStyle name="Normal 20 2 11 3 3 2 4" xfId="30365" xr:uid="{00000000-0005-0000-0000-0000EB790000}"/>
    <cellStyle name="Normal 20 2 11 3 3 2 5" xfId="20796" xr:uid="{00000000-0005-0000-0000-0000EC790000}"/>
    <cellStyle name="Normal 20 2 11 3 3 3" xfId="11227" xr:uid="{00000000-0005-0000-0000-0000ED790000}"/>
    <cellStyle name="Normal 20 2 11 3 3 3 2" xfId="49501" xr:uid="{00000000-0005-0000-0000-0000EE790000}"/>
    <cellStyle name="Normal 20 2 11 3 3 3 3" xfId="33401" xr:uid="{00000000-0005-0000-0000-0000EF790000}"/>
    <cellStyle name="Normal 20 2 11 3 3 3 4" xfId="23832" xr:uid="{00000000-0005-0000-0000-0000F0790000}"/>
    <cellStyle name="Normal 20 2 11 3 3 4" xfId="5155" xr:uid="{00000000-0005-0000-0000-0000F1790000}"/>
    <cellStyle name="Normal 20 2 11 3 3 4 2" xfId="52996" xr:uid="{00000000-0005-0000-0000-0000F2790000}"/>
    <cellStyle name="Normal 20 2 11 3 3 4 3" xfId="36896" xr:uid="{00000000-0005-0000-0000-0000F3790000}"/>
    <cellStyle name="Normal 20 2 11 3 3 4 4" xfId="17760" xr:uid="{00000000-0005-0000-0000-0000F4790000}"/>
    <cellStyle name="Normal 20 2 11 3 3 5" xfId="43429" xr:uid="{00000000-0005-0000-0000-0000F5790000}"/>
    <cellStyle name="Normal 20 2 11 3 3 6" xfId="27329" xr:uid="{00000000-0005-0000-0000-0000F6790000}"/>
    <cellStyle name="Normal 20 2 11 3 3 7" xfId="14265" xr:uid="{00000000-0005-0000-0000-0000F7790000}"/>
    <cellStyle name="Normal 20 2 11 3 4" xfId="7181" xr:uid="{00000000-0005-0000-0000-0000F8790000}"/>
    <cellStyle name="Normal 20 2 11 3 4 2" xfId="38922" xr:uid="{00000000-0005-0000-0000-0000F9790000}"/>
    <cellStyle name="Normal 20 2 11 3 4 2 2" xfId="55022" xr:uid="{00000000-0005-0000-0000-0000FA790000}"/>
    <cellStyle name="Normal 20 2 11 3 4 3" xfId="45455" xr:uid="{00000000-0005-0000-0000-0000FB790000}"/>
    <cellStyle name="Normal 20 2 11 3 4 4" xfId="29355" xr:uid="{00000000-0005-0000-0000-0000FC790000}"/>
    <cellStyle name="Normal 20 2 11 3 4 5" xfId="19786" xr:uid="{00000000-0005-0000-0000-0000FD790000}"/>
    <cellStyle name="Normal 20 2 11 3 5" xfId="10217" xr:uid="{00000000-0005-0000-0000-0000FE790000}"/>
    <cellStyle name="Normal 20 2 11 3 5 2" xfId="48491" xr:uid="{00000000-0005-0000-0000-0000FF790000}"/>
    <cellStyle name="Normal 20 2 11 3 5 3" xfId="32391" xr:uid="{00000000-0005-0000-0000-0000007A0000}"/>
    <cellStyle name="Normal 20 2 11 3 5 4" xfId="22822" xr:uid="{00000000-0005-0000-0000-0000017A0000}"/>
    <cellStyle name="Normal 20 2 11 3 6" xfId="4145" xr:uid="{00000000-0005-0000-0000-0000027A0000}"/>
    <cellStyle name="Normal 20 2 11 3 6 2" xfId="51986" xr:uid="{00000000-0005-0000-0000-0000037A0000}"/>
    <cellStyle name="Normal 20 2 11 3 6 3" xfId="35886" xr:uid="{00000000-0005-0000-0000-0000047A0000}"/>
    <cellStyle name="Normal 20 2 11 3 6 4" xfId="16750" xr:uid="{00000000-0005-0000-0000-0000057A0000}"/>
    <cellStyle name="Normal 20 2 11 3 7" xfId="42419" xr:uid="{00000000-0005-0000-0000-0000067A0000}"/>
    <cellStyle name="Normal 20 2 11 3 8" xfId="26319" xr:uid="{00000000-0005-0000-0000-0000077A0000}"/>
    <cellStyle name="Normal 20 2 11 3 9" xfId="13255" xr:uid="{00000000-0005-0000-0000-0000087A0000}"/>
    <cellStyle name="Normal 20 2 11 4" xfId="2447" xr:uid="{00000000-0005-0000-0000-0000097A0000}"/>
    <cellStyle name="Normal 20 2 11 4 2" xfId="8979" xr:uid="{00000000-0005-0000-0000-00000A7A0000}"/>
    <cellStyle name="Normal 20 2 11 4 2 2" xfId="40720" xr:uid="{00000000-0005-0000-0000-00000B7A0000}"/>
    <cellStyle name="Normal 20 2 11 4 2 2 2" xfId="56820" xr:uid="{00000000-0005-0000-0000-00000C7A0000}"/>
    <cellStyle name="Normal 20 2 11 4 2 3" xfId="47253" xr:uid="{00000000-0005-0000-0000-00000D7A0000}"/>
    <cellStyle name="Normal 20 2 11 4 2 4" xfId="31153" xr:uid="{00000000-0005-0000-0000-00000E7A0000}"/>
    <cellStyle name="Normal 20 2 11 4 2 5" xfId="21584" xr:uid="{00000000-0005-0000-0000-00000F7A0000}"/>
    <cellStyle name="Normal 20 2 11 4 3" xfId="12015" xr:uid="{00000000-0005-0000-0000-0000107A0000}"/>
    <cellStyle name="Normal 20 2 11 4 3 2" xfId="50289" xr:uid="{00000000-0005-0000-0000-0000117A0000}"/>
    <cellStyle name="Normal 20 2 11 4 3 3" xfId="34189" xr:uid="{00000000-0005-0000-0000-0000127A0000}"/>
    <cellStyle name="Normal 20 2 11 4 3 4" xfId="24620" xr:uid="{00000000-0005-0000-0000-0000137A0000}"/>
    <cellStyle name="Normal 20 2 11 4 4" xfId="5943" xr:uid="{00000000-0005-0000-0000-0000147A0000}"/>
    <cellStyle name="Normal 20 2 11 4 4 2" xfId="53784" xr:uid="{00000000-0005-0000-0000-0000157A0000}"/>
    <cellStyle name="Normal 20 2 11 4 4 3" xfId="37684" xr:uid="{00000000-0005-0000-0000-0000167A0000}"/>
    <cellStyle name="Normal 20 2 11 4 4 4" xfId="18548" xr:uid="{00000000-0005-0000-0000-0000177A0000}"/>
    <cellStyle name="Normal 20 2 11 4 5" xfId="44217" xr:uid="{00000000-0005-0000-0000-0000187A0000}"/>
    <cellStyle name="Normal 20 2 11 4 6" xfId="28117" xr:uid="{00000000-0005-0000-0000-0000197A0000}"/>
    <cellStyle name="Normal 20 2 11 4 7" xfId="15053" xr:uid="{00000000-0005-0000-0000-00001A7A0000}"/>
    <cellStyle name="Normal 20 2 11 5" xfId="1116" xr:uid="{00000000-0005-0000-0000-00001B7A0000}"/>
    <cellStyle name="Normal 20 2 11 5 2" xfId="7650" xr:uid="{00000000-0005-0000-0000-00001C7A0000}"/>
    <cellStyle name="Normal 20 2 11 5 2 2" xfId="39391" xr:uid="{00000000-0005-0000-0000-00001D7A0000}"/>
    <cellStyle name="Normal 20 2 11 5 2 2 2" xfId="55491" xr:uid="{00000000-0005-0000-0000-00001E7A0000}"/>
    <cellStyle name="Normal 20 2 11 5 2 3" xfId="45924" xr:uid="{00000000-0005-0000-0000-00001F7A0000}"/>
    <cellStyle name="Normal 20 2 11 5 2 4" xfId="29824" xr:uid="{00000000-0005-0000-0000-0000207A0000}"/>
    <cellStyle name="Normal 20 2 11 5 2 5" xfId="20255" xr:uid="{00000000-0005-0000-0000-0000217A0000}"/>
    <cellStyle name="Normal 20 2 11 5 3" xfId="10686" xr:uid="{00000000-0005-0000-0000-0000227A0000}"/>
    <cellStyle name="Normal 20 2 11 5 3 2" xfId="48960" xr:uid="{00000000-0005-0000-0000-0000237A0000}"/>
    <cellStyle name="Normal 20 2 11 5 3 3" xfId="32860" xr:uid="{00000000-0005-0000-0000-0000247A0000}"/>
    <cellStyle name="Normal 20 2 11 5 3 4" xfId="23291" xr:uid="{00000000-0005-0000-0000-0000257A0000}"/>
    <cellStyle name="Normal 20 2 11 5 4" xfId="4614" xr:uid="{00000000-0005-0000-0000-0000267A0000}"/>
    <cellStyle name="Normal 20 2 11 5 4 2" xfId="52455" xr:uid="{00000000-0005-0000-0000-0000277A0000}"/>
    <cellStyle name="Normal 20 2 11 5 4 3" xfId="36355" xr:uid="{00000000-0005-0000-0000-0000287A0000}"/>
    <cellStyle name="Normal 20 2 11 5 4 4" xfId="17219" xr:uid="{00000000-0005-0000-0000-0000297A0000}"/>
    <cellStyle name="Normal 20 2 11 5 5" xfId="42888" xr:uid="{00000000-0005-0000-0000-00002A7A0000}"/>
    <cellStyle name="Normal 20 2 11 5 6" xfId="26788" xr:uid="{00000000-0005-0000-0000-00002B7A0000}"/>
    <cellStyle name="Normal 20 2 11 5 7" xfId="13724" xr:uid="{00000000-0005-0000-0000-00002C7A0000}"/>
    <cellStyle name="Normal 20 2 11 6" xfId="3604" xr:uid="{00000000-0005-0000-0000-00002D7A0000}"/>
    <cellStyle name="Normal 20 2 11 6 2" xfId="35345" xr:uid="{00000000-0005-0000-0000-00002E7A0000}"/>
    <cellStyle name="Normal 20 2 11 6 2 2" xfId="51445" xr:uid="{00000000-0005-0000-0000-00002F7A0000}"/>
    <cellStyle name="Normal 20 2 11 6 3" xfId="41878" xr:uid="{00000000-0005-0000-0000-0000307A0000}"/>
    <cellStyle name="Normal 20 2 11 6 4" xfId="25778" xr:uid="{00000000-0005-0000-0000-0000317A0000}"/>
    <cellStyle name="Normal 20 2 11 6 5" xfId="16209" xr:uid="{00000000-0005-0000-0000-0000327A0000}"/>
    <cellStyle name="Normal 20 2 11 7" xfId="6640" xr:uid="{00000000-0005-0000-0000-0000337A0000}"/>
    <cellStyle name="Normal 20 2 11 7 2" xfId="38381" xr:uid="{00000000-0005-0000-0000-0000347A0000}"/>
    <cellStyle name="Normal 20 2 11 7 2 2" xfId="54481" xr:uid="{00000000-0005-0000-0000-0000357A0000}"/>
    <cellStyle name="Normal 20 2 11 7 3" xfId="44914" xr:uid="{00000000-0005-0000-0000-0000367A0000}"/>
    <cellStyle name="Normal 20 2 11 7 4" xfId="28814" xr:uid="{00000000-0005-0000-0000-0000377A0000}"/>
    <cellStyle name="Normal 20 2 11 7 5" xfId="19245" xr:uid="{00000000-0005-0000-0000-0000387A0000}"/>
    <cellStyle name="Normal 20 2 11 8" xfId="9676" xr:uid="{00000000-0005-0000-0000-0000397A0000}"/>
    <cellStyle name="Normal 20 2 11 8 2" xfId="47950" xr:uid="{00000000-0005-0000-0000-00003A7A0000}"/>
    <cellStyle name="Normal 20 2 11 8 3" xfId="31850" xr:uid="{00000000-0005-0000-0000-00003B7A0000}"/>
    <cellStyle name="Normal 20 2 11 8 4" xfId="22281" xr:uid="{00000000-0005-0000-0000-00003C7A0000}"/>
    <cellStyle name="Normal 20 2 11 9" xfId="3144" xr:uid="{00000000-0005-0000-0000-00003D7A0000}"/>
    <cellStyle name="Normal 20 2 11 9 2" xfId="50986" xr:uid="{00000000-0005-0000-0000-00003E7A0000}"/>
    <cellStyle name="Normal 20 2 11 9 3" xfId="34886" xr:uid="{00000000-0005-0000-0000-00003F7A0000}"/>
    <cellStyle name="Normal 20 2 11 9 4" xfId="15750" xr:uid="{00000000-0005-0000-0000-0000407A0000}"/>
    <cellStyle name="Normal 20 2 12" xfId="412" xr:uid="{00000000-0005-0000-0000-0000417A0000}"/>
    <cellStyle name="Normal 20 2 12 10" xfId="41402" xr:uid="{00000000-0005-0000-0000-0000427A0000}"/>
    <cellStyle name="Normal 20 2 12 11" xfId="25302" xr:uid="{00000000-0005-0000-0000-0000437A0000}"/>
    <cellStyle name="Normal 20 2 12 12" xfId="12697" xr:uid="{00000000-0005-0000-0000-0000447A0000}"/>
    <cellStyle name="Normal 20 2 12 2" xfId="772" xr:uid="{00000000-0005-0000-0000-0000457A0000}"/>
    <cellStyle name="Normal 20 2 12 2 10" xfId="13380" xr:uid="{00000000-0005-0000-0000-0000467A0000}"/>
    <cellStyle name="Normal 20 2 12 2 2" xfId="2800" xr:uid="{00000000-0005-0000-0000-0000477A0000}"/>
    <cellStyle name="Normal 20 2 12 2 2 2" xfId="9332" xr:uid="{00000000-0005-0000-0000-0000487A0000}"/>
    <cellStyle name="Normal 20 2 12 2 2 2 2" xfId="41073" xr:uid="{00000000-0005-0000-0000-0000497A0000}"/>
    <cellStyle name="Normal 20 2 12 2 2 2 2 2" xfId="57173" xr:uid="{00000000-0005-0000-0000-00004A7A0000}"/>
    <cellStyle name="Normal 20 2 12 2 2 2 3" xfId="47606" xr:uid="{00000000-0005-0000-0000-00004B7A0000}"/>
    <cellStyle name="Normal 20 2 12 2 2 2 4" xfId="31506" xr:uid="{00000000-0005-0000-0000-00004C7A0000}"/>
    <cellStyle name="Normal 20 2 12 2 2 2 5" xfId="21937" xr:uid="{00000000-0005-0000-0000-00004D7A0000}"/>
    <cellStyle name="Normal 20 2 12 2 2 3" xfId="12368" xr:uid="{00000000-0005-0000-0000-00004E7A0000}"/>
    <cellStyle name="Normal 20 2 12 2 2 3 2" xfId="50642" xr:uid="{00000000-0005-0000-0000-00004F7A0000}"/>
    <cellStyle name="Normal 20 2 12 2 2 3 3" xfId="34542" xr:uid="{00000000-0005-0000-0000-0000507A0000}"/>
    <cellStyle name="Normal 20 2 12 2 2 3 4" xfId="24973" xr:uid="{00000000-0005-0000-0000-0000517A0000}"/>
    <cellStyle name="Normal 20 2 12 2 2 4" xfId="6296" xr:uid="{00000000-0005-0000-0000-0000527A0000}"/>
    <cellStyle name="Normal 20 2 12 2 2 4 2" xfId="54137" xr:uid="{00000000-0005-0000-0000-0000537A0000}"/>
    <cellStyle name="Normal 20 2 12 2 2 4 3" xfId="38037" xr:uid="{00000000-0005-0000-0000-0000547A0000}"/>
    <cellStyle name="Normal 20 2 12 2 2 4 4" xfId="18901" xr:uid="{00000000-0005-0000-0000-0000557A0000}"/>
    <cellStyle name="Normal 20 2 12 2 2 5" xfId="44570" xr:uid="{00000000-0005-0000-0000-0000567A0000}"/>
    <cellStyle name="Normal 20 2 12 2 2 6" xfId="28470" xr:uid="{00000000-0005-0000-0000-0000577A0000}"/>
    <cellStyle name="Normal 20 2 12 2 2 7" xfId="15406" xr:uid="{00000000-0005-0000-0000-0000587A0000}"/>
    <cellStyle name="Normal 20 2 12 2 3" xfId="1782" xr:uid="{00000000-0005-0000-0000-0000597A0000}"/>
    <cellStyle name="Normal 20 2 12 2 3 2" xfId="8316" xr:uid="{00000000-0005-0000-0000-00005A7A0000}"/>
    <cellStyle name="Normal 20 2 12 2 3 2 2" xfId="40057" xr:uid="{00000000-0005-0000-0000-00005B7A0000}"/>
    <cellStyle name="Normal 20 2 12 2 3 2 2 2" xfId="56157" xr:uid="{00000000-0005-0000-0000-00005C7A0000}"/>
    <cellStyle name="Normal 20 2 12 2 3 2 3" xfId="46590" xr:uid="{00000000-0005-0000-0000-00005D7A0000}"/>
    <cellStyle name="Normal 20 2 12 2 3 2 4" xfId="30490" xr:uid="{00000000-0005-0000-0000-00005E7A0000}"/>
    <cellStyle name="Normal 20 2 12 2 3 2 5" xfId="20921" xr:uid="{00000000-0005-0000-0000-00005F7A0000}"/>
    <cellStyle name="Normal 20 2 12 2 3 3" xfId="11352" xr:uid="{00000000-0005-0000-0000-0000607A0000}"/>
    <cellStyle name="Normal 20 2 12 2 3 3 2" xfId="49626" xr:uid="{00000000-0005-0000-0000-0000617A0000}"/>
    <cellStyle name="Normal 20 2 12 2 3 3 3" xfId="33526" xr:uid="{00000000-0005-0000-0000-0000627A0000}"/>
    <cellStyle name="Normal 20 2 12 2 3 3 4" xfId="23957" xr:uid="{00000000-0005-0000-0000-0000637A0000}"/>
    <cellStyle name="Normal 20 2 12 2 3 4" xfId="5280" xr:uid="{00000000-0005-0000-0000-0000647A0000}"/>
    <cellStyle name="Normal 20 2 12 2 3 4 2" xfId="53121" xr:uid="{00000000-0005-0000-0000-0000657A0000}"/>
    <cellStyle name="Normal 20 2 12 2 3 4 3" xfId="37021" xr:uid="{00000000-0005-0000-0000-0000667A0000}"/>
    <cellStyle name="Normal 20 2 12 2 3 4 4" xfId="17885" xr:uid="{00000000-0005-0000-0000-0000677A0000}"/>
    <cellStyle name="Normal 20 2 12 2 3 5" xfId="43554" xr:uid="{00000000-0005-0000-0000-0000687A0000}"/>
    <cellStyle name="Normal 20 2 12 2 3 6" xfId="27454" xr:uid="{00000000-0005-0000-0000-0000697A0000}"/>
    <cellStyle name="Normal 20 2 12 2 3 7" xfId="14390" xr:uid="{00000000-0005-0000-0000-00006A7A0000}"/>
    <cellStyle name="Normal 20 2 12 2 4" xfId="4270" xr:uid="{00000000-0005-0000-0000-00006B7A0000}"/>
    <cellStyle name="Normal 20 2 12 2 4 2" xfId="36011" xr:uid="{00000000-0005-0000-0000-00006C7A0000}"/>
    <cellStyle name="Normal 20 2 12 2 4 2 2" xfId="52111" xr:uid="{00000000-0005-0000-0000-00006D7A0000}"/>
    <cellStyle name="Normal 20 2 12 2 4 3" xfId="42544" xr:uid="{00000000-0005-0000-0000-00006E7A0000}"/>
    <cellStyle name="Normal 20 2 12 2 4 4" xfId="26444" xr:uid="{00000000-0005-0000-0000-00006F7A0000}"/>
    <cellStyle name="Normal 20 2 12 2 4 5" xfId="16875" xr:uid="{00000000-0005-0000-0000-0000707A0000}"/>
    <cellStyle name="Normal 20 2 12 2 5" xfId="7306" xr:uid="{00000000-0005-0000-0000-0000717A0000}"/>
    <cellStyle name="Normal 20 2 12 2 5 2" xfId="39047" xr:uid="{00000000-0005-0000-0000-0000727A0000}"/>
    <cellStyle name="Normal 20 2 12 2 5 2 2" xfId="55147" xr:uid="{00000000-0005-0000-0000-0000737A0000}"/>
    <cellStyle name="Normal 20 2 12 2 5 3" xfId="45580" xr:uid="{00000000-0005-0000-0000-0000747A0000}"/>
    <cellStyle name="Normal 20 2 12 2 5 4" xfId="29480" xr:uid="{00000000-0005-0000-0000-0000757A0000}"/>
    <cellStyle name="Normal 20 2 12 2 5 5" xfId="19911" xr:uid="{00000000-0005-0000-0000-0000767A0000}"/>
    <cellStyle name="Normal 20 2 12 2 6" xfId="10342" xr:uid="{00000000-0005-0000-0000-0000777A0000}"/>
    <cellStyle name="Normal 20 2 12 2 6 2" xfId="48616" xr:uid="{00000000-0005-0000-0000-0000787A0000}"/>
    <cellStyle name="Normal 20 2 12 2 6 3" xfId="32516" xr:uid="{00000000-0005-0000-0000-0000797A0000}"/>
    <cellStyle name="Normal 20 2 12 2 6 4" xfId="22947" xr:uid="{00000000-0005-0000-0000-00007A7A0000}"/>
    <cellStyle name="Normal 20 2 12 2 7" xfId="3365" xr:uid="{00000000-0005-0000-0000-00007B7A0000}"/>
    <cellStyle name="Normal 20 2 12 2 7 2" xfId="51206" xr:uid="{00000000-0005-0000-0000-00007C7A0000}"/>
    <cellStyle name="Normal 20 2 12 2 7 3" xfId="35106" xr:uid="{00000000-0005-0000-0000-00007D7A0000}"/>
    <cellStyle name="Normal 20 2 12 2 7 4" xfId="15970" xr:uid="{00000000-0005-0000-0000-00007E7A0000}"/>
    <cellStyle name="Normal 20 2 12 2 8" xfId="41639" xr:uid="{00000000-0005-0000-0000-00007F7A0000}"/>
    <cellStyle name="Normal 20 2 12 2 9" xfId="25539" xr:uid="{00000000-0005-0000-0000-0000807A0000}"/>
    <cellStyle name="Normal 20 2 12 3" xfId="630" xr:uid="{00000000-0005-0000-0000-0000817A0000}"/>
    <cellStyle name="Normal 20 2 12 3 2" xfId="2658" xr:uid="{00000000-0005-0000-0000-0000827A0000}"/>
    <cellStyle name="Normal 20 2 12 3 2 2" xfId="9190" xr:uid="{00000000-0005-0000-0000-0000837A0000}"/>
    <cellStyle name="Normal 20 2 12 3 2 2 2" xfId="40931" xr:uid="{00000000-0005-0000-0000-0000847A0000}"/>
    <cellStyle name="Normal 20 2 12 3 2 2 2 2" xfId="57031" xr:uid="{00000000-0005-0000-0000-0000857A0000}"/>
    <cellStyle name="Normal 20 2 12 3 2 2 3" xfId="47464" xr:uid="{00000000-0005-0000-0000-0000867A0000}"/>
    <cellStyle name="Normal 20 2 12 3 2 2 4" xfId="31364" xr:uid="{00000000-0005-0000-0000-0000877A0000}"/>
    <cellStyle name="Normal 20 2 12 3 2 2 5" xfId="21795" xr:uid="{00000000-0005-0000-0000-0000887A0000}"/>
    <cellStyle name="Normal 20 2 12 3 2 3" xfId="12226" xr:uid="{00000000-0005-0000-0000-0000897A0000}"/>
    <cellStyle name="Normal 20 2 12 3 2 3 2" xfId="50500" xr:uid="{00000000-0005-0000-0000-00008A7A0000}"/>
    <cellStyle name="Normal 20 2 12 3 2 3 3" xfId="34400" xr:uid="{00000000-0005-0000-0000-00008B7A0000}"/>
    <cellStyle name="Normal 20 2 12 3 2 3 4" xfId="24831" xr:uid="{00000000-0005-0000-0000-00008C7A0000}"/>
    <cellStyle name="Normal 20 2 12 3 2 4" xfId="6154" xr:uid="{00000000-0005-0000-0000-00008D7A0000}"/>
    <cellStyle name="Normal 20 2 12 3 2 4 2" xfId="53995" xr:uid="{00000000-0005-0000-0000-00008E7A0000}"/>
    <cellStyle name="Normal 20 2 12 3 2 4 3" xfId="37895" xr:uid="{00000000-0005-0000-0000-00008F7A0000}"/>
    <cellStyle name="Normal 20 2 12 3 2 4 4" xfId="18759" xr:uid="{00000000-0005-0000-0000-0000907A0000}"/>
    <cellStyle name="Normal 20 2 12 3 2 5" xfId="44428" xr:uid="{00000000-0005-0000-0000-0000917A0000}"/>
    <cellStyle name="Normal 20 2 12 3 2 6" xfId="28328" xr:uid="{00000000-0005-0000-0000-0000927A0000}"/>
    <cellStyle name="Normal 20 2 12 3 2 7" xfId="15264" xr:uid="{00000000-0005-0000-0000-0000937A0000}"/>
    <cellStyle name="Normal 20 2 12 3 3" xfId="1640" xr:uid="{00000000-0005-0000-0000-0000947A0000}"/>
    <cellStyle name="Normal 20 2 12 3 3 2" xfId="8174" xr:uid="{00000000-0005-0000-0000-0000957A0000}"/>
    <cellStyle name="Normal 20 2 12 3 3 2 2" xfId="39915" xr:uid="{00000000-0005-0000-0000-0000967A0000}"/>
    <cellStyle name="Normal 20 2 12 3 3 2 2 2" xfId="56015" xr:uid="{00000000-0005-0000-0000-0000977A0000}"/>
    <cellStyle name="Normal 20 2 12 3 3 2 3" xfId="46448" xr:uid="{00000000-0005-0000-0000-0000987A0000}"/>
    <cellStyle name="Normal 20 2 12 3 3 2 4" xfId="30348" xr:uid="{00000000-0005-0000-0000-0000997A0000}"/>
    <cellStyle name="Normal 20 2 12 3 3 2 5" xfId="20779" xr:uid="{00000000-0005-0000-0000-00009A7A0000}"/>
    <cellStyle name="Normal 20 2 12 3 3 3" xfId="11210" xr:uid="{00000000-0005-0000-0000-00009B7A0000}"/>
    <cellStyle name="Normal 20 2 12 3 3 3 2" xfId="49484" xr:uid="{00000000-0005-0000-0000-00009C7A0000}"/>
    <cellStyle name="Normal 20 2 12 3 3 3 3" xfId="33384" xr:uid="{00000000-0005-0000-0000-00009D7A0000}"/>
    <cellStyle name="Normal 20 2 12 3 3 3 4" xfId="23815" xr:uid="{00000000-0005-0000-0000-00009E7A0000}"/>
    <cellStyle name="Normal 20 2 12 3 3 4" xfId="5138" xr:uid="{00000000-0005-0000-0000-00009F7A0000}"/>
    <cellStyle name="Normal 20 2 12 3 3 4 2" xfId="52979" xr:uid="{00000000-0005-0000-0000-0000A07A0000}"/>
    <cellStyle name="Normal 20 2 12 3 3 4 3" xfId="36879" xr:uid="{00000000-0005-0000-0000-0000A17A0000}"/>
    <cellStyle name="Normal 20 2 12 3 3 4 4" xfId="17743" xr:uid="{00000000-0005-0000-0000-0000A27A0000}"/>
    <cellStyle name="Normal 20 2 12 3 3 5" xfId="43412" xr:uid="{00000000-0005-0000-0000-0000A37A0000}"/>
    <cellStyle name="Normal 20 2 12 3 3 6" xfId="27312" xr:uid="{00000000-0005-0000-0000-0000A47A0000}"/>
    <cellStyle name="Normal 20 2 12 3 3 7" xfId="14248" xr:uid="{00000000-0005-0000-0000-0000A57A0000}"/>
    <cellStyle name="Normal 20 2 12 3 4" xfId="7164" xr:uid="{00000000-0005-0000-0000-0000A67A0000}"/>
    <cellStyle name="Normal 20 2 12 3 4 2" xfId="38905" xr:uid="{00000000-0005-0000-0000-0000A77A0000}"/>
    <cellStyle name="Normal 20 2 12 3 4 2 2" xfId="55005" xr:uid="{00000000-0005-0000-0000-0000A87A0000}"/>
    <cellStyle name="Normal 20 2 12 3 4 3" xfId="45438" xr:uid="{00000000-0005-0000-0000-0000A97A0000}"/>
    <cellStyle name="Normal 20 2 12 3 4 4" xfId="29338" xr:uid="{00000000-0005-0000-0000-0000AA7A0000}"/>
    <cellStyle name="Normal 20 2 12 3 4 5" xfId="19769" xr:uid="{00000000-0005-0000-0000-0000AB7A0000}"/>
    <cellStyle name="Normal 20 2 12 3 5" xfId="10200" xr:uid="{00000000-0005-0000-0000-0000AC7A0000}"/>
    <cellStyle name="Normal 20 2 12 3 5 2" xfId="48474" xr:uid="{00000000-0005-0000-0000-0000AD7A0000}"/>
    <cellStyle name="Normal 20 2 12 3 5 3" xfId="32374" xr:uid="{00000000-0005-0000-0000-0000AE7A0000}"/>
    <cellStyle name="Normal 20 2 12 3 5 4" xfId="22805" xr:uid="{00000000-0005-0000-0000-0000AF7A0000}"/>
    <cellStyle name="Normal 20 2 12 3 6" xfId="4128" xr:uid="{00000000-0005-0000-0000-0000B07A0000}"/>
    <cellStyle name="Normal 20 2 12 3 6 2" xfId="51969" xr:uid="{00000000-0005-0000-0000-0000B17A0000}"/>
    <cellStyle name="Normal 20 2 12 3 6 3" xfId="35869" xr:uid="{00000000-0005-0000-0000-0000B27A0000}"/>
    <cellStyle name="Normal 20 2 12 3 6 4" xfId="16733" xr:uid="{00000000-0005-0000-0000-0000B37A0000}"/>
    <cellStyle name="Normal 20 2 12 3 7" xfId="42402" xr:uid="{00000000-0005-0000-0000-0000B47A0000}"/>
    <cellStyle name="Normal 20 2 12 3 8" xfId="26302" xr:uid="{00000000-0005-0000-0000-0000B57A0000}"/>
    <cellStyle name="Normal 20 2 12 3 9" xfId="13238" xr:uid="{00000000-0005-0000-0000-0000B67A0000}"/>
    <cellStyle name="Normal 20 2 12 4" xfId="2430" xr:uid="{00000000-0005-0000-0000-0000B77A0000}"/>
    <cellStyle name="Normal 20 2 12 4 2" xfId="8962" xr:uid="{00000000-0005-0000-0000-0000B87A0000}"/>
    <cellStyle name="Normal 20 2 12 4 2 2" xfId="40703" xr:uid="{00000000-0005-0000-0000-0000B97A0000}"/>
    <cellStyle name="Normal 20 2 12 4 2 2 2" xfId="56803" xr:uid="{00000000-0005-0000-0000-0000BA7A0000}"/>
    <cellStyle name="Normal 20 2 12 4 2 3" xfId="47236" xr:uid="{00000000-0005-0000-0000-0000BB7A0000}"/>
    <cellStyle name="Normal 20 2 12 4 2 4" xfId="31136" xr:uid="{00000000-0005-0000-0000-0000BC7A0000}"/>
    <cellStyle name="Normal 20 2 12 4 2 5" xfId="21567" xr:uid="{00000000-0005-0000-0000-0000BD7A0000}"/>
    <cellStyle name="Normal 20 2 12 4 3" xfId="11998" xr:uid="{00000000-0005-0000-0000-0000BE7A0000}"/>
    <cellStyle name="Normal 20 2 12 4 3 2" xfId="50272" xr:uid="{00000000-0005-0000-0000-0000BF7A0000}"/>
    <cellStyle name="Normal 20 2 12 4 3 3" xfId="34172" xr:uid="{00000000-0005-0000-0000-0000C07A0000}"/>
    <cellStyle name="Normal 20 2 12 4 3 4" xfId="24603" xr:uid="{00000000-0005-0000-0000-0000C17A0000}"/>
    <cellStyle name="Normal 20 2 12 4 4" xfId="5926" xr:uid="{00000000-0005-0000-0000-0000C27A0000}"/>
    <cellStyle name="Normal 20 2 12 4 4 2" xfId="53767" xr:uid="{00000000-0005-0000-0000-0000C37A0000}"/>
    <cellStyle name="Normal 20 2 12 4 4 3" xfId="37667" xr:uid="{00000000-0005-0000-0000-0000C47A0000}"/>
    <cellStyle name="Normal 20 2 12 4 4 4" xfId="18531" xr:uid="{00000000-0005-0000-0000-0000C57A0000}"/>
    <cellStyle name="Normal 20 2 12 4 5" xfId="44200" xr:uid="{00000000-0005-0000-0000-0000C67A0000}"/>
    <cellStyle name="Normal 20 2 12 4 6" xfId="28100" xr:uid="{00000000-0005-0000-0000-0000C77A0000}"/>
    <cellStyle name="Normal 20 2 12 4 7" xfId="15036" xr:uid="{00000000-0005-0000-0000-0000C87A0000}"/>
    <cellStyle name="Normal 20 2 12 5" xfId="1099" xr:uid="{00000000-0005-0000-0000-0000C97A0000}"/>
    <cellStyle name="Normal 20 2 12 5 2" xfId="7633" xr:uid="{00000000-0005-0000-0000-0000CA7A0000}"/>
    <cellStyle name="Normal 20 2 12 5 2 2" xfId="39374" xr:uid="{00000000-0005-0000-0000-0000CB7A0000}"/>
    <cellStyle name="Normal 20 2 12 5 2 2 2" xfId="55474" xr:uid="{00000000-0005-0000-0000-0000CC7A0000}"/>
    <cellStyle name="Normal 20 2 12 5 2 3" xfId="45907" xr:uid="{00000000-0005-0000-0000-0000CD7A0000}"/>
    <cellStyle name="Normal 20 2 12 5 2 4" xfId="29807" xr:uid="{00000000-0005-0000-0000-0000CE7A0000}"/>
    <cellStyle name="Normal 20 2 12 5 2 5" xfId="20238" xr:uid="{00000000-0005-0000-0000-0000CF7A0000}"/>
    <cellStyle name="Normal 20 2 12 5 3" xfId="10669" xr:uid="{00000000-0005-0000-0000-0000D07A0000}"/>
    <cellStyle name="Normal 20 2 12 5 3 2" xfId="48943" xr:uid="{00000000-0005-0000-0000-0000D17A0000}"/>
    <cellStyle name="Normal 20 2 12 5 3 3" xfId="32843" xr:uid="{00000000-0005-0000-0000-0000D27A0000}"/>
    <cellStyle name="Normal 20 2 12 5 3 4" xfId="23274" xr:uid="{00000000-0005-0000-0000-0000D37A0000}"/>
    <cellStyle name="Normal 20 2 12 5 4" xfId="4597" xr:uid="{00000000-0005-0000-0000-0000D47A0000}"/>
    <cellStyle name="Normal 20 2 12 5 4 2" xfId="52438" xr:uid="{00000000-0005-0000-0000-0000D57A0000}"/>
    <cellStyle name="Normal 20 2 12 5 4 3" xfId="36338" xr:uid="{00000000-0005-0000-0000-0000D67A0000}"/>
    <cellStyle name="Normal 20 2 12 5 4 4" xfId="17202" xr:uid="{00000000-0005-0000-0000-0000D77A0000}"/>
    <cellStyle name="Normal 20 2 12 5 5" xfId="42871" xr:uid="{00000000-0005-0000-0000-0000D87A0000}"/>
    <cellStyle name="Normal 20 2 12 5 6" xfId="26771" xr:uid="{00000000-0005-0000-0000-0000D97A0000}"/>
    <cellStyle name="Normal 20 2 12 5 7" xfId="13707" xr:uid="{00000000-0005-0000-0000-0000DA7A0000}"/>
    <cellStyle name="Normal 20 2 12 6" xfId="3587" xr:uid="{00000000-0005-0000-0000-0000DB7A0000}"/>
    <cellStyle name="Normal 20 2 12 6 2" xfId="35328" xr:uid="{00000000-0005-0000-0000-0000DC7A0000}"/>
    <cellStyle name="Normal 20 2 12 6 2 2" xfId="51428" xr:uid="{00000000-0005-0000-0000-0000DD7A0000}"/>
    <cellStyle name="Normal 20 2 12 6 3" xfId="41861" xr:uid="{00000000-0005-0000-0000-0000DE7A0000}"/>
    <cellStyle name="Normal 20 2 12 6 4" xfId="25761" xr:uid="{00000000-0005-0000-0000-0000DF7A0000}"/>
    <cellStyle name="Normal 20 2 12 6 5" xfId="16192" xr:uid="{00000000-0005-0000-0000-0000E07A0000}"/>
    <cellStyle name="Normal 20 2 12 7" xfId="6623" xr:uid="{00000000-0005-0000-0000-0000E17A0000}"/>
    <cellStyle name="Normal 20 2 12 7 2" xfId="38364" xr:uid="{00000000-0005-0000-0000-0000E27A0000}"/>
    <cellStyle name="Normal 20 2 12 7 2 2" xfId="54464" xr:uid="{00000000-0005-0000-0000-0000E37A0000}"/>
    <cellStyle name="Normal 20 2 12 7 3" xfId="44897" xr:uid="{00000000-0005-0000-0000-0000E47A0000}"/>
    <cellStyle name="Normal 20 2 12 7 4" xfId="28797" xr:uid="{00000000-0005-0000-0000-0000E57A0000}"/>
    <cellStyle name="Normal 20 2 12 7 5" xfId="19228" xr:uid="{00000000-0005-0000-0000-0000E67A0000}"/>
    <cellStyle name="Normal 20 2 12 8" xfId="9659" xr:uid="{00000000-0005-0000-0000-0000E77A0000}"/>
    <cellStyle name="Normal 20 2 12 8 2" xfId="47933" xr:uid="{00000000-0005-0000-0000-0000E87A0000}"/>
    <cellStyle name="Normal 20 2 12 8 3" xfId="31833" xr:uid="{00000000-0005-0000-0000-0000E97A0000}"/>
    <cellStyle name="Normal 20 2 12 8 4" xfId="22264" xr:uid="{00000000-0005-0000-0000-0000EA7A0000}"/>
    <cellStyle name="Normal 20 2 12 9" xfId="3127" xr:uid="{00000000-0005-0000-0000-0000EB7A0000}"/>
    <cellStyle name="Normal 20 2 12 9 2" xfId="50969" xr:uid="{00000000-0005-0000-0000-0000EC7A0000}"/>
    <cellStyle name="Normal 20 2 12 9 3" xfId="34869" xr:uid="{00000000-0005-0000-0000-0000ED7A0000}"/>
    <cellStyle name="Normal 20 2 12 9 4" xfId="15733" xr:uid="{00000000-0005-0000-0000-0000EE7A0000}"/>
    <cellStyle name="Normal 20 2 13" xfId="512" xr:uid="{00000000-0005-0000-0000-0000EF7A0000}"/>
    <cellStyle name="Normal 20 2 13 10" xfId="25509" xr:uid="{00000000-0005-0000-0000-0000F07A0000}"/>
    <cellStyle name="Normal 20 2 13 11" xfId="12889" xr:uid="{00000000-0005-0000-0000-0000F17A0000}"/>
    <cellStyle name="Normal 20 2 13 2" xfId="964" xr:uid="{00000000-0005-0000-0000-0000F27A0000}"/>
    <cellStyle name="Normal 20 2 13 2 2" xfId="2992" xr:uid="{00000000-0005-0000-0000-0000F37A0000}"/>
    <cellStyle name="Normal 20 2 13 2 2 2" xfId="9524" xr:uid="{00000000-0005-0000-0000-0000F47A0000}"/>
    <cellStyle name="Normal 20 2 13 2 2 2 2" xfId="41265" xr:uid="{00000000-0005-0000-0000-0000F57A0000}"/>
    <cellStyle name="Normal 20 2 13 2 2 2 2 2" xfId="57365" xr:uid="{00000000-0005-0000-0000-0000F67A0000}"/>
    <cellStyle name="Normal 20 2 13 2 2 2 3" xfId="47798" xr:uid="{00000000-0005-0000-0000-0000F77A0000}"/>
    <cellStyle name="Normal 20 2 13 2 2 2 4" xfId="31698" xr:uid="{00000000-0005-0000-0000-0000F87A0000}"/>
    <cellStyle name="Normal 20 2 13 2 2 2 5" xfId="22129" xr:uid="{00000000-0005-0000-0000-0000F97A0000}"/>
    <cellStyle name="Normal 20 2 13 2 2 3" xfId="12560" xr:uid="{00000000-0005-0000-0000-0000FA7A0000}"/>
    <cellStyle name="Normal 20 2 13 2 2 3 2" xfId="50834" xr:uid="{00000000-0005-0000-0000-0000FB7A0000}"/>
    <cellStyle name="Normal 20 2 13 2 2 3 3" xfId="34734" xr:uid="{00000000-0005-0000-0000-0000FC7A0000}"/>
    <cellStyle name="Normal 20 2 13 2 2 3 4" xfId="25165" xr:uid="{00000000-0005-0000-0000-0000FD7A0000}"/>
    <cellStyle name="Normal 20 2 13 2 2 4" xfId="6488" xr:uid="{00000000-0005-0000-0000-0000FE7A0000}"/>
    <cellStyle name="Normal 20 2 13 2 2 4 2" xfId="54329" xr:uid="{00000000-0005-0000-0000-0000FF7A0000}"/>
    <cellStyle name="Normal 20 2 13 2 2 4 3" xfId="38229" xr:uid="{00000000-0005-0000-0000-0000007B0000}"/>
    <cellStyle name="Normal 20 2 13 2 2 4 4" xfId="19093" xr:uid="{00000000-0005-0000-0000-0000017B0000}"/>
    <cellStyle name="Normal 20 2 13 2 2 5" xfId="44762" xr:uid="{00000000-0005-0000-0000-0000027B0000}"/>
    <cellStyle name="Normal 20 2 13 2 2 6" xfId="28662" xr:uid="{00000000-0005-0000-0000-0000037B0000}"/>
    <cellStyle name="Normal 20 2 13 2 2 7" xfId="15598" xr:uid="{00000000-0005-0000-0000-0000047B0000}"/>
    <cellStyle name="Normal 20 2 13 2 3" xfId="1974" xr:uid="{00000000-0005-0000-0000-0000057B0000}"/>
    <cellStyle name="Normal 20 2 13 2 3 2" xfId="8508" xr:uid="{00000000-0005-0000-0000-0000067B0000}"/>
    <cellStyle name="Normal 20 2 13 2 3 2 2" xfId="40249" xr:uid="{00000000-0005-0000-0000-0000077B0000}"/>
    <cellStyle name="Normal 20 2 13 2 3 2 2 2" xfId="56349" xr:uid="{00000000-0005-0000-0000-0000087B0000}"/>
    <cellStyle name="Normal 20 2 13 2 3 2 3" xfId="46782" xr:uid="{00000000-0005-0000-0000-0000097B0000}"/>
    <cellStyle name="Normal 20 2 13 2 3 2 4" xfId="30682" xr:uid="{00000000-0005-0000-0000-00000A7B0000}"/>
    <cellStyle name="Normal 20 2 13 2 3 2 5" xfId="21113" xr:uid="{00000000-0005-0000-0000-00000B7B0000}"/>
    <cellStyle name="Normal 20 2 13 2 3 3" xfId="11544" xr:uid="{00000000-0005-0000-0000-00000C7B0000}"/>
    <cellStyle name="Normal 20 2 13 2 3 3 2" xfId="49818" xr:uid="{00000000-0005-0000-0000-00000D7B0000}"/>
    <cellStyle name="Normal 20 2 13 2 3 3 3" xfId="33718" xr:uid="{00000000-0005-0000-0000-00000E7B0000}"/>
    <cellStyle name="Normal 20 2 13 2 3 3 4" xfId="24149" xr:uid="{00000000-0005-0000-0000-00000F7B0000}"/>
    <cellStyle name="Normal 20 2 13 2 3 4" xfId="5472" xr:uid="{00000000-0005-0000-0000-0000107B0000}"/>
    <cellStyle name="Normal 20 2 13 2 3 4 2" xfId="53313" xr:uid="{00000000-0005-0000-0000-0000117B0000}"/>
    <cellStyle name="Normal 20 2 13 2 3 4 3" xfId="37213" xr:uid="{00000000-0005-0000-0000-0000127B0000}"/>
    <cellStyle name="Normal 20 2 13 2 3 4 4" xfId="18077" xr:uid="{00000000-0005-0000-0000-0000137B0000}"/>
    <cellStyle name="Normal 20 2 13 2 3 5" xfId="43746" xr:uid="{00000000-0005-0000-0000-0000147B0000}"/>
    <cellStyle name="Normal 20 2 13 2 3 6" xfId="27646" xr:uid="{00000000-0005-0000-0000-0000157B0000}"/>
    <cellStyle name="Normal 20 2 13 2 3 7" xfId="14582" xr:uid="{00000000-0005-0000-0000-0000167B0000}"/>
    <cellStyle name="Normal 20 2 13 2 4" xfId="7498" xr:uid="{00000000-0005-0000-0000-0000177B0000}"/>
    <cellStyle name="Normal 20 2 13 2 4 2" xfId="39239" xr:uid="{00000000-0005-0000-0000-0000187B0000}"/>
    <cellStyle name="Normal 20 2 13 2 4 2 2" xfId="55339" xr:uid="{00000000-0005-0000-0000-0000197B0000}"/>
    <cellStyle name="Normal 20 2 13 2 4 3" xfId="45772" xr:uid="{00000000-0005-0000-0000-00001A7B0000}"/>
    <cellStyle name="Normal 20 2 13 2 4 4" xfId="29672" xr:uid="{00000000-0005-0000-0000-00001B7B0000}"/>
    <cellStyle name="Normal 20 2 13 2 4 5" xfId="20103" xr:uid="{00000000-0005-0000-0000-00001C7B0000}"/>
    <cellStyle name="Normal 20 2 13 2 5" xfId="10534" xr:uid="{00000000-0005-0000-0000-00001D7B0000}"/>
    <cellStyle name="Normal 20 2 13 2 5 2" xfId="48808" xr:uid="{00000000-0005-0000-0000-00001E7B0000}"/>
    <cellStyle name="Normal 20 2 13 2 5 3" xfId="32708" xr:uid="{00000000-0005-0000-0000-00001F7B0000}"/>
    <cellStyle name="Normal 20 2 13 2 5 4" xfId="23139" xr:uid="{00000000-0005-0000-0000-0000207B0000}"/>
    <cellStyle name="Normal 20 2 13 2 6" xfId="4462" xr:uid="{00000000-0005-0000-0000-0000217B0000}"/>
    <cellStyle name="Normal 20 2 13 2 6 2" xfId="52303" xr:uid="{00000000-0005-0000-0000-0000227B0000}"/>
    <cellStyle name="Normal 20 2 13 2 6 3" xfId="36203" xr:uid="{00000000-0005-0000-0000-0000237B0000}"/>
    <cellStyle name="Normal 20 2 13 2 6 4" xfId="17067" xr:uid="{00000000-0005-0000-0000-0000247B0000}"/>
    <cellStyle name="Normal 20 2 13 2 7" xfId="42736" xr:uid="{00000000-0005-0000-0000-0000257B0000}"/>
    <cellStyle name="Normal 20 2 13 2 8" xfId="26636" xr:uid="{00000000-0005-0000-0000-0000267B0000}"/>
    <cellStyle name="Normal 20 2 13 2 9" xfId="13572" xr:uid="{00000000-0005-0000-0000-0000277B0000}"/>
    <cellStyle name="Normal 20 2 13 3" xfId="2542" xr:uid="{00000000-0005-0000-0000-0000287B0000}"/>
    <cellStyle name="Normal 20 2 13 3 2" xfId="9074" xr:uid="{00000000-0005-0000-0000-0000297B0000}"/>
    <cellStyle name="Normal 20 2 13 3 2 2" xfId="40815" xr:uid="{00000000-0005-0000-0000-00002A7B0000}"/>
    <cellStyle name="Normal 20 2 13 3 2 2 2" xfId="56915" xr:uid="{00000000-0005-0000-0000-00002B7B0000}"/>
    <cellStyle name="Normal 20 2 13 3 2 3" xfId="47348" xr:uid="{00000000-0005-0000-0000-00002C7B0000}"/>
    <cellStyle name="Normal 20 2 13 3 2 4" xfId="31248" xr:uid="{00000000-0005-0000-0000-00002D7B0000}"/>
    <cellStyle name="Normal 20 2 13 3 2 5" xfId="21679" xr:uid="{00000000-0005-0000-0000-00002E7B0000}"/>
    <cellStyle name="Normal 20 2 13 3 3" xfId="12110" xr:uid="{00000000-0005-0000-0000-00002F7B0000}"/>
    <cellStyle name="Normal 20 2 13 3 3 2" xfId="50384" xr:uid="{00000000-0005-0000-0000-0000307B0000}"/>
    <cellStyle name="Normal 20 2 13 3 3 3" xfId="34284" xr:uid="{00000000-0005-0000-0000-0000317B0000}"/>
    <cellStyle name="Normal 20 2 13 3 3 4" xfId="24715" xr:uid="{00000000-0005-0000-0000-0000327B0000}"/>
    <cellStyle name="Normal 20 2 13 3 4" xfId="6038" xr:uid="{00000000-0005-0000-0000-0000337B0000}"/>
    <cellStyle name="Normal 20 2 13 3 4 2" xfId="53879" xr:uid="{00000000-0005-0000-0000-0000347B0000}"/>
    <cellStyle name="Normal 20 2 13 3 4 3" xfId="37779" xr:uid="{00000000-0005-0000-0000-0000357B0000}"/>
    <cellStyle name="Normal 20 2 13 3 4 4" xfId="18643" xr:uid="{00000000-0005-0000-0000-0000367B0000}"/>
    <cellStyle name="Normal 20 2 13 3 5" xfId="44312" xr:uid="{00000000-0005-0000-0000-0000377B0000}"/>
    <cellStyle name="Normal 20 2 13 3 6" xfId="28212" xr:uid="{00000000-0005-0000-0000-0000387B0000}"/>
    <cellStyle name="Normal 20 2 13 3 7" xfId="15148" xr:uid="{00000000-0005-0000-0000-0000397B0000}"/>
    <cellStyle name="Normal 20 2 13 4" xfId="1291" xr:uid="{00000000-0005-0000-0000-00003A7B0000}"/>
    <cellStyle name="Normal 20 2 13 4 2" xfId="7825" xr:uid="{00000000-0005-0000-0000-00003B7B0000}"/>
    <cellStyle name="Normal 20 2 13 4 2 2" xfId="39566" xr:uid="{00000000-0005-0000-0000-00003C7B0000}"/>
    <cellStyle name="Normal 20 2 13 4 2 2 2" xfId="55666" xr:uid="{00000000-0005-0000-0000-00003D7B0000}"/>
    <cellStyle name="Normal 20 2 13 4 2 3" xfId="46099" xr:uid="{00000000-0005-0000-0000-00003E7B0000}"/>
    <cellStyle name="Normal 20 2 13 4 2 4" xfId="29999" xr:uid="{00000000-0005-0000-0000-00003F7B0000}"/>
    <cellStyle name="Normal 20 2 13 4 2 5" xfId="20430" xr:uid="{00000000-0005-0000-0000-0000407B0000}"/>
    <cellStyle name="Normal 20 2 13 4 3" xfId="10861" xr:uid="{00000000-0005-0000-0000-0000417B0000}"/>
    <cellStyle name="Normal 20 2 13 4 3 2" xfId="49135" xr:uid="{00000000-0005-0000-0000-0000427B0000}"/>
    <cellStyle name="Normal 20 2 13 4 3 3" xfId="33035" xr:uid="{00000000-0005-0000-0000-0000437B0000}"/>
    <cellStyle name="Normal 20 2 13 4 3 4" xfId="23466" xr:uid="{00000000-0005-0000-0000-0000447B0000}"/>
    <cellStyle name="Normal 20 2 13 4 4" xfId="4789" xr:uid="{00000000-0005-0000-0000-0000457B0000}"/>
    <cellStyle name="Normal 20 2 13 4 4 2" xfId="52630" xr:uid="{00000000-0005-0000-0000-0000467B0000}"/>
    <cellStyle name="Normal 20 2 13 4 4 3" xfId="36530" xr:uid="{00000000-0005-0000-0000-0000477B0000}"/>
    <cellStyle name="Normal 20 2 13 4 4 4" xfId="17394" xr:uid="{00000000-0005-0000-0000-0000487B0000}"/>
    <cellStyle name="Normal 20 2 13 4 5" xfId="43063" xr:uid="{00000000-0005-0000-0000-0000497B0000}"/>
    <cellStyle name="Normal 20 2 13 4 6" xfId="26963" xr:uid="{00000000-0005-0000-0000-00004A7B0000}"/>
    <cellStyle name="Normal 20 2 13 4 7" xfId="13899" xr:uid="{00000000-0005-0000-0000-00004B7B0000}"/>
    <cellStyle name="Normal 20 2 13 5" xfId="3779" xr:uid="{00000000-0005-0000-0000-00004C7B0000}"/>
    <cellStyle name="Normal 20 2 13 5 2" xfId="35520" xr:uid="{00000000-0005-0000-0000-00004D7B0000}"/>
    <cellStyle name="Normal 20 2 13 5 2 2" xfId="51620" xr:uid="{00000000-0005-0000-0000-00004E7B0000}"/>
    <cellStyle name="Normal 20 2 13 5 3" xfId="42053" xr:uid="{00000000-0005-0000-0000-00004F7B0000}"/>
    <cellStyle name="Normal 20 2 13 5 4" xfId="25953" xr:uid="{00000000-0005-0000-0000-0000507B0000}"/>
    <cellStyle name="Normal 20 2 13 5 5" xfId="16384" xr:uid="{00000000-0005-0000-0000-0000517B0000}"/>
    <cellStyle name="Normal 20 2 13 6" xfId="6815" xr:uid="{00000000-0005-0000-0000-0000527B0000}"/>
    <cellStyle name="Normal 20 2 13 6 2" xfId="38556" xr:uid="{00000000-0005-0000-0000-0000537B0000}"/>
    <cellStyle name="Normal 20 2 13 6 2 2" xfId="54656" xr:uid="{00000000-0005-0000-0000-0000547B0000}"/>
    <cellStyle name="Normal 20 2 13 6 3" xfId="45089" xr:uid="{00000000-0005-0000-0000-0000557B0000}"/>
    <cellStyle name="Normal 20 2 13 6 4" xfId="28989" xr:uid="{00000000-0005-0000-0000-0000567B0000}"/>
    <cellStyle name="Normal 20 2 13 6 5" xfId="19420" xr:uid="{00000000-0005-0000-0000-0000577B0000}"/>
    <cellStyle name="Normal 20 2 13 7" xfId="9851" xr:uid="{00000000-0005-0000-0000-0000587B0000}"/>
    <cellStyle name="Normal 20 2 13 7 2" xfId="48125" xr:uid="{00000000-0005-0000-0000-0000597B0000}"/>
    <cellStyle name="Normal 20 2 13 7 3" xfId="32025" xr:uid="{00000000-0005-0000-0000-00005A7B0000}"/>
    <cellStyle name="Normal 20 2 13 7 4" xfId="22456" xr:uid="{00000000-0005-0000-0000-00005B7B0000}"/>
    <cellStyle name="Normal 20 2 13 8" xfId="3335" xr:uid="{00000000-0005-0000-0000-00005C7B0000}"/>
    <cellStyle name="Normal 20 2 13 8 2" xfId="51176" xr:uid="{00000000-0005-0000-0000-00005D7B0000}"/>
    <cellStyle name="Normal 20 2 13 8 3" xfId="35076" xr:uid="{00000000-0005-0000-0000-00005E7B0000}"/>
    <cellStyle name="Normal 20 2 13 8 4" xfId="15940" xr:uid="{00000000-0005-0000-0000-00005F7B0000}"/>
    <cellStyle name="Normal 20 2 13 9" xfId="41609" xr:uid="{00000000-0005-0000-0000-0000607B0000}"/>
    <cellStyle name="Normal 20 2 14" xfId="742" xr:uid="{00000000-0005-0000-0000-0000617B0000}"/>
    <cellStyle name="Normal 20 2 14 2" xfId="2770" xr:uid="{00000000-0005-0000-0000-0000627B0000}"/>
    <cellStyle name="Normal 20 2 14 2 2" xfId="9302" xr:uid="{00000000-0005-0000-0000-0000637B0000}"/>
    <cellStyle name="Normal 20 2 14 2 2 2" xfId="41043" xr:uid="{00000000-0005-0000-0000-0000647B0000}"/>
    <cellStyle name="Normal 20 2 14 2 2 2 2" xfId="57143" xr:uid="{00000000-0005-0000-0000-0000657B0000}"/>
    <cellStyle name="Normal 20 2 14 2 2 3" xfId="47576" xr:uid="{00000000-0005-0000-0000-0000667B0000}"/>
    <cellStyle name="Normal 20 2 14 2 2 4" xfId="31476" xr:uid="{00000000-0005-0000-0000-0000677B0000}"/>
    <cellStyle name="Normal 20 2 14 2 2 5" xfId="21907" xr:uid="{00000000-0005-0000-0000-0000687B0000}"/>
    <cellStyle name="Normal 20 2 14 2 3" xfId="12338" xr:uid="{00000000-0005-0000-0000-0000697B0000}"/>
    <cellStyle name="Normal 20 2 14 2 3 2" xfId="50612" xr:uid="{00000000-0005-0000-0000-00006A7B0000}"/>
    <cellStyle name="Normal 20 2 14 2 3 3" xfId="34512" xr:uid="{00000000-0005-0000-0000-00006B7B0000}"/>
    <cellStyle name="Normal 20 2 14 2 3 4" xfId="24943" xr:uid="{00000000-0005-0000-0000-00006C7B0000}"/>
    <cellStyle name="Normal 20 2 14 2 4" xfId="6266" xr:uid="{00000000-0005-0000-0000-00006D7B0000}"/>
    <cellStyle name="Normal 20 2 14 2 4 2" xfId="54107" xr:uid="{00000000-0005-0000-0000-00006E7B0000}"/>
    <cellStyle name="Normal 20 2 14 2 4 3" xfId="38007" xr:uid="{00000000-0005-0000-0000-00006F7B0000}"/>
    <cellStyle name="Normal 20 2 14 2 4 4" xfId="18871" xr:uid="{00000000-0005-0000-0000-0000707B0000}"/>
    <cellStyle name="Normal 20 2 14 2 5" xfId="44540" xr:uid="{00000000-0005-0000-0000-0000717B0000}"/>
    <cellStyle name="Normal 20 2 14 2 6" xfId="28440" xr:uid="{00000000-0005-0000-0000-0000727B0000}"/>
    <cellStyle name="Normal 20 2 14 2 7" xfId="15376" xr:uid="{00000000-0005-0000-0000-0000737B0000}"/>
    <cellStyle name="Normal 20 2 14 3" xfId="1752" xr:uid="{00000000-0005-0000-0000-0000747B0000}"/>
    <cellStyle name="Normal 20 2 14 3 2" xfId="8286" xr:uid="{00000000-0005-0000-0000-0000757B0000}"/>
    <cellStyle name="Normal 20 2 14 3 2 2" xfId="40027" xr:uid="{00000000-0005-0000-0000-0000767B0000}"/>
    <cellStyle name="Normal 20 2 14 3 2 2 2" xfId="56127" xr:uid="{00000000-0005-0000-0000-0000777B0000}"/>
    <cellStyle name="Normal 20 2 14 3 2 3" xfId="46560" xr:uid="{00000000-0005-0000-0000-0000787B0000}"/>
    <cellStyle name="Normal 20 2 14 3 2 4" xfId="30460" xr:uid="{00000000-0005-0000-0000-0000797B0000}"/>
    <cellStyle name="Normal 20 2 14 3 2 5" xfId="20891" xr:uid="{00000000-0005-0000-0000-00007A7B0000}"/>
    <cellStyle name="Normal 20 2 14 3 3" xfId="11322" xr:uid="{00000000-0005-0000-0000-00007B7B0000}"/>
    <cellStyle name="Normal 20 2 14 3 3 2" xfId="49596" xr:uid="{00000000-0005-0000-0000-00007C7B0000}"/>
    <cellStyle name="Normal 20 2 14 3 3 3" xfId="33496" xr:uid="{00000000-0005-0000-0000-00007D7B0000}"/>
    <cellStyle name="Normal 20 2 14 3 3 4" xfId="23927" xr:uid="{00000000-0005-0000-0000-00007E7B0000}"/>
    <cellStyle name="Normal 20 2 14 3 4" xfId="5250" xr:uid="{00000000-0005-0000-0000-00007F7B0000}"/>
    <cellStyle name="Normal 20 2 14 3 4 2" xfId="53091" xr:uid="{00000000-0005-0000-0000-0000807B0000}"/>
    <cellStyle name="Normal 20 2 14 3 4 3" xfId="36991" xr:uid="{00000000-0005-0000-0000-0000817B0000}"/>
    <cellStyle name="Normal 20 2 14 3 4 4" xfId="17855" xr:uid="{00000000-0005-0000-0000-0000827B0000}"/>
    <cellStyle name="Normal 20 2 14 3 5" xfId="43524" xr:uid="{00000000-0005-0000-0000-0000837B0000}"/>
    <cellStyle name="Normal 20 2 14 3 6" xfId="27424" xr:uid="{00000000-0005-0000-0000-0000847B0000}"/>
    <cellStyle name="Normal 20 2 14 3 7" xfId="14360" xr:uid="{00000000-0005-0000-0000-0000857B0000}"/>
    <cellStyle name="Normal 20 2 14 4" xfId="7276" xr:uid="{00000000-0005-0000-0000-0000867B0000}"/>
    <cellStyle name="Normal 20 2 14 4 2" xfId="39017" xr:uid="{00000000-0005-0000-0000-0000877B0000}"/>
    <cellStyle name="Normal 20 2 14 4 2 2" xfId="55117" xr:uid="{00000000-0005-0000-0000-0000887B0000}"/>
    <cellStyle name="Normal 20 2 14 4 3" xfId="45550" xr:uid="{00000000-0005-0000-0000-0000897B0000}"/>
    <cellStyle name="Normal 20 2 14 4 4" xfId="29450" xr:uid="{00000000-0005-0000-0000-00008A7B0000}"/>
    <cellStyle name="Normal 20 2 14 4 5" xfId="19881" xr:uid="{00000000-0005-0000-0000-00008B7B0000}"/>
    <cellStyle name="Normal 20 2 14 5" xfId="10312" xr:uid="{00000000-0005-0000-0000-00008C7B0000}"/>
    <cellStyle name="Normal 20 2 14 5 2" xfId="48586" xr:uid="{00000000-0005-0000-0000-00008D7B0000}"/>
    <cellStyle name="Normal 20 2 14 5 3" xfId="32486" xr:uid="{00000000-0005-0000-0000-00008E7B0000}"/>
    <cellStyle name="Normal 20 2 14 5 4" xfId="22917" xr:uid="{00000000-0005-0000-0000-00008F7B0000}"/>
    <cellStyle name="Normal 20 2 14 6" xfId="4240" xr:uid="{00000000-0005-0000-0000-0000907B0000}"/>
    <cellStyle name="Normal 20 2 14 6 2" xfId="52081" xr:uid="{00000000-0005-0000-0000-0000917B0000}"/>
    <cellStyle name="Normal 20 2 14 6 3" xfId="35981" xr:uid="{00000000-0005-0000-0000-0000927B0000}"/>
    <cellStyle name="Normal 20 2 14 6 4" xfId="16845" xr:uid="{00000000-0005-0000-0000-0000937B0000}"/>
    <cellStyle name="Normal 20 2 14 7" xfId="42514" xr:uid="{00000000-0005-0000-0000-0000947B0000}"/>
    <cellStyle name="Normal 20 2 14 8" xfId="26414" xr:uid="{00000000-0005-0000-0000-0000957B0000}"/>
    <cellStyle name="Normal 20 2 14 9" xfId="13350" xr:uid="{00000000-0005-0000-0000-0000967B0000}"/>
    <cellStyle name="Normal 20 2 15" xfId="2079" xr:uid="{00000000-0005-0000-0000-0000977B0000}"/>
    <cellStyle name="Normal 20 2 15 2" xfId="8613" xr:uid="{00000000-0005-0000-0000-0000987B0000}"/>
    <cellStyle name="Normal 20 2 15 2 2" xfId="40354" xr:uid="{00000000-0005-0000-0000-0000997B0000}"/>
    <cellStyle name="Normal 20 2 15 2 2 2" xfId="56454" xr:uid="{00000000-0005-0000-0000-00009A7B0000}"/>
    <cellStyle name="Normal 20 2 15 2 3" xfId="46887" xr:uid="{00000000-0005-0000-0000-00009B7B0000}"/>
    <cellStyle name="Normal 20 2 15 2 4" xfId="30787" xr:uid="{00000000-0005-0000-0000-00009C7B0000}"/>
    <cellStyle name="Normal 20 2 15 2 5" xfId="21218" xr:uid="{00000000-0005-0000-0000-00009D7B0000}"/>
    <cellStyle name="Normal 20 2 15 3" xfId="11649" xr:uid="{00000000-0005-0000-0000-00009E7B0000}"/>
    <cellStyle name="Normal 20 2 15 3 2" xfId="49923" xr:uid="{00000000-0005-0000-0000-00009F7B0000}"/>
    <cellStyle name="Normal 20 2 15 3 3" xfId="33823" xr:uid="{00000000-0005-0000-0000-0000A07B0000}"/>
    <cellStyle name="Normal 20 2 15 3 4" xfId="24254" xr:uid="{00000000-0005-0000-0000-0000A17B0000}"/>
    <cellStyle name="Normal 20 2 15 4" xfId="5577" xr:uid="{00000000-0005-0000-0000-0000A27B0000}"/>
    <cellStyle name="Normal 20 2 15 4 2" xfId="53418" xr:uid="{00000000-0005-0000-0000-0000A37B0000}"/>
    <cellStyle name="Normal 20 2 15 4 3" xfId="37318" xr:uid="{00000000-0005-0000-0000-0000A47B0000}"/>
    <cellStyle name="Normal 20 2 15 4 4" xfId="18182" xr:uid="{00000000-0005-0000-0000-0000A57B0000}"/>
    <cellStyle name="Normal 20 2 15 5" xfId="43851" xr:uid="{00000000-0005-0000-0000-0000A67B0000}"/>
    <cellStyle name="Normal 20 2 15 6" xfId="27751" xr:uid="{00000000-0005-0000-0000-0000A77B0000}"/>
    <cellStyle name="Normal 20 2 15 7" xfId="14687" xr:uid="{00000000-0005-0000-0000-0000A87B0000}"/>
    <cellStyle name="Normal 20 2 16" xfId="1069" xr:uid="{00000000-0005-0000-0000-0000A97B0000}"/>
    <cellStyle name="Normal 20 2 16 2" xfId="7603" xr:uid="{00000000-0005-0000-0000-0000AA7B0000}"/>
    <cellStyle name="Normal 20 2 16 2 2" xfId="39344" xr:uid="{00000000-0005-0000-0000-0000AB7B0000}"/>
    <cellStyle name="Normal 20 2 16 2 2 2" xfId="55444" xr:uid="{00000000-0005-0000-0000-0000AC7B0000}"/>
    <cellStyle name="Normal 20 2 16 2 3" xfId="45877" xr:uid="{00000000-0005-0000-0000-0000AD7B0000}"/>
    <cellStyle name="Normal 20 2 16 2 4" xfId="29777" xr:uid="{00000000-0005-0000-0000-0000AE7B0000}"/>
    <cellStyle name="Normal 20 2 16 2 5" xfId="20208" xr:uid="{00000000-0005-0000-0000-0000AF7B0000}"/>
    <cellStyle name="Normal 20 2 16 3" xfId="10639" xr:uid="{00000000-0005-0000-0000-0000B07B0000}"/>
    <cellStyle name="Normal 20 2 16 3 2" xfId="48913" xr:uid="{00000000-0005-0000-0000-0000B17B0000}"/>
    <cellStyle name="Normal 20 2 16 3 3" xfId="32813" xr:uid="{00000000-0005-0000-0000-0000B27B0000}"/>
    <cellStyle name="Normal 20 2 16 3 4" xfId="23244" xr:uid="{00000000-0005-0000-0000-0000B37B0000}"/>
    <cellStyle name="Normal 20 2 16 4" xfId="4567" xr:uid="{00000000-0005-0000-0000-0000B47B0000}"/>
    <cellStyle name="Normal 20 2 16 4 2" xfId="52408" xr:uid="{00000000-0005-0000-0000-0000B57B0000}"/>
    <cellStyle name="Normal 20 2 16 4 3" xfId="36308" xr:uid="{00000000-0005-0000-0000-0000B67B0000}"/>
    <cellStyle name="Normal 20 2 16 4 4" xfId="17172" xr:uid="{00000000-0005-0000-0000-0000B77B0000}"/>
    <cellStyle name="Normal 20 2 16 5" xfId="42841" xr:uid="{00000000-0005-0000-0000-0000B87B0000}"/>
    <cellStyle name="Normal 20 2 16 6" xfId="26741" xr:uid="{00000000-0005-0000-0000-0000B97B0000}"/>
    <cellStyle name="Normal 20 2 16 7" xfId="13677" xr:uid="{00000000-0005-0000-0000-0000BA7B0000}"/>
    <cellStyle name="Normal 20 2 17" xfId="3557" xr:uid="{00000000-0005-0000-0000-0000BB7B0000}"/>
    <cellStyle name="Normal 20 2 17 2" xfId="35298" xr:uid="{00000000-0005-0000-0000-0000BC7B0000}"/>
    <cellStyle name="Normal 20 2 17 2 2" xfId="51398" xr:uid="{00000000-0005-0000-0000-0000BD7B0000}"/>
    <cellStyle name="Normal 20 2 17 3" xfId="41831" xr:uid="{00000000-0005-0000-0000-0000BE7B0000}"/>
    <cellStyle name="Normal 20 2 17 4" xfId="25731" xr:uid="{00000000-0005-0000-0000-0000BF7B0000}"/>
    <cellStyle name="Normal 20 2 17 5" xfId="16162" xr:uid="{00000000-0005-0000-0000-0000C07B0000}"/>
    <cellStyle name="Normal 20 2 18" xfId="6593" xr:uid="{00000000-0005-0000-0000-0000C17B0000}"/>
    <cellStyle name="Normal 20 2 18 2" xfId="38334" xr:uid="{00000000-0005-0000-0000-0000C27B0000}"/>
    <cellStyle name="Normal 20 2 18 2 2" xfId="54434" xr:uid="{00000000-0005-0000-0000-0000C37B0000}"/>
    <cellStyle name="Normal 20 2 18 3" xfId="44867" xr:uid="{00000000-0005-0000-0000-0000C47B0000}"/>
    <cellStyle name="Normal 20 2 18 4" xfId="28767" xr:uid="{00000000-0005-0000-0000-0000C57B0000}"/>
    <cellStyle name="Normal 20 2 18 5" xfId="19198" xr:uid="{00000000-0005-0000-0000-0000C67B0000}"/>
    <cellStyle name="Normal 20 2 19" xfId="9629" xr:uid="{00000000-0005-0000-0000-0000C77B0000}"/>
    <cellStyle name="Normal 20 2 19 2" xfId="47903" xr:uid="{00000000-0005-0000-0000-0000C87B0000}"/>
    <cellStyle name="Normal 20 2 19 3" xfId="31803" xr:uid="{00000000-0005-0000-0000-0000C97B0000}"/>
    <cellStyle name="Normal 20 2 19 4" xfId="22234" xr:uid="{00000000-0005-0000-0000-0000CA7B0000}"/>
    <cellStyle name="Normal 20 2 2" xfId="74" xr:uid="{00000000-0005-0000-0000-0000CB7B0000}"/>
    <cellStyle name="Normal 20 2 2 10" xfId="3575" xr:uid="{00000000-0005-0000-0000-0000CC7B0000}"/>
    <cellStyle name="Normal 20 2 2 10 2" xfId="35316" xr:uid="{00000000-0005-0000-0000-0000CD7B0000}"/>
    <cellStyle name="Normal 20 2 2 10 2 2" xfId="51416" xr:uid="{00000000-0005-0000-0000-0000CE7B0000}"/>
    <cellStyle name="Normal 20 2 2 10 3" xfId="41849" xr:uid="{00000000-0005-0000-0000-0000CF7B0000}"/>
    <cellStyle name="Normal 20 2 2 10 4" xfId="25749" xr:uid="{00000000-0005-0000-0000-0000D07B0000}"/>
    <cellStyle name="Normal 20 2 2 10 5" xfId="16180" xr:uid="{00000000-0005-0000-0000-0000D17B0000}"/>
    <cellStyle name="Normal 20 2 2 11" xfId="6611" xr:uid="{00000000-0005-0000-0000-0000D27B0000}"/>
    <cellStyle name="Normal 20 2 2 11 2" xfId="38352" xr:uid="{00000000-0005-0000-0000-0000D37B0000}"/>
    <cellStyle name="Normal 20 2 2 11 2 2" xfId="54452" xr:uid="{00000000-0005-0000-0000-0000D47B0000}"/>
    <cellStyle name="Normal 20 2 2 11 3" xfId="44885" xr:uid="{00000000-0005-0000-0000-0000D57B0000}"/>
    <cellStyle name="Normal 20 2 2 11 4" xfId="28785" xr:uid="{00000000-0005-0000-0000-0000D67B0000}"/>
    <cellStyle name="Normal 20 2 2 11 5" xfId="19216" xr:uid="{00000000-0005-0000-0000-0000D77B0000}"/>
    <cellStyle name="Normal 20 2 2 12" xfId="9647" xr:uid="{00000000-0005-0000-0000-0000D87B0000}"/>
    <cellStyle name="Normal 20 2 2 12 2" xfId="47921" xr:uid="{00000000-0005-0000-0000-0000D97B0000}"/>
    <cellStyle name="Normal 20 2 2 12 3" xfId="31821" xr:uid="{00000000-0005-0000-0000-0000DA7B0000}"/>
    <cellStyle name="Normal 20 2 2 12 4" xfId="22252" xr:uid="{00000000-0005-0000-0000-0000DB7B0000}"/>
    <cellStyle name="Normal 20 2 2 13" xfId="3115" xr:uid="{00000000-0005-0000-0000-0000DC7B0000}"/>
    <cellStyle name="Normal 20 2 2 13 2" xfId="50957" xr:uid="{00000000-0005-0000-0000-0000DD7B0000}"/>
    <cellStyle name="Normal 20 2 2 13 3" xfId="34857" xr:uid="{00000000-0005-0000-0000-0000DE7B0000}"/>
    <cellStyle name="Normal 20 2 2 13 4" xfId="15721" xr:uid="{00000000-0005-0000-0000-0000DF7B0000}"/>
    <cellStyle name="Normal 20 2 2 14" xfId="41390" xr:uid="{00000000-0005-0000-0000-0000E07B0000}"/>
    <cellStyle name="Normal 20 2 2 15" xfId="25290" xr:uid="{00000000-0005-0000-0000-0000E17B0000}"/>
    <cellStyle name="Normal 20 2 2 16" xfId="12685" xr:uid="{00000000-0005-0000-0000-0000E27B0000}"/>
    <cellStyle name="Normal 20 2 2 2" xfId="145" xr:uid="{00000000-0005-0000-0000-0000E37B0000}"/>
    <cellStyle name="Normal 20 2 2 2 10" xfId="9693" xr:uid="{00000000-0005-0000-0000-0000E47B0000}"/>
    <cellStyle name="Normal 20 2 2 2 10 2" xfId="47967" xr:uid="{00000000-0005-0000-0000-0000E57B0000}"/>
    <cellStyle name="Normal 20 2 2 2 10 3" xfId="31867" xr:uid="{00000000-0005-0000-0000-0000E67B0000}"/>
    <cellStyle name="Normal 20 2 2 2 10 4" xfId="22298" xr:uid="{00000000-0005-0000-0000-0000E77B0000}"/>
    <cellStyle name="Normal 20 2 2 2 11" xfId="3161" xr:uid="{00000000-0005-0000-0000-0000E87B0000}"/>
    <cellStyle name="Normal 20 2 2 2 11 2" xfId="51003" xr:uid="{00000000-0005-0000-0000-0000E97B0000}"/>
    <cellStyle name="Normal 20 2 2 2 11 3" xfId="34903" xr:uid="{00000000-0005-0000-0000-0000EA7B0000}"/>
    <cellStyle name="Normal 20 2 2 2 11 4" xfId="15767" xr:uid="{00000000-0005-0000-0000-0000EB7B0000}"/>
    <cellStyle name="Normal 20 2 2 2 12" xfId="41436" xr:uid="{00000000-0005-0000-0000-0000EC7B0000}"/>
    <cellStyle name="Normal 20 2 2 2 13" xfId="25336" xr:uid="{00000000-0005-0000-0000-0000ED7B0000}"/>
    <cellStyle name="Normal 20 2 2 2 14" xfId="12731" xr:uid="{00000000-0005-0000-0000-0000EE7B0000}"/>
    <cellStyle name="Normal 20 2 2 2 2" xfId="220" xr:uid="{00000000-0005-0000-0000-0000EF7B0000}"/>
    <cellStyle name="Normal 20 2 2 2 2 10" xfId="41673" xr:uid="{00000000-0005-0000-0000-0000F07B0000}"/>
    <cellStyle name="Normal 20 2 2 2 2 11" xfId="25573" xr:uid="{00000000-0005-0000-0000-0000F17B0000}"/>
    <cellStyle name="Normal 20 2 2 2 2 12" xfId="13049" xr:uid="{00000000-0005-0000-0000-0000F27B0000}"/>
    <cellStyle name="Normal 20 2 2 2 2 2" xfId="397" xr:uid="{00000000-0005-0000-0000-0000F37B0000}"/>
    <cellStyle name="Normal 20 2 2 2 2 2 2" xfId="2416" xr:uid="{00000000-0005-0000-0000-0000F47B0000}"/>
    <cellStyle name="Normal 20 2 2 2 2 2 2 2" xfId="8950" xr:uid="{00000000-0005-0000-0000-0000F57B0000}"/>
    <cellStyle name="Normal 20 2 2 2 2 2 2 2 2" xfId="40691" xr:uid="{00000000-0005-0000-0000-0000F67B0000}"/>
    <cellStyle name="Normal 20 2 2 2 2 2 2 2 2 2" xfId="56791" xr:uid="{00000000-0005-0000-0000-0000F77B0000}"/>
    <cellStyle name="Normal 20 2 2 2 2 2 2 2 3" xfId="47224" xr:uid="{00000000-0005-0000-0000-0000F87B0000}"/>
    <cellStyle name="Normal 20 2 2 2 2 2 2 2 4" xfId="31124" xr:uid="{00000000-0005-0000-0000-0000F97B0000}"/>
    <cellStyle name="Normal 20 2 2 2 2 2 2 2 5" xfId="21555" xr:uid="{00000000-0005-0000-0000-0000FA7B0000}"/>
    <cellStyle name="Normal 20 2 2 2 2 2 2 3" xfId="11986" xr:uid="{00000000-0005-0000-0000-0000FB7B0000}"/>
    <cellStyle name="Normal 20 2 2 2 2 2 2 3 2" xfId="50260" xr:uid="{00000000-0005-0000-0000-0000FC7B0000}"/>
    <cellStyle name="Normal 20 2 2 2 2 2 2 3 3" xfId="34160" xr:uid="{00000000-0005-0000-0000-0000FD7B0000}"/>
    <cellStyle name="Normal 20 2 2 2 2 2 2 3 4" xfId="24591" xr:uid="{00000000-0005-0000-0000-0000FE7B0000}"/>
    <cellStyle name="Normal 20 2 2 2 2 2 2 4" xfId="5914" xr:uid="{00000000-0005-0000-0000-0000FF7B0000}"/>
    <cellStyle name="Normal 20 2 2 2 2 2 2 4 2" xfId="53755" xr:uid="{00000000-0005-0000-0000-0000007C0000}"/>
    <cellStyle name="Normal 20 2 2 2 2 2 2 4 3" xfId="37655" xr:uid="{00000000-0005-0000-0000-0000017C0000}"/>
    <cellStyle name="Normal 20 2 2 2 2 2 2 4 4" xfId="18519" xr:uid="{00000000-0005-0000-0000-0000027C0000}"/>
    <cellStyle name="Normal 20 2 2 2 2 2 2 5" xfId="44188" xr:uid="{00000000-0005-0000-0000-0000037C0000}"/>
    <cellStyle name="Normal 20 2 2 2 2 2 2 6" xfId="28088" xr:uid="{00000000-0005-0000-0000-0000047C0000}"/>
    <cellStyle name="Normal 20 2 2 2 2 2 2 7" xfId="15024" xr:uid="{00000000-0005-0000-0000-0000057C0000}"/>
    <cellStyle name="Normal 20 2 2 2 2 2 3" xfId="1628" xr:uid="{00000000-0005-0000-0000-0000067C0000}"/>
    <cellStyle name="Normal 20 2 2 2 2 2 3 2" xfId="8162" xr:uid="{00000000-0005-0000-0000-0000077C0000}"/>
    <cellStyle name="Normal 20 2 2 2 2 2 3 2 2" xfId="39903" xr:uid="{00000000-0005-0000-0000-0000087C0000}"/>
    <cellStyle name="Normal 20 2 2 2 2 2 3 2 2 2" xfId="56003" xr:uid="{00000000-0005-0000-0000-0000097C0000}"/>
    <cellStyle name="Normal 20 2 2 2 2 2 3 2 3" xfId="46436" xr:uid="{00000000-0005-0000-0000-00000A7C0000}"/>
    <cellStyle name="Normal 20 2 2 2 2 2 3 2 4" xfId="30336" xr:uid="{00000000-0005-0000-0000-00000B7C0000}"/>
    <cellStyle name="Normal 20 2 2 2 2 2 3 2 5" xfId="20767" xr:uid="{00000000-0005-0000-0000-00000C7C0000}"/>
    <cellStyle name="Normal 20 2 2 2 2 2 3 3" xfId="11198" xr:uid="{00000000-0005-0000-0000-00000D7C0000}"/>
    <cellStyle name="Normal 20 2 2 2 2 2 3 3 2" xfId="49472" xr:uid="{00000000-0005-0000-0000-00000E7C0000}"/>
    <cellStyle name="Normal 20 2 2 2 2 2 3 3 3" xfId="33372" xr:uid="{00000000-0005-0000-0000-00000F7C0000}"/>
    <cellStyle name="Normal 20 2 2 2 2 2 3 3 4" xfId="23803" xr:uid="{00000000-0005-0000-0000-0000107C0000}"/>
    <cellStyle name="Normal 20 2 2 2 2 2 3 4" xfId="5126" xr:uid="{00000000-0005-0000-0000-0000117C0000}"/>
    <cellStyle name="Normal 20 2 2 2 2 2 3 4 2" xfId="52967" xr:uid="{00000000-0005-0000-0000-0000127C0000}"/>
    <cellStyle name="Normal 20 2 2 2 2 2 3 4 3" xfId="36867" xr:uid="{00000000-0005-0000-0000-0000137C0000}"/>
    <cellStyle name="Normal 20 2 2 2 2 2 3 4 4" xfId="17731" xr:uid="{00000000-0005-0000-0000-0000147C0000}"/>
    <cellStyle name="Normal 20 2 2 2 2 2 3 5" xfId="43400" xr:uid="{00000000-0005-0000-0000-0000157C0000}"/>
    <cellStyle name="Normal 20 2 2 2 2 2 3 6" xfId="27300" xr:uid="{00000000-0005-0000-0000-0000167C0000}"/>
    <cellStyle name="Normal 20 2 2 2 2 2 3 7" xfId="14236" xr:uid="{00000000-0005-0000-0000-0000177C0000}"/>
    <cellStyle name="Normal 20 2 2 2 2 2 4" xfId="7152" xr:uid="{00000000-0005-0000-0000-0000187C0000}"/>
    <cellStyle name="Normal 20 2 2 2 2 2 4 2" xfId="38893" xr:uid="{00000000-0005-0000-0000-0000197C0000}"/>
    <cellStyle name="Normal 20 2 2 2 2 2 4 2 2" xfId="54993" xr:uid="{00000000-0005-0000-0000-00001A7C0000}"/>
    <cellStyle name="Normal 20 2 2 2 2 2 4 3" xfId="45426" xr:uid="{00000000-0005-0000-0000-00001B7C0000}"/>
    <cellStyle name="Normal 20 2 2 2 2 2 4 4" xfId="29326" xr:uid="{00000000-0005-0000-0000-00001C7C0000}"/>
    <cellStyle name="Normal 20 2 2 2 2 2 4 5" xfId="19757" xr:uid="{00000000-0005-0000-0000-00001D7C0000}"/>
    <cellStyle name="Normal 20 2 2 2 2 2 5" xfId="10188" xr:uid="{00000000-0005-0000-0000-00001E7C0000}"/>
    <cellStyle name="Normal 20 2 2 2 2 2 5 2" xfId="48462" xr:uid="{00000000-0005-0000-0000-00001F7C0000}"/>
    <cellStyle name="Normal 20 2 2 2 2 2 5 3" xfId="32362" xr:uid="{00000000-0005-0000-0000-0000207C0000}"/>
    <cellStyle name="Normal 20 2 2 2 2 2 5 4" xfId="22793" xr:uid="{00000000-0005-0000-0000-0000217C0000}"/>
    <cellStyle name="Normal 20 2 2 2 2 2 6" xfId="4116" xr:uid="{00000000-0005-0000-0000-0000227C0000}"/>
    <cellStyle name="Normal 20 2 2 2 2 2 6 2" xfId="51957" xr:uid="{00000000-0005-0000-0000-0000237C0000}"/>
    <cellStyle name="Normal 20 2 2 2 2 2 6 3" xfId="35857" xr:uid="{00000000-0005-0000-0000-0000247C0000}"/>
    <cellStyle name="Normal 20 2 2 2 2 2 6 4" xfId="16721" xr:uid="{00000000-0005-0000-0000-0000257C0000}"/>
    <cellStyle name="Normal 20 2 2 2 2 2 7" xfId="42390" xr:uid="{00000000-0005-0000-0000-0000267C0000}"/>
    <cellStyle name="Normal 20 2 2 2 2 2 8" xfId="26290" xr:uid="{00000000-0005-0000-0000-0000277C0000}"/>
    <cellStyle name="Normal 20 2 2 2 2 2 9" xfId="13226" xr:uid="{00000000-0005-0000-0000-0000287C0000}"/>
    <cellStyle name="Normal 20 2 2 2 2 3" xfId="1035" xr:uid="{00000000-0005-0000-0000-0000297C0000}"/>
    <cellStyle name="Normal 20 2 2 2 2 3 2" xfId="3063" xr:uid="{00000000-0005-0000-0000-00002A7C0000}"/>
    <cellStyle name="Normal 20 2 2 2 2 3 2 2" xfId="9595" xr:uid="{00000000-0005-0000-0000-00002B7C0000}"/>
    <cellStyle name="Normal 20 2 2 2 2 3 2 2 2" xfId="41336" xr:uid="{00000000-0005-0000-0000-00002C7C0000}"/>
    <cellStyle name="Normal 20 2 2 2 2 3 2 2 2 2" xfId="57436" xr:uid="{00000000-0005-0000-0000-00002D7C0000}"/>
    <cellStyle name="Normal 20 2 2 2 2 3 2 2 3" xfId="47869" xr:uid="{00000000-0005-0000-0000-00002E7C0000}"/>
    <cellStyle name="Normal 20 2 2 2 2 3 2 2 4" xfId="31769" xr:uid="{00000000-0005-0000-0000-00002F7C0000}"/>
    <cellStyle name="Normal 20 2 2 2 2 3 2 2 5" xfId="22200" xr:uid="{00000000-0005-0000-0000-0000307C0000}"/>
    <cellStyle name="Normal 20 2 2 2 2 3 2 3" xfId="12631" xr:uid="{00000000-0005-0000-0000-0000317C0000}"/>
    <cellStyle name="Normal 20 2 2 2 2 3 2 3 2" xfId="50905" xr:uid="{00000000-0005-0000-0000-0000327C0000}"/>
    <cellStyle name="Normal 20 2 2 2 2 3 2 3 3" xfId="34805" xr:uid="{00000000-0005-0000-0000-0000337C0000}"/>
    <cellStyle name="Normal 20 2 2 2 2 3 2 3 4" xfId="25236" xr:uid="{00000000-0005-0000-0000-0000347C0000}"/>
    <cellStyle name="Normal 20 2 2 2 2 3 2 4" xfId="6559" xr:uid="{00000000-0005-0000-0000-0000357C0000}"/>
    <cellStyle name="Normal 20 2 2 2 2 3 2 4 2" xfId="54400" xr:uid="{00000000-0005-0000-0000-0000367C0000}"/>
    <cellStyle name="Normal 20 2 2 2 2 3 2 4 3" xfId="38300" xr:uid="{00000000-0005-0000-0000-0000377C0000}"/>
    <cellStyle name="Normal 20 2 2 2 2 3 2 4 4" xfId="19164" xr:uid="{00000000-0005-0000-0000-0000387C0000}"/>
    <cellStyle name="Normal 20 2 2 2 2 3 2 5" xfId="44833" xr:uid="{00000000-0005-0000-0000-0000397C0000}"/>
    <cellStyle name="Normal 20 2 2 2 2 3 2 6" xfId="28733" xr:uid="{00000000-0005-0000-0000-00003A7C0000}"/>
    <cellStyle name="Normal 20 2 2 2 2 3 2 7" xfId="15669" xr:uid="{00000000-0005-0000-0000-00003B7C0000}"/>
    <cellStyle name="Normal 20 2 2 2 2 3 3" xfId="2045" xr:uid="{00000000-0005-0000-0000-00003C7C0000}"/>
    <cellStyle name="Normal 20 2 2 2 2 3 3 2" xfId="8579" xr:uid="{00000000-0005-0000-0000-00003D7C0000}"/>
    <cellStyle name="Normal 20 2 2 2 2 3 3 2 2" xfId="40320" xr:uid="{00000000-0005-0000-0000-00003E7C0000}"/>
    <cellStyle name="Normal 20 2 2 2 2 3 3 2 2 2" xfId="56420" xr:uid="{00000000-0005-0000-0000-00003F7C0000}"/>
    <cellStyle name="Normal 20 2 2 2 2 3 3 2 3" xfId="46853" xr:uid="{00000000-0005-0000-0000-0000407C0000}"/>
    <cellStyle name="Normal 20 2 2 2 2 3 3 2 4" xfId="30753" xr:uid="{00000000-0005-0000-0000-0000417C0000}"/>
    <cellStyle name="Normal 20 2 2 2 2 3 3 2 5" xfId="21184" xr:uid="{00000000-0005-0000-0000-0000427C0000}"/>
    <cellStyle name="Normal 20 2 2 2 2 3 3 3" xfId="11615" xr:uid="{00000000-0005-0000-0000-0000437C0000}"/>
    <cellStyle name="Normal 20 2 2 2 2 3 3 3 2" xfId="49889" xr:uid="{00000000-0005-0000-0000-0000447C0000}"/>
    <cellStyle name="Normal 20 2 2 2 2 3 3 3 3" xfId="33789" xr:uid="{00000000-0005-0000-0000-0000457C0000}"/>
    <cellStyle name="Normal 20 2 2 2 2 3 3 3 4" xfId="24220" xr:uid="{00000000-0005-0000-0000-0000467C0000}"/>
    <cellStyle name="Normal 20 2 2 2 2 3 3 4" xfId="5543" xr:uid="{00000000-0005-0000-0000-0000477C0000}"/>
    <cellStyle name="Normal 20 2 2 2 2 3 3 4 2" xfId="53384" xr:uid="{00000000-0005-0000-0000-0000487C0000}"/>
    <cellStyle name="Normal 20 2 2 2 2 3 3 4 3" xfId="37284" xr:uid="{00000000-0005-0000-0000-0000497C0000}"/>
    <cellStyle name="Normal 20 2 2 2 2 3 3 4 4" xfId="18148" xr:uid="{00000000-0005-0000-0000-00004A7C0000}"/>
    <cellStyle name="Normal 20 2 2 2 2 3 3 5" xfId="43817" xr:uid="{00000000-0005-0000-0000-00004B7C0000}"/>
    <cellStyle name="Normal 20 2 2 2 2 3 3 6" xfId="27717" xr:uid="{00000000-0005-0000-0000-00004C7C0000}"/>
    <cellStyle name="Normal 20 2 2 2 2 3 3 7" xfId="14653" xr:uid="{00000000-0005-0000-0000-00004D7C0000}"/>
    <cellStyle name="Normal 20 2 2 2 2 3 4" xfId="7569" xr:uid="{00000000-0005-0000-0000-00004E7C0000}"/>
    <cellStyle name="Normal 20 2 2 2 2 3 4 2" xfId="39310" xr:uid="{00000000-0005-0000-0000-00004F7C0000}"/>
    <cellStyle name="Normal 20 2 2 2 2 3 4 2 2" xfId="55410" xr:uid="{00000000-0005-0000-0000-0000507C0000}"/>
    <cellStyle name="Normal 20 2 2 2 2 3 4 3" xfId="45843" xr:uid="{00000000-0005-0000-0000-0000517C0000}"/>
    <cellStyle name="Normal 20 2 2 2 2 3 4 4" xfId="29743" xr:uid="{00000000-0005-0000-0000-0000527C0000}"/>
    <cellStyle name="Normal 20 2 2 2 2 3 4 5" xfId="20174" xr:uid="{00000000-0005-0000-0000-0000537C0000}"/>
    <cellStyle name="Normal 20 2 2 2 2 3 5" xfId="10605" xr:uid="{00000000-0005-0000-0000-0000547C0000}"/>
    <cellStyle name="Normal 20 2 2 2 2 3 5 2" xfId="48879" xr:uid="{00000000-0005-0000-0000-0000557C0000}"/>
    <cellStyle name="Normal 20 2 2 2 2 3 5 3" xfId="32779" xr:uid="{00000000-0005-0000-0000-0000567C0000}"/>
    <cellStyle name="Normal 20 2 2 2 2 3 5 4" xfId="23210" xr:uid="{00000000-0005-0000-0000-0000577C0000}"/>
    <cellStyle name="Normal 20 2 2 2 2 3 6" xfId="4533" xr:uid="{00000000-0005-0000-0000-0000587C0000}"/>
    <cellStyle name="Normal 20 2 2 2 2 3 6 2" xfId="52374" xr:uid="{00000000-0005-0000-0000-0000597C0000}"/>
    <cellStyle name="Normal 20 2 2 2 2 3 6 3" xfId="36274" xr:uid="{00000000-0005-0000-0000-00005A7C0000}"/>
    <cellStyle name="Normal 20 2 2 2 2 3 6 4" xfId="17138" xr:uid="{00000000-0005-0000-0000-00005B7C0000}"/>
    <cellStyle name="Normal 20 2 2 2 2 3 7" xfId="42807" xr:uid="{00000000-0005-0000-0000-00005C7C0000}"/>
    <cellStyle name="Normal 20 2 2 2 2 3 8" xfId="26707" xr:uid="{00000000-0005-0000-0000-00005D7C0000}"/>
    <cellStyle name="Normal 20 2 2 2 2 3 9" xfId="13643" xr:uid="{00000000-0005-0000-0000-00005E7C0000}"/>
    <cellStyle name="Normal 20 2 2 2 2 4" xfId="2239" xr:uid="{00000000-0005-0000-0000-00005F7C0000}"/>
    <cellStyle name="Normal 20 2 2 2 2 4 2" xfId="8773" xr:uid="{00000000-0005-0000-0000-0000607C0000}"/>
    <cellStyle name="Normal 20 2 2 2 2 4 2 2" xfId="40514" xr:uid="{00000000-0005-0000-0000-0000617C0000}"/>
    <cellStyle name="Normal 20 2 2 2 2 4 2 2 2" xfId="56614" xr:uid="{00000000-0005-0000-0000-0000627C0000}"/>
    <cellStyle name="Normal 20 2 2 2 2 4 2 3" xfId="47047" xr:uid="{00000000-0005-0000-0000-0000637C0000}"/>
    <cellStyle name="Normal 20 2 2 2 2 4 2 4" xfId="30947" xr:uid="{00000000-0005-0000-0000-0000647C0000}"/>
    <cellStyle name="Normal 20 2 2 2 2 4 2 5" xfId="21378" xr:uid="{00000000-0005-0000-0000-0000657C0000}"/>
    <cellStyle name="Normal 20 2 2 2 2 4 3" xfId="11809" xr:uid="{00000000-0005-0000-0000-0000667C0000}"/>
    <cellStyle name="Normal 20 2 2 2 2 4 3 2" xfId="50083" xr:uid="{00000000-0005-0000-0000-0000677C0000}"/>
    <cellStyle name="Normal 20 2 2 2 2 4 3 3" xfId="33983" xr:uid="{00000000-0005-0000-0000-0000687C0000}"/>
    <cellStyle name="Normal 20 2 2 2 2 4 3 4" xfId="24414" xr:uid="{00000000-0005-0000-0000-0000697C0000}"/>
    <cellStyle name="Normal 20 2 2 2 2 4 4" xfId="5737" xr:uid="{00000000-0005-0000-0000-00006A7C0000}"/>
    <cellStyle name="Normal 20 2 2 2 2 4 4 2" xfId="53578" xr:uid="{00000000-0005-0000-0000-00006B7C0000}"/>
    <cellStyle name="Normal 20 2 2 2 2 4 4 3" xfId="37478" xr:uid="{00000000-0005-0000-0000-00006C7C0000}"/>
    <cellStyle name="Normal 20 2 2 2 2 4 4 4" xfId="18342" xr:uid="{00000000-0005-0000-0000-00006D7C0000}"/>
    <cellStyle name="Normal 20 2 2 2 2 4 5" xfId="44011" xr:uid="{00000000-0005-0000-0000-00006E7C0000}"/>
    <cellStyle name="Normal 20 2 2 2 2 4 6" xfId="27911" xr:uid="{00000000-0005-0000-0000-00006F7C0000}"/>
    <cellStyle name="Normal 20 2 2 2 2 4 7" xfId="14847" xr:uid="{00000000-0005-0000-0000-0000707C0000}"/>
    <cellStyle name="Normal 20 2 2 2 2 5" xfId="1451" xr:uid="{00000000-0005-0000-0000-0000717C0000}"/>
    <cellStyle name="Normal 20 2 2 2 2 5 2" xfId="7985" xr:uid="{00000000-0005-0000-0000-0000727C0000}"/>
    <cellStyle name="Normal 20 2 2 2 2 5 2 2" xfId="39726" xr:uid="{00000000-0005-0000-0000-0000737C0000}"/>
    <cellStyle name="Normal 20 2 2 2 2 5 2 2 2" xfId="55826" xr:uid="{00000000-0005-0000-0000-0000747C0000}"/>
    <cellStyle name="Normal 20 2 2 2 2 5 2 3" xfId="46259" xr:uid="{00000000-0005-0000-0000-0000757C0000}"/>
    <cellStyle name="Normal 20 2 2 2 2 5 2 4" xfId="30159" xr:uid="{00000000-0005-0000-0000-0000767C0000}"/>
    <cellStyle name="Normal 20 2 2 2 2 5 2 5" xfId="20590" xr:uid="{00000000-0005-0000-0000-0000777C0000}"/>
    <cellStyle name="Normal 20 2 2 2 2 5 3" xfId="11021" xr:uid="{00000000-0005-0000-0000-0000787C0000}"/>
    <cellStyle name="Normal 20 2 2 2 2 5 3 2" xfId="49295" xr:uid="{00000000-0005-0000-0000-0000797C0000}"/>
    <cellStyle name="Normal 20 2 2 2 2 5 3 3" xfId="33195" xr:uid="{00000000-0005-0000-0000-00007A7C0000}"/>
    <cellStyle name="Normal 20 2 2 2 2 5 3 4" xfId="23626" xr:uid="{00000000-0005-0000-0000-00007B7C0000}"/>
    <cellStyle name="Normal 20 2 2 2 2 5 4" xfId="4949" xr:uid="{00000000-0005-0000-0000-00007C7C0000}"/>
    <cellStyle name="Normal 20 2 2 2 2 5 4 2" xfId="52790" xr:uid="{00000000-0005-0000-0000-00007D7C0000}"/>
    <cellStyle name="Normal 20 2 2 2 2 5 4 3" xfId="36690" xr:uid="{00000000-0005-0000-0000-00007E7C0000}"/>
    <cellStyle name="Normal 20 2 2 2 2 5 4 4" xfId="17554" xr:uid="{00000000-0005-0000-0000-00007F7C0000}"/>
    <cellStyle name="Normal 20 2 2 2 2 5 5" xfId="43223" xr:uid="{00000000-0005-0000-0000-0000807C0000}"/>
    <cellStyle name="Normal 20 2 2 2 2 5 6" xfId="27123" xr:uid="{00000000-0005-0000-0000-0000817C0000}"/>
    <cellStyle name="Normal 20 2 2 2 2 5 7" xfId="14059" xr:uid="{00000000-0005-0000-0000-0000827C0000}"/>
    <cellStyle name="Normal 20 2 2 2 2 6" xfId="3939" xr:uid="{00000000-0005-0000-0000-0000837C0000}"/>
    <cellStyle name="Normal 20 2 2 2 2 6 2" xfId="35680" xr:uid="{00000000-0005-0000-0000-0000847C0000}"/>
    <cellStyle name="Normal 20 2 2 2 2 6 2 2" xfId="51780" xr:uid="{00000000-0005-0000-0000-0000857C0000}"/>
    <cellStyle name="Normal 20 2 2 2 2 6 3" xfId="42213" xr:uid="{00000000-0005-0000-0000-0000867C0000}"/>
    <cellStyle name="Normal 20 2 2 2 2 6 4" xfId="26113" xr:uid="{00000000-0005-0000-0000-0000877C0000}"/>
    <cellStyle name="Normal 20 2 2 2 2 6 5" xfId="16544" xr:uid="{00000000-0005-0000-0000-0000887C0000}"/>
    <cellStyle name="Normal 20 2 2 2 2 7" xfId="6975" xr:uid="{00000000-0005-0000-0000-0000897C0000}"/>
    <cellStyle name="Normal 20 2 2 2 2 7 2" xfId="38716" xr:uid="{00000000-0005-0000-0000-00008A7C0000}"/>
    <cellStyle name="Normal 20 2 2 2 2 7 2 2" xfId="54816" xr:uid="{00000000-0005-0000-0000-00008B7C0000}"/>
    <cellStyle name="Normal 20 2 2 2 2 7 3" xfId="45249" xr:uid="{00000000-0005-0000-0000-00008C7C0000}"/>
    <cellStyle name="Normal 20 2 2 2 2 7 4" xfId="29149" xr:uid="{00000000-0005-0000-0000-00008D7C0000}"/>
    <cellStyle name="Normal 20 2 2 2 2 7 5" xfId="19580" xr:uid="{00000000-0005-0000-0000-00008E7C0000}"/>
    <cellStyle name="Normal 20 2 2 2 2 8" xfId="10011" xr:uid="{00000000-0005-0000-0000-00008F7C0000}"/>
    <cellStyle name="Normal 20 2 2 2 2 8 2" xfId="48285" xr:uid="{00000000-0005-0000-0000-0000907C0000}"/>
    <cellStyle name="Normal 20 2 2 2 2 8 3" xfId="32185" xr:uid="{00000000-0005-0000-0000-0000917C0000}"/>
    <cellStyle name="Normal 20 2 2 2 2 8 4" xfId="22616" xr:uid="{00000000-0005-0000-0000-0000927C0000}"/>
    <cellStyle name="Normal 20 2 2 2 2 9" xfId="3399" xr:uid="{00000000-0005-0000-0000-0000937C0000}"/>
    <cellStyle name="Normal 20 2 2 2 2 9 2" xfId="51240" xr:uid="{00000000-0005-0000-0000-0000947C0000}"/>
    <cellStyle name="Normal 20 2 2 2 2 9 3" xfId="35140" xr:uid="{00000000-0005-0000-0000-0000957C0000}"/>
    <cellStyle name="Normal 20 2 2 2 2 9 4" xfId="16004" xr:uid="{00000000-0005-0000-0000-0000967C0000}"/>
    <cellStyle name="Normal 20 2 2 2 3" xfId="326" xr:uid="{00000000-0005-0000-0000-0000977C0000}"/>
    <cellStyle name="Normal 20 2 2 2 3 2" xfId="2345" xr:uid="{00000000-0005-0000-0000-0000987C0000}"/>
    <cellStyle name="Normal 20 2 2 2 3 2 2" xfId="8879" xr:uid="{00000000-0005-0000-0000-0000997C0000}"/>
    <cellStyle name="Normal 20 2 2 2 3 2 2 2" xfId="40620" xr:uid="{00000000-0005-0000-0000-00009A7C0000}"/>
    <cellStyle name="Normal 20 2 2 2 3 2 2 2 2" xfId="56720" xr:uid="{00000000-0005-0000-0000-00009B7C0000}"/>
    <cellStyle name="Normal 20 2 2 2 3 2 2 3" xfId="47153" xr:uid="{00000000-0005-0000-0000-00009C7C0000}"/>
    <cellStyle name="Normal 20 2 2 2 3 2 2 4" xfId="31053" xr:uid="{00000000-0005-0000-0000-00009D7C0000}"/>
    <cellStyle name="Normal 20 2 2 2 3 2 2 5" xfId="21484" xr:uid="{00000000-0005-0000-0000-00009E7C0000}"/>
    <cellStyle name="Normal 20 2 2 2 3 2 3" xfId="11915" xr:uid="{00000000-0005-0000-0000-00009F7C0000}"/>
    <cellStyle name="Normal 20 2 2 2 3 2 3 2" xfId="50189" xr:uid="{00000000-0005-0000-0000-0000A07C0000}"/>
    <cellStyle name="Normal 20 2 2 2 3 2 3 3" xfId="34089" xr:uid="{00000000-0005-0000-0000-0000A17C0000}"/>
    <cellStyle name="Normal 20 2 2 2 3 2 3 4" xfId="24520" xr:uid="{00000000-0005-0000-0000-0000A27C0000}"/>
    <cellStyle name="Normal 20 2 2 2 3 2 4" xfId="5843" xr:uid="{00000000-0005-0000-0000-0000A37C0000}"/>
    <cellStyle name="Normal 20 2 2 2 3 2 4 2" xfId="53684" xr:uid="{00000000-0005-0000-0000-0000A47C0000}"/>
    <cellStyle name="Normal 20 2 2 2 3 2 4 3" xfId="37584" xr:uid="{00000000-0005-0000-0000-0000A57C0000}"/>
    <cellStyle name="Normal 20 2 2 2 3 2 4 4" xfId="18448" xr:uid="{00000000-0005-0000-0000-0000A67C0000}"/>
    <cellStyle name="Normal 20 2 2 2 3 2 5" xfId="44117" xr:uid="{00000000-0005-0000-0000-0000A77C0000}"/>
    <cellStyle name="Normal 20 2 2 2 3 2 6" xfId="28017" xr:uid="{00000000-0005-0000-0000-0000A87C0000}"/>
    <cellStyle name="Normal 20 2 2 2 3 2 7" xfId="14953" xr:uid="{00000000-0005-0000-0000-0000A97C0000}"/>
    <cellStyle name="Normal 20 2 2 2 3 3" xfId="1557" xr:uid="{00000000-0005-0000-0000-0000AA7C0000}"/>
    <cellStyle name="Normal 20 2 2 2 3 3 2" xfId="8091" xr:uid="{00000000-0005-0000-0000-0000AB7C0000}"/>
    <cellStyle name="Normal 20 2 2 2 3 3 2 2" xfId="39832" xr:uid="{00000000-0005-0000-0000-0000AC7C0000}"/>
    <cellStyle name="Normal 20 2 2 2 3 3 2 2 2" xfId="55932" xr:uid="{00000000-0005-0000-0000-0000AD7C0000}"/>
    <cellStyle name="Normal 20 2 2 2 3 3 2 3" xfId="46365" xr:uid="{00000000-0005-0000-0000-0000AE7C0000}"/>
    <cellStyle name="Normal 20 2 2 2 3 3 2 4" xfId="30265" xr:uid="{00000000-0005-0000-0000-0000AF7C0000}"/>
    <cellStyle name="Normal 20 2 2 2 3 3 2 5" xfId="20696" xr:uid="{00000000-0005-0000-0000-0000B07C0000}"/>
    <cellStyle name="Normal 20 2 2 2 3 3 3" xfId="11127" xr:uid="{00000000-0005-0000-0000-0000B17C0000}"/>
    <cellStyle name="Normal 20 2 2 2 3 3 3 2" xfId="49401" xr:uid="{00000000-0005-0000-0000-0000B27C0000}"/>
    <cellStyle name="Normal 20 2 2 2 3 3 3 3" xfId="33301" xr:uid="{00000000-0005-0000-0000-0000B37C0000}"/>
    <cellStyle name="Normal 20 2 2 2 3 3 3 4" xfId="23732" xr:uid="{00000000-0005-0000-0000-0000B47C0000}"/>
    <cellStyle name="Normal 20 2 2 2 3 3 4" xfId="5055" xr:uid="{00000000-0005-0000-0000-0000B57C0000}"/>
    <cellStyle name="Normal 20 2 2 2 3 3 4 2" xfId="52896" xr:uid="{00000000-0005-0000-0000-0000B67C0000}"/>
    <cellStyle name="Normal 20 2 2 2 3 3 4 3" xfId="36796" xr:uid="{00000000-0005-0000-0000-0000B77C0000}"/>
    <cellStyle name="Normal 20 2 2 2 3 3 4 4" xfId="17660" xr:uid="{00000000-0005-0000-0000-0000B87C0000}"/>
    <cellStyle name="Normal 20 2 2 2 3 3 5" xfId="43329" xr:uid="{00000000-0005-0000-0000-0000B97C0000}"/>
    <cellStyle name="Normal 20 2 2 2 3 3 6" xfId="27229" xr:uid="{00000000-0005-0000-0000-0000BA7C0000}"/>
    <cellStyle name="Normal 20 2 2 2 3 3 7" xfId="14165" xr:uid="{00000000-0005-0000-0000-0000BB7C0000}"/>
    <cellStyle name="Normal 20 2 2 2 3 4" xfId="7081" xr:uid="{00000000-0005-0000-0000-0000BC7C0000}"/>
    <cellStyle name="Normal 20 2 2 2 3 4 2" xfId="38822" xr:uid="{00000000-0005-0000-0000-0000BD7C0000}"/>
    <cellStyle name="Normal 20 2 2 2 3 4 2 2" xfId="54922" xr:uid="{00000000-0005-0000-0000-0000BE7C0000}"/>
    <cellStyle name="Normal 20 2 2 2 3 4 3" xfId="45355" xr:uid="{00000000-0005-0000-0000-0000BF7C0000}"/>
    <cellStyle name="Normal 20 2 2 2 3 4 4" xfId="29255" xr:uid="{00000000-0005-0000-0000-0000C07C0000}"/>
    <cellStyle name="Normal 20 2 2 2 3 4 5" xfId="19686" xr:uid="{00000000-0005-0000-0000-0000C17C0000}"/>
    <cellStyle name="Normal 20 2 2 2 3 5" xfId="10117" xr:uid="{00000000-0005-0000-0000-0000C27C0000}"/>
    <cellStyle name="Normal 20 2 2 2 3 5 2" xfId="48391" xr:uid="{00000000-0005-0000-0000-0000C37C0000}"/>
    <cellStyle name="Normal 20 2 2 2 3 5 3" xfId="32291" xr:uid="{00000000-0005-0000-0000-0000C47C0000}"/>
    <cellStyle name="Normal 20 2 2 2 3 5 4" xfId="22722" xr:uid="{00000000-0005-0000-0000-0000C57C0000}"/>
    <cellStyle name="Normal 20 2 2 2 3 6" xfId="4045" xr:uid="{00000000-0005-0000-0000-0000C67C0000}"/>
    <cellStyle name="Normal 20 2 2 2 3 6 2" xfId="51886" xr:uid="{00000000-0005-0000-0000-0000C77C0000}"/>
    <cellStyle name="Normal 20 2 2 2 3 6 3" xfId="35786" xr:uid="{00000000-0005-0000-0000-0000C87C0000}"/>
    <cellStyle name="Normal 20 2 2 2 3 6 4" xfId="16650" xr:uid="{00000000-0005-0000-0000-0000C97C0000}"/>
    <cellStyle name="Normal 20 2 2 2 3 7" xfId="42319" xr:uid="{00000000-0005-0000-0000-0000CA7C0000}"/>
    <cellStyle name="Normal 20 2 2 2 3 8" xfId="26219" xr:uid="{00000000-0005-0000-0000-0000CB7C0000}"/>
    <cellStyle name="Normal 20 2 2 2 3 9" xfId="13155" xr:uid="{00000000-0005-0000-0000-0000CC7C0000}"/>
    <cellStyle name="Normal 20 2 2 2 4" xfId="583" xr:uid="{00000000-0005-0000-0000-0000CD7C0000}"/>
    <cellStyle name="Normal 20 2 2 2 4 2" xfId="2612" xr:uid="{00000000-0005-0000-0000-0000CE7C0000}"/>
    <cellStyle name="Normal 20 2 2 2 4 2 2" xfId="9144" xr:uid="{00000000-0005-0000-0000-0000CF7C0000}"/>
    <cellStyle name="Normal 20 2 2 2 4 2 2 2" xfId="40885" xr:uid="{00000000-0005-0000-0000-0000D07C0000}"/>
    <cellStyle name="Normal 20 2 2 2 4 2 2 2 2" xfId="56985" xr:uid="{00000000-0005-0000-0000-0000D17C0000}"/>
    <cellStyle name="Normal 20 2 2 2 4 2 2 3" xfId="47418" xr:uid="{00000000-0005-0000-0000-0000D27C0000}"/>
    <cellStyle name="Normal 20 2 2 2 4 2 2 4" xfId="31318" xr:uid="{00000000-0005-0000-0000-0000D37C0000}"/>
    <cellStyle name="Normal 20 2 2 2 4 2 2 5" xfId="21749" xr:uid="{00000000-0005-0000-0000-0000D47C0000}"/>
    <cellStyle name="Normal 20 2 2 2 4 2 3" xfId="12180" xr:uid="{00000000-0005-0000-0000-0000D57C0000}"/>
    <cellStyle name="Normal 20 2 2 2 4 2 3 2" xfId="50454" xr:uid="{00000000-0005-0000-0000-0000D67C0000}"/>
    <cellStyle name="Normal 20 2 2 2 4 2 3 3" xfId="34354" xr:uid="{00000000-0005-0000-0000-0000D77C0000}"/>
    <cellStyle name="Normal 20 2 2 2 4 2 3 4" xfId="24785" xr:uid="{00000000-0005-0000-0000-0000D87C0000}"/>
    <cellStyle name="Normal 20 2 2 2 4 2 4" xfId="6108" xr:uid="{00000000-0005-0000-0000-0000D97C0000}"/>
    <cellStyle name="Normal 20 2 2 2 4 2 4 2" xfId="53949" xr:uid="{00000000-0005-0000-0000-0000DA7C0000}"/>
    <cellStyle name="Normal 20 2 2 2 4 2 4 3" xfId="37849" xr:uid="{00000000-0005-0000-0000-0000DB7C0000}"/>
    <cellStyle name="Normal 20 2 2 2 4 2 4 4" xfId="18713" xr:uid="{00000000-0005-0000-0000-0000DC7C0000}"/>
    <cellStyle name="Normal 20 2 2 2 4 2 5" xfId="44382" xr:uid="{00000000-0005-0000-0000-0000DD7C0000}"/>
    <cellStyle name="Normal 20 2 2 2 4 2 6" xfId="28282" xr:uid="{00000000-0005-0000-0000-0000DE7C0000}"/>
    <cellStyle name="Normal 20 2 2 2 4 2 7" xfId="15218" xr:uid="{00000000-0005-0000-0000-0000DF7C0000}"/>
    <cellStyle name="Normal 20 2 2 2 4 3" xfId="1380" xr:uid="{00000000-0005-0000-0000-0000E07C0000}"/>
    <cellStyle name="Normal 20 2 2 2 4 3 2" xfId="7914" xr:uid="{00000000-0005-0000-0000-0000E17C0000}"/>
    <cellStyle name="Normal 20 2 2 2 4 3 2 2" xfId="39655" xr:uid="{00000000-0005-0000-0000-0000E27C0000}"/>
    <cellStyle name="Normal 20 2 2 2 4 3 2 2 2" xfId="55755" xr:uid="{00000000-0005-0000-0000-0000E37C0000}"/>
    <cellStyle name="Normal 20 2 2 2 4 3 2 3" xfId="46188" xr:uid="{00000000-0005-0000-0000-0000E47C0000}"/>
    <cellStyle name="Normal 20 2 2 2 4 3 2 4" xfId="30088" xr:uid="{00000000-0005-0000-0000-0000E57C0000}"/>
    <cellStyle name="Normal 20 2 2 2 4 3 2 5" xfId="20519" xr:uid="{00000000-0005-0000-0000-0000E67C0000}"/>
    <cellStyle name="Normal 20 2 2 2 4 3 3" xfId="10950" xr:uid="{00000000-0005-0000-0000-0000E77C0000}"/>
    <cellStyle name="Normal 20 2 2 2 4 3 3 2" xfId="49224" xr:uid="{00000000-0005-0000-0000-0000E87C0000}"/>
    <cellStyle name="Normal 20 2 2 2 4 3 3 3" xfId="33124" xr:uid="{00000000-0005-0000-0000-0000E97C0000}"/>
    <cellStyle name="Normal 20 2 2 2 4 3 3 4" xfId="23555" xr:uid="{00000000-0005-0000-0000-0000EA7C0000}"/>
    <cellStyle name="Normal 20 2 2 2 4 3 4" xfId="4878" xr:uid="{00000000-0005-0000-0000-0000EB7C0000}"/>
    <cellStyle name="Normal 20 2 2 2 4 3 4 2" xfId="52719" xr:uid="{00000000-0005-0000-0000-0000EC7C0000}"/>
    <cellStyle name="Normal 20 2 2 2 4 3 4 3" xfId="36619" xr:uid="{00000000-0005-0000-0000-0000ED7C0000}"/>
    <cellStyle name="Normal 20 2 2 2 4 3 4 4" xfId="17483" xr:uid="{00000000-0005-0000-0000-0000EE7C0000}"/>
    <cellStyle name="Normal 20 2 2 2 4 3 5" xfId="43152" xr:uid="{00000000-0005-0000-0000-0000EF7C0000}"/>
    <cellStyle name="Normal 20 2 2 2 4 3 6" xfId="27052" xr:uid="{00000000-0005-0000-0000-0000F07C0000}"/>
    <cellStyle name="Normal 20 2 2 2 4 3 7" xfId="13988" xr:uid="{00000000-0005-0000-0000-0000F17C0000}"/>
    <cellStyle name="Normal 20 2 2 2 4 4" xfId="6904" xr:uid="{00000000-0005-0000-0000-0000F27C0000}"/>
    <cellStyle name="Normal 20 2 2 2 4 4 2" xfId="38645" xr:uid="{00000000-0005-0000-0000-0000F37C0000}"/>
    <cellStyle name="Normal 20 2 2 2 4 4 2 2" xfId="54745" xr:uid="{00000000-0005-0000-0000-0000F47C0000}"/>
    <cellStyle name="Normal 20 2 2 2 4 4 3" xfId="45178" xr:uid="{00000000-0005-0000-0000-0000F57C0000}"/>
    <cellStyle name="Normal 20 2 2 2 4 4 4" xfId="29078" xr:uid="{00000000-0005-0000-0000-0000F67C0000}"/>
    <cellStyle name="Normal 20 2 2 2 4 4 5" xfId="19509" xr:uid="{00000000-0005-0000-0000-0000F77C0000}"/>
    <cellStyle name="Normal 20 2 2 2 4 5" xfId="9940" xr:uid="{00000000-0005-0000-0000-0000F87C0000}"/>
    <cellStyle name="Normal 20 2 2 2 4 5 2" xfId="48214" xr:uid="{00000000-0005-0000-0000-0000F97C0000}"/>
    <cellStyle name="Normal 20 2 2 2 4 5 3" xfId="32114" xr:uid="{00000000-0005-0000-0000-0000FA7C0000}"/>
    <cellStyle name="Normal 20 2 2 2 4 5 4" xfId="22545" xr:uid="{00000000-0005-0000-0000-0000FB7C0000}"/>
    <cellStyle name="Normal 20 2 2 2 4 6" xfId="3868" xr:uid="{00000000-0005-0000-0000-0000FC7C0000}"/>
    <cellStyle name="Normal 20 2 2 2 4 6 2" xfId="51709" xr:uid="{00000000-0005-0000-0000-0000FD7C0000}"/>
    <cellStyle name="Normal 20 2 2 2 4 6 3" xfId="35609" xr:uid="{00000000-0005-0000-0000-0000FE7C0000}"/>
    <cellStyle name="Normal 20 2 2 2 4 6 4" xfId="16473" xr:uid="{00000000-0005-0000-0000-0000FF7C0000}"/>
    <cellStyle name="Normal 20 2 2 2 4 7" xfId="42142" xr:uid="{00000000-0005-0000-0000-0000007D0000}"/>
    <cellStyle name="Normal 20 2 2 2 4 8" xfId="26042" xr:uid="{00000000-0005-0000-0000-0000017D0000}"/>
    <cellStyle name="Normal 20 2 2 2 4 9" xfId="12978" xr:uid="{00000000-0005-0000-0000-0000027D0000}"/>
    <cellStyle name="Normal 20 2 2 2 5" xfId="806" xr:uid="{00000000-0005-0000-0000-0000037D0000}"/>
    <cellStyle name="Normal 20 2 2 2 5 2" xfId="2834" xr:uid="{00000000-0005-0000-0000-0000047D0000}"/>
    <cellStyle name="Normal 20 2 2 2 5 2 2" xfId="9366" xr:uid="{00000000-0005-0000-0000-0000057D0000}"/>
    <cellStyle name="Normal 20 2 2 2 5 2 2 2" xfId="41107" xr:uid="{00000000-0005-0000-0000-0000067D0000}"/>
    <cellStyle name="Normal 20 2 2 2 5 2 2 2 2" xfId="57207" xr:uid="{00000000-0005-0000-0000-0000077D0000}"/>
    <cellStyle name="Normal 20 2 2 2 5 2 2 3" xfId="47640" xr:uid="{00000000-0005-0000-0000-0000087D0000}"/>
    <cellStyle name="Normal 20 2 2 2 5 2 2 4" xfId="31540" xr:uid="{00000000-0005-0000-0000-0000097D0000}"/>
    <cellStyle name="Normal 20 2 2 2 5 2 2 5" xfId="21971" xr:uid="{00000000-0005-0000-0000-00000A7D0000}"/>
    <cellStyle name="Normal 20 2 2 2 5 2 3" xfId="12402" xr:uid="{00000000-0005-0000-0000-00000B7D0000}"/>
    <cellStyle name="Normal 20 2 2 2 5 2 3 2" xfId="50676" xr:uid="{00000000-0005-0000-0000-00000C7D0000}"/>
    <cellStyle name="Normal 20 2 2 2 5 2 3 3" xfId="34576" xr:uid="{00000000-0005-0000-0000-00000D7D0000}"/>
    <cellStyle name="Normal 20 2 2 2 5 2 3 4" xfId="25007" xr:uid="{00000000-0005-0000-0000-00000E7D0000}"/>
    <cellStyle name="Normal 20 2 2 2 5 2 4" xfId="6330" xr:uid="{00000000-0005-0000-0000-00000F7D0000}"/>
    <cellStyle name="Normal 20 2 2 2 5 2 4 2" xfId="54171" xr:uid="{00000000-0005-0000-0000-0000107D0000}"/>
    <cellStyle name="Normal 20 2 2 2 5 2 4 3" xfId="38071" xr:uid="{00000000-0005-0000-0000-0000117D0000}"/>
    <cellStyle name="Normal 20 2 2 2 5 2 4 4" xfId="18935" xr:uid="{00000000-0005-0000-0000-0000127D0000}"/>
    <cellStyle name="Normal 20 2 2 2 5 2 5" xfId="44604" xr:uid="{00000000-0005-0000-0000-0000137D0000}"/>
    <cellStyle name="Normal 20 2 2 2 5 2 6" xfId="28504" xr:uid="{00000000-0005-0000-0000-0000147D0000}"/>
    <cellStyle name="Normal 20 2 2 2 5 2 7" xfId="15440" xr:uid="{00000000-0005-0000-0000-0000157D0000}"/>
    <cellStyle name="Normal 20 2 2 2 5 3" xfId="1816" xr:uid="{00000000-0005-0000-0000-0000167D0000}"/>
    <cellStyle name="Normal 20 2 2 2 5 3 2" xfId="8350" xr:uid="{00000000-0005-0000-0000-0000177D0000}"/>
    <cellStyle name="Normal 20 2 2 2 5 3 2 2" xfId="40091" xr:uid="{00000000-0005-0000-0000-0000187D0000}"/>
    <cellStyle name="Normal 20 2 2 2 5 3 2 2 2" xfId="56191" xr:uid="{00000000-0005-0000-0000-0000197D0000}"/>
    <cellStyle name="Normal 20 2 2 2 5 3 2 3" xfId="46624" xr:uid="{00000000-0005-0000-0000-00001A7D0000}"/>
    <cellStyle name="Normal 20 2 2 2 5 3 2 4" xfId="30524" xr:uid="{00000000-0005-0000-0000-00001B7D0000}"/>
    <cellStyle name="Normal 20 2 2 2 5 3 2 5" xfId="20955" xr:uid="{00000000-0005-0000-0000-00001C7D0000}"/>
    <cellStyle name="Normal 20 2 2 2 5 3 3" xfId="11386" xr:uid="{00000000-0005-0000-0000-00001D7D0000}"/>
    <cellStyle name="Normal 20 2 2 2 5 3 3 2" xfId="49660" xr:uid="{00000000-0005-0000-0000-00001E7D0000}"/>
    <cellStyle name="Normal 20 2 2 2 5 3 3 3" xfId="33560" xr:uid="{00000000-0005-0000-0000-00001F7D0000}"/>
    <cellStyle name="Normal 20 2 2 2 5 3 3 4" xfId="23991" xr:uid="{00000000-0005-0000-0000-0000207D0000}"/>
    <cellStyle name="Normal 20 2 2 2 5 3 4" xfId="5314" xr:uid="{00000000-0005-0000-0000-0000217D0000}"/>
    <cellStyle name="Normal 20 2 2 2 5 3 4 2" xfId="53155" xr:uid="{00000000-0005-0000-0000-0000227D0000}"/>
    <cellStyle name="Normal 20 2 2 2 5 3 4 3" xfId="37055" xr:uid="{00000000-0005-0000-0000-0000237D0000}"/>
    <cellStyle name="Normal 20 2 2 2 5 3 4 4" xfId="17919" xr:uid="{00000000-0005-0000-0000-0000247D0000}"/>
    <cellStyle name="Normal 20 2 2 2 5 3 5" xfId="43588" xr:uid="{00000000-0005-0000-0000-0000257D0000}"/>
    <cellStyle name="Normal 20 2 2 2 5 3 6" xfId="27488" xr:uid="{00000000-0005-0000-0000-0000267D0000}"/>
    <cellStyle name="Normal 20 2 2 2 5 3 7" xfId="14424" xr:uid="{00000000-0005-0000-0000-0000277D0000}"/>
    <cellStyle name="Normal 20 2 2 2 5 4" xfId="7340" xr:uid="{00000000-0005-0000-0000-0000287D0000}"/>
    <cellStyle name="Normal 20 2 2 2 5 4 2" xfId="39081" xr:uid="{00000000-0005-0000-0000-0000297D0000}"/>
    <cellStyle name="Normal 20 2 2 2 5 4 2 2" xfId="55181" xr:uid="{00000000-0005-0000-0000-00002A7D0000}"/>
    <cellStyle name="Normal 20 2 2 2 5 4 3" xfId="45614" xr:uid="{00000000-0005-0000-0000-00002B7D0000}"/>
    <cellStyle name="Normal 20 2 2 2 5 4 4" xfId="29514" xr:uid="{00000000-0005-0000-0000-00002C7D0000}"/>
    <cellStyle name="Normal 20 2 2 2 5 4 5" xfId="19945" xr:uid="{00000000-0005-0000-0000-00002D7D0000}"/>
    <cellStyle name="Normal 20 2 2 2 5 5" xfId="10376" xr:uid="{00000000-0005-0000-0000-00002E7D0000}"/>
    <cellStyle name="Normal 20 2 2 2 5 5 2" xfId="48650" xr:uid="{00000000-0005-0000-0000-00002F7D0000}"/>
    <cellStyle name="Normal 20 2 2 2 5 5 3" xfId="32550" xr:uid="{00000000-0005-0000-0000-0000307D0000}"/>
    <cellStyle name="Normal 20 2 2 2 5 5 4" xfId="22981" xr:uid="{00000000-0005-0000-0000-0000317D0000}"/>
    <cellStyle name="Normal 20 2 2 2 5 6" xfId="4304" xr:uid="{00000000-0005-0000-0000-0000327D0000}"/>
    <cellStyle name="Normal 20 2 2 2 5 6 2" xfId="52145" xr:uid="{00000000-0005-0000-0000-0000337D0000}"/>
    <cellStyle name="Normal 20 2 2 2 5 6 3" xfId="36045" xr:uid="{00000000-0005-0000-0000-0000347D0000}"/>
    <cellStyle name="Normal 20 2 2 2 5 6 4" xfId="16909" xr:uid="{00000000-0005-0000-0000-0000357D0000}"/>
    <cellStyle name="Normal 20 2 2 2 5 7" xfId="42578" xr:uid="{00000000-0005-0000-0000-0000367D0000}"/>
    <cellStyle name="Normal 20 2 2 2 5 8" xfId="26478" xr:uid="{00000000-0005-0000-0000-0000377D0000}"/>
    <cellStyle name="Normal 20 2 2 2 5 9" xfId="13414" xr:uid="{00000000-0005-0000-0000-0000387D0000}"/>
    <cellStyle name="Normal 20 2 2 2 6" xfId="2168" xr:uid="{00000000-0005-0000-0000-0000397D0000}"/>
    <cellStyle name="Normal 20 2 2 2 6 2" xfId="8702" xr:uid="{00000000-0005-0000-0000-00003A7D0000}"/>
    <cellStyle name="Normal 20 2 2 2 6 2 2" xfId="40443" xr:uid="{00000000-0005-0000-0000-00003B7D0000}"/>
    <cellStyle name="Normal 20 2 2 2 6 2 2 2" xfId="56543" xr:uid="{00000000-0005-0000-0000-00003C7D0000}"/>
    <cellStyle name="Normal 20 2 2 2 6 2 3" xfId="46976" xr:uid="{00000000-0005-0000-0000-00003D7D0000}"/>
    <cellStyle name="Normal 20 2 2 2 6 2 4" xfId="30876" xr:uid="{00000000-0005-0000-0000-00003E7D0000}"/>
    <cellStyle name="Normal 20 2 2 2 6 2 5" xfId="21307" xr:uid="{00000000-0005-0000-0000-00003F7D0000}"/>
    <cellStyle name="Normal 20 2 2 2 6 3" xfId="11738" xr:uid="{00000000-0005-0000-0000-0000407D0000}"/>
    <cellStyle name="Normal 20 2 2 2 6 3 2" xfId="50012" xr:uid="{00000000-0005-0000-0000-0000417D0000}"/>
    <cellStyle name="Normal 20 2 2 2 6 3 3" xfId="33912" xr:uid="{00000000-0005-0000-0000-0000427D0000}"/>
    <cellStyle name="Normal 20 2 2 2 6 3 4" xfId="24343" xr:uid="{00000000-0005-0000-0000-0000437D0000}"/>
    <cellStyle name="Normal 20 2 2 2 6 4" xfId="5666" xr:uid="{00000000-0005-0000-0000-0000447D0000}"/>
    <cellStyle name="Normal 20 2 2 2 6 4 2" xfId="53507" xr:uid="{00000000-0005-0000-0000-0000457D0000}"/>
    <cellStyle name="Normal 20 2 2 2 6 4 3" xfId="37407" xr:uid="{00000000-0005-0000-0000-0000467D0000}"/>
    <cellStyle name="Normal 20 2 2 2 6 4 4" xfId="18271" xr:uid="{00000000-0005-0000-0000-0000477D0000}"/>
    <cellStyle name="Normal 20 2 2 2 6 5" xfId="43940" xr:uid="{00000000-0005-0000-0000-0000487D0000}"/>
    <cellStyle name="Normal 20 2 2 2 6 6" xfId="27840" xr:uid="{00000000-0005-0000-0000-0000497D0000}"/>
    <cellStyle name="Normal 20 2 2 2 6 7" xfId="14776" xr:uid="{00000000-0005-0000-0000-00004A7D0000}"/>
    <cellStyle name="Normal 20 2 2 2 7" xfId="1133" xr:uid="{00000000-0005-0000-0000-00004B7D0000}"/>
    <cellStyle name="Normal 20 2 2 2 7 2" xfId="7667" xr:uid="{00000000-0005-0000-0000-00004C7D0000}"/>
    <cellStyle name="Normal 20 2 2 2 7 2 2" xfId="39408" xr:uid="{00000000-0005-0000-0000-00004D7D0000}"/>
    <cellStyle name="Normal 20 2 2 2 7 2 2 2" xfId="55508" xr:uid="{00000000-0005-0000-0000-00004E7D0000}"/>
    <cellStyle name="Normal 20 2 2 2 7 2 3" xfId="45941" xr:uid="{00000000-0005-0000-0000-00004F7D0000}"/>
    <cellStyle name="Normal 20 2 2 2 7 2 4" xfId="29841" xr:uid="{00000000-0005-0000-0000-0000507D0000}"/>
    <cellStyle name="Normal 20 2 2 2 7 2 5" xfId="20272" xr:uid="{00000000-0005-0000-0000-0000517D0000}"/>
    <cellStyle name="Normal 20 2 2 2 7 3" xfId="10703" xr:uid="{00000000-0005-0000-0000-0000527D0000}"/>
    <cellStyle name="Normal 20 2 2 2 7 3 2" xfId="48977" xr:uid="{00000000-0005-0000-0000-0000537D0000}"/>
    <cellStyle name="Normal 20 2 2 2 7 3 3" xfId="32877" xr:uid="{00000000-0005-0000-0000-0000547D0000}"/>
    <cellStyle name="Normal 20 2 2 2 7 3 4" xfId="23308" xr:uid="{00000000-0005-0000-0000-0000557D0000}"/>
    <cellStyle name="Normal 20 2 2 2 7 4" xfId="4631" xr:uid="{00000000-0005-0000-0000-0000567D0000}"/>
    <cellStyle name="Normal 20 2 2 2 7 4 2" xfId="52472" xr:uid="{00000000-0005-0000-0000-0000577D0000}"/>
    <cellStyle name="Normal 20 2 2 2 7 4 3" xfId="36372" xr:uid="{00000000-0005-0000-0000-0000587D0000}"/>
    <cellStyle name="Normal 20 2 2 2 7 4 4" xfId="17236" xr:uid="{00000000-0005-0000-0000-0000597D0000}"/>
    <cellStyle name="Normal 20 2 2 2 7 5" xfId="42905" xr:uid="{00000000-0005-0000-0000-00005A7D0000}"/>
    <cellStyle name="Normal 20 2 2 2 7 6" xfId="26805" xr:uid="{00000000-0005-0000-0000-00005B7D0000}"/>
    <cellStyle name="Normal 20 2 2 2 7 7" xfId="13741" xr:uid="{00000000-0005-0000-0000-00005C7D0000}"/>
    <cellStyle name="Normal 20 2 2 2 8" xfId="3621" xr:uid="{00000000-0005-0000-0000-00005D7D0000}"/>
    <cellStyle name="Normal 20 2 2 2 8 2" xfId="35362" xr:uid="{00000000-0005-0000-0000-00005E7D0000}"/>
    <cellStyle name="Normal 20 2 2 2 8 2 2" xfId="51462" xr:uid="{00000000-0005-0000-0000-00005F7D0000}"/>
    <cellStyle name="Normal 20 2 2 2 8 3" xfId="41895" xr:uid="{00000000-0005-0000-0000-0000607D0000}"/>
    <cellStyle name="Normal 20 2 2 2 8 4" xfId="25795" xr:uid="{00000000-0005-0000-0000-0000617D0000}"/>
    <cellStyle name="Normal 20 2 2 2 8 5" xfId="16226" xr:uid="{00000000-0005-0000-0000-0000627D0000}"/>
    <cellStyle name="Normal 20 2 2 2 9" xfId="6657" xr:uid="{00000000-0005-0000-0000-0000637D0000}"/>
    <cellStyle name="Normal 20 2 2 2 9 2" xfId="38398" xr:uid="{00000000-0005-0000-0000-0000647D0000}"/>
    <cellStyle name="Normal 20 2 2 2 9 2 2" xfId="54498" xr:uid="{00000000-0005-0000-0000-0000657D0000}"/>
    <cellStyle name="Normal 20 2 2 2 9 3" xfId="44931" xr:uid="{00000000-0005-0000-0000-0000667D0000}"/>
    <cellStyle name="Normal 20 2 2 2 9 4" xfId="28831" xr:uid="{00000000-0005-0000-0000-0000677D0000}"/>
    <cellStyle name="Normal 20 2 2 2 9 5" xfId="19262" xr:uid="{00000000-0005-0000-0000-0000687D0000}"/>
    <cellStyle name="Normal 20 2 2 3" xfId="109" xr:uid="{00000000-0005-0000-0000-0000697D0000}"/>
    <cellStyle name="Normal 20 2 2 3 10" xfId="41627" xr:uid="{00000000-0005-0000-0000-00006A7D0000}"/>
    <cellStyle name="Normal 20 2 2 3 11" xfId="25527" xr:uid="{00000000-0005-0000-0000-00006B7D0000}"/>
    <cellStyle name="Normal 20 2 2 3 12" xfId="12942" xr:uid="{00000000-0005-0000-0000-00006C7D0000}"/>
    <cellStyle name="Normal 20 2 2 3 2" xfId="290" xr:uid="{00000000-0005-0000-0000-00006D7D0000}"/>
    <cellStyle name="Normal 20 2 2 3 2 2" xfId="2309" xr:uid="{00000000-0005-0000-0000-00006E7D0000}"/>
    <cellStyle name="Normal 20 2 2 3 2 2 2" xfId="8843" xr:uid="{00000000-0005-0000-0000-00006F7D0000}"/>
    <cellStyle name="Normal 20 2 2 3 2 2 2 2" xfId="40584" xr:uid="{00000000-0005-0000-0000-0000707D0000}"/>
    <cellStyle name="Normal 20 2 2 3 2 2 2 2 2" xfId="56684" xr:uid="{00000000-0005-0000-0000-0000717D0000}"/>
    <cellStyle name="Normal 20 2 2 3 2 2 2 3" xfId="47117" xr:uid="{00000000-0005-0000-0000-0000727D0000}"/>
    <cellStyle name="Normal 20 2 2 3 2 2 2 4" xfId="31017" xr:uid="{00000000-0005-0000-0000-0000737D0000}"/>
    <cellStyle name="Normal 20 2 2 3 2 2 2 5" xfId="21448" xr:uid="{00000000-0005-0000-0000-0000747D0000}"/>
    <cellStyle name="Normal 20 2 2 3 2 2 3" xfId="11879" xr:uid="{00000000-0005-0000-0000-0000757D0000}"/>
    <cellStyle name="Normal 20 2 2 3 2 2 3 2" xfId="50153" xr:uid="{00000000-0005-0000-0000-0000767D0000}"/>
    <cellStyle name="Normal 20 2 2 3 2 2 3 3" xfId="34053" xr:uid="{00000000-0005-0000-0000-0000777D0000}"/>
    <cellStyle name="Normal 20 2 2 3 2 2 3 4" xfId="24484" xr:uid="{00000000-0005-0000-0000-0000787D0000}"/>
    <cellStyle name="Normal 20 2 2 3 2 2 4" xfId="5807" xr:uid="{00000000-0005-0000-0000-0000797D0000}"/>
    <cellStyle name="Normal 20 2 2 3 2 2 4 2" xfId="53648" xr:uid="{00000000-0005-0000-0000-00007A7D0000}"/>
    <cellStyle name="Normal 20 2 2 3 2 2 4 3" xfId="37548" xr:uid="{00000000-0005-0000-0000-00007B7D0000}"/>
    <cellStyle name="Normal 20 2 2 3 2 2 4 4" xfId="18412" xr:uid="{00000000-0005-0000-0000-00007C7D0000}"/>
    <cellStyle name="Normal 20 2 2 3 2 2 5" xfId="44081" xr:uid="{00000000-0005-0000-0000-00007D7D0000}"/>
    <cellStyle name="Normal 20 2 2 3 2 2 6" xfId="27981" xr:uid="{00000000-0005-0000-0000-00007E7D0000}"/>
    <cellStyle name="Normal 20 2 2 3 2 2 7" xfId="14917" xr:uid="{00000000-0005-0000-0000-00007F7D0000}"/>
    <cellStyle name="Normal 20 2 2 3 2 3" xfId="1521" xr:uid="{00000000-0005-0000-0000-0000807D0000}"/>
    <cellStyle name="Normal 20 2 2 3 2 3 2" xfId="8055" xr:uid="{00000000-0005-0000-0000-0000817D0000}"/>
    <cellStyle name="Normal 20 2 2 3 2 3 2 2" xfId="39796" xr:uid="{00000000-0005-0000-0000-0000827D0000}"/>
    <cellStyle name="Normal 20 2 2 3 2 3 2 2 2" xfId="55896" xr:uid="{00000000-0005-0000-0000-0000837D0000}"/>
    <cellStyle name="Normal 20 2 2 3 2 3 2 3" xfId="46329" xr:uid="{00000000-0005-0000-0000-0000847D0000}"/>
    <cellStyle name="Normal 20 2 2 3 2 3 2 4" xfId="30229" xr:uid="{00000000-0005-0000-0000-0000857D0000}"/>
    <cellStyle name="Normal 20 2 2 3 2 3 2 5" xfId="20660" xr:uid="{00000000-0005-0000-0000-0000867D0000}"/>
    <cellStyle name="Normal 20 2 2 3 2 3 3" xfId="11091" xr:uid="{00000000-0005-0000-0000-0000877D0000}"/>
    <cellStyle name="Normal 20 2 2 3 2 3 3 2" xfId="49365" xr:uid="{00000000-0005-0000-0000-0000887D0000}"/>
    <cellStyle name="Normal 20 2 2 3 2 3 3 3" xfId="33265" xr:uid="{00000000-0005-0000-0000-0000897D0000}"/>
    <cellStyle name="Normal 20 2 2 3 2 3 3 4" xfId="23696" xr:uid="{00000000-0005-0000-0000-00008A7D0000}"/>
    <cellStyle name="Normal 20 2 2 3 2 3 4" xfId="5019" xr:uid="{00000000-0005-0000-0000-00008B7D0000}"/>
    <cellStyle name="Normal 20 2 2 3 2 3 4 2" xfId="52860" xr:uid="{00000000-0005-0000-0000-00008C7D0000}"/>
    <cellStyle name="Normal 20 2 2 3 2 3 4 3" xfId="36760" xr:uid="{00000000-0005-0000-0000-00008D7D0000}"/>
    <cellStyle name="Normal 20 2 2 3 2 3 4 4" xfId="17624" xr:uid="{00000000-0005-0000-0000-00008E7D0000}"/>
    <cellStyle name="Normal 20 2 2 3 2 3 5" xfId="43293" xr:uid="{00000000-0005-0000-0000-00008F7D0000}"/>
    <cellStyle name="Normal 20 2 2 3 2 3 6" xfId="27193" xr:uid="{00000000-0005-0000-0000-0000907D0000}"/>
    <cellStyle name="Normal 20 2 2 3 2 3 7" xfId="14129" xr:uid="{00000000-0005-0000-0000-0000917D0000}"/>
    <cellStyle name="Normal 20 2 2 3 2 4" xfId="7045" xr:uid="{00000000-0005-0000-0000-0000927D0000}"/>
    <cellStyle name="Normal 20 2 2 3 2 4 2" xfId="38786" xr:uid="{00000000-0005-0000-0000-0000937D0000}"/>
    <cellStyle name="Normal 20 2 2 3 2 4 2 2" xfId="54886" xr:uid="{00000000-0005-0000-0000-0000947D0000}"/>
    <cellStyle name="Normal 20 2 2 3 2 4 3" xfId="45319" xr:uid="{00000000-0005-0000-0000-0000957D0000}"/>
    <cellStyle name="Normal 20 2 2 3 2 4 4" xfId="29219" xr:uid="{00000000-0005-0000-0000-0000967D0000}"/>
    <cellStyle name="Normal 20 2 2 3 2 4 5" xfId="19650" xr:uid="{00000000-0005-0000-0000-0000977D0000}"/>
    <cellStyle name="Normal 20 2 2 3 2 5" xfId="10081" xr:uid="{00000000-0005-0000-0000-0000987D0000}"/>
    <cellStyle name="Normal 20 2 2 3 2 5 2" xfId="48355" xr:uid="{00000000-0005-0000-0000-0000997D0000}"/>
    <cellStyle name="Normal 20 2 2 3 2 5 3" xfId="32255" xr:uid="{00000000-0005-0000-0000-00009A7D0000}"/>
    <cellStyle name="Normal 20 2 2 3 2 5 4" xfId="22686" xr:uid="{00000000-0005-0000-0000-00009B7D0000}"/>
    <cellStyle name="Normal 20 2 2 3 2 6" xfId="4009" xr:uid="{00000000-0005-0000-0000-00009C7D0000}"/>
    <cellStyle name="Normal 20 2 2 3 2 6 2" xfId="51850" xr:uid="{00000000-0005-0000-0000-00009D7D0000}"/>
    <cellStyle name="Normal 20 2 2 3 2 6 3" xfId="35750" xr:uid="{00000000-0005-0000-0000-00009E7D0000}"/>
    <cellStyle name="Normal 20 2 2 3 2 6 4" xfId="16614" xr:uid="{00000000-0005-0000-0000-00009F7D0000}"/>
    <cellStyle name="Normal 20 2 2 3 2 7" xfId="42283" xr:uid="{00000000-0005-0000-0000-0000A07D0000}"/>
    <cellStyle name="Normal 20 2 2 3 2 8" xfId="26183" xr:uid="{00000000-0005-0000-0000-0000A17D0000}"/>
    <cellStyle name="Normal 20 2 2 3 2 9" xfId="13119" xr:uid="{00000000-0005-0000-0000-0000A27D0000}"/>
    <cellStyle name="Normal 20 2 2 3 3" xfId="982" xr:uid="{00000000-0005-0000-0000-0000A37D0000}"/>
    <cellStyle name="Normal 20 2 2 3 3 2" xfId="3010" xr:uid="{00000000-0005-0000-0000-0000A47D0000}"/>
    <cellStyle name="Normal 20 2 2 3 3 2 2" xfId="9542" xr:uid="{00000000-0005-0000-0000-0000A57D0000}"/>
    <cellStyle name="Normal 20 2 2 3 3 2 2 2" xfId="41283" xr:uid="{00000000-0005-0000-0000-0000A67D0000}"/>
    <cellStyle name="Normal 20 2 2 3 3 2 2 2 2" xfId="57383" xr:uid="{00000000-0005-0000-0000-0000A77D0000}"/>
    <cellStyle name="Normal 20 2 2 3 3 2 2 3" xfId="47816" xr:uid="{00000000-0005-0000-0000-0000A87D0000}"/>
    <cellStyle name="Normal 20 2 2 3 3 2 2 4" xfId="31716" xr:uid="{00000000-0005-0000-0000-0000A97D0000}"/>
    <cellStyle name="Normal 20 2 2 3 3 2 2 5" xfId="22147" xr:uid="{00000000-0005-0000-0000-0000AA7D0000}"/>
    <cellStyle name="Normal 20 2 2 3 3 2 3" xfId="12578" xr:uid="{00000000-0005-0000-0000-0000AB7D0000}"/>
    <cellStyle name="Normal 20 2 2 3 3 2 3 2" xfId="50852" xr:uid="{00000000-0005-0000-0000-0000AC7D0000}"/>
    <cellStyle name="Normal 20 2 2 3 3 2 3 3" xfId="34752" xr:uid="{00000000-0005-0000-0000-0000AD7D0000}"/>
    <cellStyle name="Normal 20 2 2 3 3 2 3 4" xfId="25183" xr:uid="{00000000-0005-0000-0000-0000AE7D0000}"/>
    <cellStyle name="Normal 20 2 2 3 3 2 4" xfId="6506" xr:uid="{00000000-0005-0000-0000-0000AF7D0000}"/>
    <cellStyle name="Normal 20 2 2 3 3 2 4 2" xfId="54347" xr:uid="{00000000-0005-0000-0000-0000B07D0000}"/>
    <cellStyle name="Normal 20 2 2 3 3 2 4 3" xfId="38247" xr:uid="{00000000-0005-0000-0000-0000B17D0000}"/>
    <cellStyle name="Normal 20 2 2 3 3 2 4 4" xfId="19111" xr:uid="{00000000-0005-0000-0000-0000B27D0000}"/>
    <cellStyle name="Normal 20 2 2 3 3 2 5" xfId="44780" xr:uid="{00000000-0005-0000-0000-0000B37D0000}"/>
    <cellStyle name="Normal 20 2 2 3 3 2 6" xfId="28680" xr:uid="{00000000-0005-0000-0000-0000B47D0000}"/>
    <cellStyle name="Normal 20 2 2 3 3 2 7" xfId="15616" xr:uid="{00000000-0005-0000-0000-0000B57D0000}"/>
    <cellStyle name="Normal 20 2 2 3 3 3" xfId="1992" xr:uid="{00000000-0005-0000-0000-0000B67D0000}"/>
    <cellStyle name="Normal 20 2 2 3 3 3 2" xfId="8526" xr:uid="{00000000-0005-0000-0000-0000B77D0000}"/>
    <cellStyle name="Normal 20 2 2 3 3 3 2 2" xfId="40267" xr:uid="{00000000-0005-0000-0000-0000B87D0000}"/>
    <cellStyle name="Normal 20 2 2 3 3 3 2 2 2" xfId="56367" xr:uid="{00000000-0005-0000-0000-0000B97D0000}"/>
    <cellStyle name="Normal 20 2 2 3 3 3 2 3" xfId="46800" xr:uid="{00000000-0005-0000-0000-0000BA7D0000}"/>
    <cellStyle name="Normal 20 2 2 3 3 3 2 4" xfId="30700" xr:uid="{00000000-0005-0000-0000-0000BB7D0000}"/>
    <cellStyle name="Normal 20 2 2 3 3 3 2 5" xfId="21131" xr:uid="{00000000-0005-0000-0000-0000BC7D0000}"/>
    <cellStyle name="Normal 20 2 2 3 3 3 3" xfId="11562" xr:uid="{00000000-0005-0000-0000-0000BD7D0000}"/>
    <cellStyle name="Normal 20 2 2 3 3 3 3 2" xfId="49836" xr:uid="{00000000-0005-0000-0000-0000BE7D0000}"/>
    <cellStyle name="Normal 20 2 2 3 3 3 3 3" xfId="33736" xr:uid="{00000000-0005-0000-0000-0000BF7D0000}"/>
    <cellStyle name="Normal 20 2 2 3 3 3 3 4" xfId="24167" xr:uid="{00000000-0005-0000-0000-0000C07D0000}"/>
    <cellStyle name="Normal 20 2 2 3 3 3 4" xfId="5490" xr:uid="{00000000-0005-0000-0000-0000C17D0000}"/>
    <cellStyle name="Normal 20 2 2 3 3 3 4 2" xfId="53331" xr:uid="{00000000-0005-0000-0000-0000C27D0000}"/>
    <cellStyle name="Normal 20 2 2 3 3 3 4 3" xfId="37231" xr:uid="{00000000-0005-0000-0000-0000C37D0000}"/>
    <cellStyle name="Normal 20 2 2 3 3 3 4 4" xfId="18095" xr:uid="{00000000-0005-0000-0000-0000C47D0000}"/>
    <cellStyle name="Normal 20 2 2 3 3 3 5" xfId="43764" xr:uid="{00000000-0005-0000-0000-0000C57D0000}"/>
    <cellStyle name="Normal 20 2 2 3 3 3 6" xfId="27664" xr:uid="{00000000-0005-0000-0000-0000C67D0000}"/>
    <cellStyle name="Normal 20 2 2 3 3 3 7" xfId="14600" xr:uid="{00000000-0005-0000-0000-0000C77D0000}"/>
    <cellStyle name="Normal 20 2 2 3 3 4" xfId="7516" xr:uid="{00000000-0005-0000-0000-0000C87D0000}"/>
    <cellStyle name="Normal 20 2 2 3 3 4 2" xfId="39257" xr:uid="{00000000-0005-0000-0000-0000C97D0000}"/>
    <cellStyle name="Normal 20 2 2 3 3 4 2 2" xfId="55357" xr:uid="{00000000-0005-0000-0000-0000CA7D0000}"/>
    <cellStyle name="Normal 20 2 2 3 3 4 3" xfId="45790" xr:uid="{00000000-0005-0000-0000-0000CB7D0000}"/>
    <cellStyle name="Normal 20 2 2 3 3 4 4" xfId="29690" xr:uid="{00000000-0005-0000-0000-0000CC7D0000}"/>
    <cellStyle name="Normal 20 2 2 3 3 4 5" xfId="20121" xr:uid="{00000000-0005-0000-0000-0000CD7D0000}"/>
    <cellStyle name="Normal 20 2 2 3 3 5" xfId="10552" xr:uid="{00000000-0005-0000-0000-0000CE7D0000}"/>
    <cellStyle name="Normal 20 2 2 3 3 5 2" xfId="48826" xr:uid="{00000000-0005-0000-0000-0000CF7D0000}"/>
    <cellStyle name="Normal 20 2 2 3 3 5 3" xfId="32726" xr:uid="{00000000-0005-0000-0000-0000D07D0000}"/>
    <cellStyle name="Normal 20 2 2 3 3 5 4" xfId="23157" xr:uid="{00000000-0005-0000-0000-0000D17D0000}"/>
    <cellStyle name="Normal 20 2 2 3 3 6" xfId="4480" xr:uid="{00000000-0005-0000-0000-0000D27D0000}"/>
    <cellStyle name="Normal 20 2 2 3 3 6 2" xfId="52321" xr:uid="{00000000-0005-0000-0000-0000D37D0000}"/>
    <cellStyle name="Normal 20 2 2 3 3 6 3" xfId="36221" xr:uid="{00000000-0005-0000-0000-0000D47D0000}"/>
    <cellStyle name="Normal 20 2 2 3 3 6 4" xfId="17085" xr:uid="{00000000-0005-0000-0000-0000D57D0000}"/>
    <cellStyle name="Normal 20 2 2 3 3 7" xfId="42754" xr:uid="{00000000-0005-0000-0000-0000D67D0000}"/>
    <cellStyle name="Normal 20 2 2 3 3 8" xfId="26654" xr:uid="{00000000-0005-0000-0000-0000D77D0000}"/>
    <cellStyle name="Normal 20 2 2 3 3 9" xfId="13590" xr:uid="{00000000-0005-0000-0000-0000D87D0000}"/>
    <cellStyle name="Normal 20 2 2 3 4" xfId="2132" xr:uid="{00000000-0005-0000-0000-0000D97D0000}"/>
    <cellStyle name="Normal 20 2 2 3 4 2" xfId="8666" xr:uid="{00000000-0005-0000-0000-0000DA7D0000}"/>
    <cellStyle name="Normal 20 2 2 3 4 2 2" xfId="40407" xr:uid="{00000000-0005-0000-0000-0000DB7D0000}"/>
    <cellStyle name="Normal 20 2 2 3 4 2 2 2" xfId="56507" xr:uid="{00000000-0005-0000-0000-0000DC7D0000}"/>
    <cellStyle name="Normal 20 2 2 3 4 2 3" xfId="46940" xr:uid="{00000000-0005-0000-0000-0000DD7D0000}"/>
    <cellStyle name="Normal 20 2 2 3 4 2 4" xfId="30840" xr:uid="{00000000-0005-0000-0000-0000DE7D0000}"/>
    <cellStyle name="Normal 20 2 2 3 4 2 5" xfId="21271" xr:uid="{00000000-0005-0000-0000-0000DF7D0000}"/>
    <cellStyle name="Normal 20 2 2 3 4 3" xfId="11702" xr:uid="{00000000-0005-0000-0000-0000E07D0000}"/>
    <cellStyle name="Normal 20 2 2 3 4 3 2" xfId="49976" xr:uid="{00000000-0005-0000-0000-0000E17D0000}"/>
    <cellStyle name="Normal 20 2 2 3 4 3 3" xfId="33876" xr:uid="{00000000-0005-0000-0000-0000E27D0000}"/>
    <cellStyle name="Normal 20 2 2 3 4 3 4" xfId="24307" xr:uid="{00000000-0005-0000-0000-0000E37D0000}"/>
    <cellStyle name="Normal 20 2 2 3 4 4" xfId="5630" xr:uid="{00000000-0005-0000-0000-0000E47D0000}"/>
    <cellStyle name="Normal 20 2 2 3 4 4 2" xfId="53471" xr:uid="{00000000-0005-0000-0000-0000E57D0000}"/>
    <cellStyle name="Normal 20 2 2 3 4 4 3" xfId="37371" xr:uid="{00000000-0005-0000-0000-0000E67D0000}"/>
    <cellStyle name="Normal 20 2 2 3 4 4 4" xfId="18235" xr:uid="{00000000-0005-0000-0000-0000E77D0000}"/>
    <cellStyle name="Normal 20 2 2 3 4 5" xfId="43904" xr:uid="{00000000-0005-0000-0000-0000E87D0000}"/>
    <cellStyle name="Normal 20 2 2 3 4 6" xfId="27804" xr:uid="{00000000-0005-0000-0000-0000E97D0000}"/>
    <cellStyle name="Normal 20 2 2 3 4 7" xfId="14740" xr:uid="{00000000-0005-0000-0000-0000EA7D0000}"/>
    <cellStyle name="Normal 20 2 2 3 5" xfId="1344" xr:uid="{00000000-0005-0000-0000-0000EB7D0000}"/>
    <cellStyle name="Normal 20 2 2 3 5 2" xfId="7878" xr:uid="{00000000-0005-0000-0000-0000EC7D0000}"/>
    <cellStyle name="Normal 20 2 2 3 5 2 2" xfId="39619" xr:uid="{00000000-0005-0000-0000-0000ED7D0000}"/>
    <cellStyle name="Normal 20 2 2 3 5 2 2 2" xfId="55719" xr:uid="{00000000-0005-0000-0000-0000EE7D0000}"/>
    <cellStyle name="Normal 20 2 2 3 5 2 3" xfId="46152" xr:uid="{00000000-0005-0000-0000-0000EF7D0000}"/>
    <cellStyle name="Normal 20 2 2 3 5 2 4" xfId="30052" xr:uid="{00000000-0005-0000-0000-0000F07D0000}"/>
    <cellStyle name="Normal 20 2 2 3 5 2 5" xfId="20483" xr:uid="{00000000-0005-0000-0000-0000F17D0000}"/>
    <cellStyle name="Normal 20 2 2 3 5 3" xfId="10914" xr:uid="{00000000-0005-0000-0000-0000F27D0000}"/>
    <cellStyle name="Normal 20 2 2 3 5 3 2" xfId="49188" xr:uid="{00000000-0005-0000-0000-0000F37D0000}"/>
    <cellStyle name="Normal 20 2 2 3 5 3 3" xfId="33088" xr:uid="{00000000-0005-0000-0000-0000F47D0000}"/>
    <cellStyle name="Normal 20 2 2 3 5 3 4" xfId="23519" xr:uid="{00000000-0005-0000-0000-0000F57D0000}"/>
    <cellStyle name="Normal 20 2 2 3 5 4" xfId="4842" xr:uid="{00000000-0005-0000-0000-0000F67D0000}"/>
    <cellStyle name="Normal 20 2 2 3 5 4 2" xfId="52683" xr:uid="{00000000-0005-0000-0000-0000F77D0000}"/>
    <cellStyle name="Normal 20 2 2 3 5 4 3" xfId="36583" xr:uid="{00000000-0005-0000-0000-0000F87D0000}"/>
    <cellStyle name="Normal 20 2 2 3 5 4 4" xfId="17447" xr:uid="{00000000-0005-0000-0000-0000F97D0000}"/>
    <cellStyle name="Normal 20 2 2 3 5 5" xfId="43116" xr:uid="{00000000-0005-0000-0000-0000FA7D0000}"/>
    <cellStyle name="Normal 20 2 2 3 5 6" xfId="27016" xr:uid="{00000000-0005-0000-0000-0000FB7D0000}"/>
    <cellStyle name="Normal 20 2 2 3 5 7" xfId="13952" xr:uid="{00000000-0005-0000-0000-0000FC7D0000}"/>
    <cellStyle name="Normal 20 2 2 3 6" xfId="3832" xr:uid="{00000000-0005-0000-0000-0000FD7D0000}"/>
    <cellStyle name="Normal 20 2 2 3 6 2" xfId="35573" xr:uid="{00000000-0005-0000-0000-0000FE7D0000}"/>
    <cellStyle name="Normal 20 2 2 3 6 2 2" xfId="51673" xr:uid="{00000000-0005-0000-0000-0000FF7D0000}"/>
    <cellStyle name="Normal 20 2 2 3 6 3" xfId="42106" xr:uid="{00000000-0005-0000-0000-0000007E0000}"/>
    <cellStyle name="Normal 20 2 2 3 6 4" xfId="26006" xr:uid="{00000000-0005-0000-0000-0000017E0000}"/>
    <cellStyle name="Normal 20 2 2 3 6 5" xfId="16437" xr:uid="{00000000-0005-0000-0000-0000027E0000}"/>
    <cellStyle name="Normal 20 2 2 3 7" xfId="6868" xr:uid="{00000000-0005-0000-0000-0000037E0000}"/>
    <cellStyle name="Normal 20 2 2 3 7 2" xfId="38609" xr:uid="{00000000-0005-0000-0000-0000047E0000}"/>
    <cellStyle name="Normal 20 2 2 3 7 2 2" xfId="54709" xr:uid="{00000000-0005-0000-0000-0000057E0000}"/>
    <cellStyle name="Normal 20 2 2 3 7 3" xfId="45142" xr:uid="{00000000-0005-0000-0000-0000067E0000}"/>
    <cellStyle name="Normal 20 2 2 3 7 4" xfId="29042" xr:uid="{00000000-0005-0000-0000-0000077E0000}"/>
    <cellStyle name="Normal 20 2 2 3 7 5" xfId="19473" xr:uid="{00000000-0005-0000-0000-0000087E0000}"/>
    <cellStyle name="Normal 20 2 2 3 8" xfId="9904" xr:uid="{00000000-0005-0000-0000-0000097E0000}"/>
    <cellStyle name="Normal 20 2 2 3 8 2" xfId="48178" xr:uid="{00000000-0005-0000-0000-00000A7E0000}"/>
    <cellStyle name="Normal 20 2 2 3 8 3" xfId="32078" xr:uid="{00000000-0005-0000-0000-00000B7E0000}"/>
    <cellStyle name="Normal 20 2 2 3 8 4" xfId="22509" xr:uid="{00000000-0005-0000-0000-00000C7E0000}"/>
    <cellStyle name="Normal 20 2 2 3 9" xfId="3353" xr:uid="{00000000-0005-0000-0000-00000D7E0000}"/>
    <cellStyle name="Normal 20 2 2 3 9 2" xfId="51194" xr:uid="{00000000-0005-0000-0000-00000E7E0000}"/>
    <cellStyle name="Normal 20 2 2 3 9 3" xfId="35094" xr:uid="{00000000-0005-0000-0000-00000F7E0000}"/>
    <cellStyle name="Normal 20 2 2 3 9 4" xfId="15958" xr:uid="{00000000-0005-0000-0000-0000107E0000}"/>
    <cellStyle name="Normal 20 2 2 4" xfId="184" xr:uid="{00000000-0005-0000-0000-0000117E0000}"/>
    <cellStyle name="Normal 20 2 2 4 10" xfId="26077" xr:uid="{00000000-0005-0000-0000-0000127E0000}"/>
    <cellStyle name="Normal 20 2 2 4 11" xfId="13013" xr:uid="{00000000-0005-0000-0000-0000137E0000}"/>
    <cellStyle name="Normal 20 2 2 4 2" xfId="361" xr:uid="{00000000-0005-0000-0000-0000147E0000}"/>
    <cellStyle name="Normal 20 2 2 4 2 2" xfId="2380" xr:uid="{00000000-0005-0000-0000-0000157E0000}"/>
    <cellStyle name="Normal 20 2 2 4 2 2 2" xfId="8914" xr:uid="{00000000-0005-0000-0000-0000167E0000}"/>
    <cellStyle name="Normal 20 2 2 4 2 2 2 2" xfId="40655" xr:uid="{00000000-0005-0000-0000-0000177E0000}"/>
    <cellStyle name="Normal 20 2 2 4 2 2 2 2 2" xfId="56755" xr:uid="{00000000-0005-0000-0000-0000187E0000}"/>
    <cellStyle name="Normal 20 2 2 4 2 2 2 3" xfId="47188" xr:uid="{00000000-0005-0000-0000-0000197E0000}"/>
    <cellStyle name="Normal 20 2 2 4 2 2 2 4" xfId="31088" xr:uid="{00000000-0005-0000-0000-00001A7E0000}"/>
    <cellStyle name="Normal 20 2 2 4 2 2 2 5" xfId="21519" xr:uid="{00000000-0005-0000-0000-00001B7E0000}"/>
    <cellStyle name="Normal 20 2 2 4 2 2 3" xfId="11950" xr:uid="{00000000-0005-0000-0000-00001C7E0000}"/>
    <cellStyle name="Normal 20 2 2 4 2 2 3 2" xfId="50224" xr:uid="{00000000-0005-0000-0000-00001D7E0000}"/>
    <cellStyle name="Normal 20 2 2 4 2 2 3 3" xfId="34124" xr:uid="{00000000-0005-0000-0000-00001E7E0000}"/>
    <cellStyle name="Normal 20 2 2 4 2 2 3 4" xfId="24555" xr:uid="{00000000-0005-0000-0000-00001F7E0000}"/>
    <cellStyle name="Normal 20 2 2 4 2 2 4" xfId="5878" xr:uid="{00000000-0005-0000-0000-0000207E0000}"/>
    <cellStyle name="Normal 20 2 2 4 2 2 4 2" xfId="53719" xr:uid="{00000000-0005-0000-0000-0000217E0000}"/>
    <cellStyle name="Normal 20 2 2 4 2 2 4 3" xfId="37619" xr:uid="{00000000-0005-0000-0000-0000227E0000}"/>
    <cellStyle name="Normal 20 2 2 4 2 2 4 4" xfId="18483" xr:uid="{00000000-0005-0000-0000-0000237E0000}"/>
    <cellStyle name="Normal 20 2 2 4 2 2 5" xfId="44152" xr:uid="{00000000-0005-0000-0000-0000247E0000}"/>
    <cellStyle name="Normal 20 2 2 4 2 2 6" xfId="28052" xr:uid="{00000000-0005-0000-0000-0000257E0000}"/>
    <cellStyle name="Normal 20 2 2 4 2 2 7" xfId="14988" xr:uid="{00000000-0005-0000-0000-0000267E0000}"/>
    <cellStyle name="Normal 20 2 2 4 2 3" xfId="1592" xr:uid="{00000000-0005-0000-0000-0000277E0000}"/>
    <cellStyle name="Normal 20 2 2 4 2 3 2" xfId="8126" xr:uid="{00000000-0005-0000-0000-0000287E0000}"/>
    <cellStyle name="Normal 20 2 2 4 2 3 2 2" xfId="39867" xr:uid="{00000000-0005-0000-0000-0000297E0000}"/>
    <cellStyle name="Normal 20 2 2 4 2 3 2 2 2" xfId="55967" xr:uid="{00000000-0005-0000-0000-00002A7E0000}"/>
    <cellStyle name="Normal 20 2 2 4 2 3 2 3" xfId="46400" xr:uid="{00000000-0005-0000-0000-00002B7E0000}"/>
    <cellStyle name="Normal 20 2 2 4 2 3 2 4" xfId="30300" xr:uid="{00000000-0005-0000-0000-00002C7E0000}"/>
    <cellStyle name="Normal 20 2 2 4 2 3 2 5" xfId="20731" xr:uid="{00000000-0005-0000-0000-00002D7E0000}"/>
    <cellStyle name="Normal 20 2 2 4 2 3 3" xfId="11162" xr:uid="{00000000-0005-0000-0000-00002E7E0000}"/>
    <cellStyle name="Normal 20 2 2 4 2 3 3 2" xfId="49436" xr:uid="{00000000-0005-0000-0000-00002F7E0000}"/>
    <cellStyle name="Normal 20 2 2 4 2 3 3 3" xfId="33336" xr:uid="{00000000-0005-0000-0000-0000307E0000}"/>
    <cellStyle name="Normal 20 2 2 4 2 3 3 4" xfId="23767" xr:uid="{00000000-0005-0000-0000-0000317E0000}"/>
    <cellStyle name="Normal 20 2 2 4 2 3 4" xfId="5090" xr:uid="{00000000-0005-0000-0000-0000327E0000}"/>
    <cellStyle name="Normal 20 2 2 4 2 3 4 2" xfId="52931" xr:uid="{00000000-0005-0000-0000-0000337E0000}"/>
    <cellStyle name="Normal 20 2 2 4 2 3 4 3" xfId="36831" xr:uid="{00000000-0005-0000-0000-0000347E0000}"/>
    <cellStyle name="Normal 20 2 2 4 2 3 4 4" xfId="17695" xr:uid="{00000000-0005-0000-0000-0000357E0000}"/>
    <cellStyle name="Normal 20 2 2 4 2 3 5" xfId="43364" xr:uid="{00000000-0005-0000-0000-0000367E0000}"/>
    <cellStyle name="Normal 20 2 2 4 2 3 6" xfId="27264" xr:uid="{00000000-0005-0000-0000-0000377E0000}"/>
    <cellStyle name="Normal 20 2 2 4 2 3 7" xfId="14200" xr:uid="{00000000-0005-0000-0000-0000387E0000}"/>
    <cellStyle name="Normal 20 2 2 4 2 4" xfId="7116" xr:uid="{00000000-0005-0000-0000-0000397E0000}"/>
    <cellStyle name="Normal 20 2 2 4 2 4 2" xfId="38857" xr:uid="{00000000-0005-0000-0000-00003A7E0000}"/>
    <cellStyle name="Normal 20 2 2 4 2 4 2 2" xfId="54957" xr:uid="{00000000-0005-0000-0000-00003B7E0000}"/>
    <cellStyle name="Normal 20 2 2 4 2 4 3" xfId="45390" xr:uid="{00000000-0005-0000-0000-00003C7E0000}"/>
    <cellStyle name="Normal 20 2 2 4 2 4 4" xfId="29290" xr:uid="{00000000-0005-0000-0000-00003D7E0000}"/>
    <cellStyle name="Normal 20 2 2 4 2 4 5" xfId="19721" xr:uid="{00000000-0005-0000-0000-00003E7E0000}"/>
    <cellStyle name="Normal 20 2 2 4 2 5" xfId="10152" xr:uid="{00000000-0005-0000-0000-00003F7E0000}"/>
    <cellStyle name="Normal 20 2 2 4 2 5 2" xfId="48426" xr:uid="{00000000-0005-0000-0000-0000407E0000}"/>
    <cellStyle name="Normal 20 2 2 4 2 5 3" xfId="32326" xr:uid="{00000000-0005-0000-0000-0000417E0000}"/>
    <cellStyle name="Normal 20 2 2 4 2 5 4" xfId="22757" xr:uid="{00000000-0005-0000-0000-0000427E0000}"/>
    <cellStyle name="Normal 20 2 2 4 2 6" xfId="4080" xr:uid="{00000000-0005-0000-0000-0000437E0000}"/>
    <cellStyle name="Normal 20 2 2 4 2 6 2" xfId="51921" xr:uid="{00000000-0005-0000-0000-0000447E0000}"/>
    <cellStyle name="Normal 20 2 2 4 2 6 3" xfId="35821" xr:uid="{00000000-0005-0000-0000-0000457E0000}"/>
    <cellStyle name="Normal 20 2 2 4 2 6 4" xfId="16685" xr:uid="{00000000-0005-0000-0000-0000467E0000}"/>
    <cellStyle name="Normal 20 2 2 4 2 7" xfId="42354" xr:uid="{00000000-0005-0000-0000-0000477E0000}"/>
    <cellStyle name="Normal 20 2 2 4 2 8" xfId="26254" xr:uid="{00000000-0005-0000-0000-0000487E0000}"/>
    <cellStyle name="Normal 20 2 2 4 2 9" xfId="13190" xr:uid="{00000000-0005-0000-0000-0000497E0000}"/>
    <cellStyle name="Normal 20 2 2 4 3" xfId="1001" xr:uid="{00000000-0005-0000-0000-00004A7E0000}"/>
    <cellStyle name="Normal 20 2 2 4 3 2" xfId="3029" xr:uid="{00000000-0005-0000-0000-00004B7E0000}"/>
    <cellStyle name="Normal 20 2 2 4 3 2 2" xfId="9561" xr:uid="{00000000-0005-0000-0000-00004C7E0000}"/>
    <cellStyle name="Normal 20 2 2 4 3 2 2 2" xfId="41302" xr:uid="{00000000-0005-0000-0000-00004D7E0000}"/>
    <cellStyle name="Normal 20 2 2 4 3 2 2 2 2" xfId="57402" xr:uid="{00000000-0005-0000-0000-00004E7E0000}"/>
    <cellStyle name="Normal 20 2 2 4 3 2 2 3" xfId="47835" xr:uid="{00000000-0005-0000-0000-00004F7E0000}"/>
    <cellStyle name="Normal 20 2 2 4 3 2 2 4" xfId="31735" xr:uid="{00000000-0005-0000-0000-0000507E0000}"/>
    <cellStyle name="Normal 20 2 2 4 3 2 2 5" xfId="22166" xr:uid="{00000000-0005-0000-0000-0000517E0000}"/>
    <cellStyle name="Normal 20 2 2 4 3 2 3" xfId="12597" xr:uid="{00000000-0005-0000-0000-0000527E0000}"/>
    <cellStyle name="Normal 20 2 2 4 3 2 3 2" xfId="50871" xr:uid="{00000000-0005-0000-0000-0000537E0000}"/>
    <cellStyle name="Normal 20 2 2 4 3 2 3 3" xfId="34771" xr:uid="{00000000-0005-0000-0000-0000547E0000}"/>
    <cellStyle name="Normal 20 2 2 4 3 2 3 4" xfId="25202" xr:uid="{00000000-0005-0000-0000-0000557E0000}"/>
    <cellStyle name="Normal 20 2 2 4 3 2 4" xfId="6525" xr:uid="{00000000-0005-0000-0000-0000567E0000}"/>
    <cellStyle name="Normal 20 2 2 4 3 2 4 2" xfId="54366" xr:uid="{00000000-0005-0000-0000-0000577E0000}"/>
    <cellStyle name="Normal 20 2 2 4 3 2 4 3" xfId="38266" xr:uid="{00000000-0005-0000-0000-0000587E0000}"/>
    <cellStyle name="Normal 20 2 2 4 3 2 4 4" xfId="19130" xr:uid="{00000000-0005-0000-0000-0000597E0000}"/>
    <cellStyle name="Normal 20 2 2 4 3 2 5" xfId="44799" xr:uid="{00000000-0005-0000-0000-00005A7E0000}"/>
    <cellStyle name="Normal 20 2 2 4 3 2 6" xfId="28699" xr:uid="{00000000-0005-0000-0000-00005B7E0000}"/>
    <cellStyle name="Normal 20 2 2 4 3 2 7" xfId="15635" xr:uid="{00000000-0005-0000-0000-00005C7E0000}"/>
    <cellStyle name="Normal 20 2 2 4 3 3" xfId="2011" xr:uid="{00000000-0005-0000-0000-00005D7E0000}"/>
    <cellStyle name="Normal 20 2 2 4 3 3 2" xfId="8545" xr:uid="{00000000-0005-0000-0000-00005E7E0000}"/>
    <cellStyle name="Normal 20 2 2 4 3 3 2 2" xfId="40286" xr:uid="{00000000-0005-0000-0000-00005F7E0000}"/>
    <cellStyle name="Normal 20 2 2 4 3 3 2 2 2" xfId="56386" xr:uid="{00000000-0005-0000-0000-0000607E0000}"/>
    <cellStyle name="Normal 20 2 2 4 3 3 2 3" xfId="46819" xr:uid="{00000000-0005-0000-0000-0000617E0000}"/>
    <cellStyle name="Normal 20 2 2 4 3 3 2 4" xfId="30719" xr:uid="{00000000-0005-0000-0000-0000627E0000}"/>
    <cellStyle name="Normal 20 2 2 4 3 3 2 5" xfId="21150" xr:uid="{00000000-0005-0000-0000-0000637E0000}"/>
    <cellStyle name="Normal 20 2 2 4 3 3 3" xfId="11581" xr:uid="{00000000-0005-0000-0000-0000647E0000}"/>
    <cellStyle name="Normal 20 2 2 4 3 3 3 2" xfId="49855" xr:uid="{00000000-0005-0000-0000-0000657E0000}"/>
    <cellStyle name="Normal 20 2 2 4 3 3 3 3" xfId="33755" xr:uid="{00000000-0005-0000-0000-0000667E0000}"/>
    <cellStyle name="Normal 20 2 2 4 3 3 3 4" xfId="24186" xr:uid="{00000000-0005-0000-0000-0000677E0000}"/>
    <cellStyle name="Normal 20 2 2 4 3 3 4" xfId="5509" xr:uid="{00000000-0005-0000-0000-0000687E0000}"/>
    <cellStyle name="Normal 20 2 2 4 3 3 4 2" xfId="53350" xr:uid="{00000000-0005-0000-0000-0000697E0000}"/>
    <cellStyle name="Normal 20 2 2 4 3 3 4 3" xfId="37250" xr:uid="{00000000-0005-0000-0000-00006A7E0000}"/>
    <cellStyle name="Normal 20 2 2 4 3 3 4 4" xfId="18114" xr:uid="{00000000-0005-0000-0000-00006B7E0000}"/>
    <cellStyle name="Normal 20 2 2 4 3 3 5" xfId="43783" xr:uid="{00000000-0005-0000-0000-00006C7E0000}"/>
    <cellStyle name="Normal 20 2 2 4 3 3 6" xfId="27683" xr:uid="{00000000-0005-0000-0000-00006D7E0000}"/>
    <cellStyle name="Normal 20 2 2 4 3 3 7" xfId="14619" xr:uid="{00000000-0005-0000-0000-00006E7E0000}"/>
    <cellStyle name="Normal 20 2 2 4 3 4" xfId="7535" xr:uid="{00000000-0005-0000-0000-00006F7E0000}"/>
    <cellStyle name="Normal 20 2 2 4 3 4 2" xfId="39276" xr:uid="{00000000-0005-0000-0000-0000707E0000}"/>
    <cellStyle name="Normal 20 2 2 4 3 4 2 2" xfId="55376" xr:uid="{00000000-0005-0000-0000-0000717E0000}"/>
    <cellStyle name="Normal 20 2 2 4 3 4 3" xfId="45809" xr:uid="{00000000-0005-0000-0000-0000727E0000}"/>
    <cellStyle name="Normal 20 2 2 4 3 4 4" xfId="29709" xr:uid="{00000000-0005-0000-0000-0000737E0000}"/>
    <cellStyle name="Normal 20 2 2 4 3 4 5" xfId="20140" xr:uid="{00000000-0005-0000-0000-0000747E0000}"/>
    <cellStyle name="Normal 20 2 2 4 3 5" xfId="10571" xr:uid="{00000000-0005-0000-0000-0000757E0000}"/>
    <cellStyle name="Normal 20 2 2 4 3 5 2" xfId="48845" xr:uid="{00000000-0005-0000-0000-0000767E0000}"/>
    <cellStyle name="Normal 20 2 2 4 3 5 3" xfId="32745" xr:uid="{00000000-0005-0000-0000-0000777E0000}"/>
    <cellStyle name="Normal 20 2 2 4 3 5 4" xfId="23176" xr:uid="{00000000-0005-0000-0000-0000787E0000}"/>
    <cellStyle name="Normal 20 2 2 4 3 6" xfId="4499" xr:uid="{00000000-0005-0000-0000-0000797E0000}"/>
    <cellStyle name="Normal 20 2 2 4 3 6 2" xfId="52340" xr:uid="{00000000-0005-0000-0000-00007A7E0000}"/>
    <cellStyle name="Normal 20 2 2 4 3 6 3" xfId="36240" xr:uid="{00000000-0005-0000-0000-00007B7E0000}"/>
    <cellStyle name="Normal 20 2 2 4 3 6 4" xfId="17104" xr:uid="{00000000-0005-0000-0000-00007C7E0000}"/>
    <cellStyle name="Normal 20 2 2 4 3 7" xfId="42773" xr:uid="{00000000-0005-0000-0000-00007D7E0000}"/>
    <cellStyle name="Normal 20 2 2 4 3 8" xfId="26673" xr:uid="{00000000-0005-0000-0000-00007E7E0000}"/>
    <cellStyle name="Normal 20 2 2 4 3 9" xfId="13609" xr:uid="{00000000-0005-0000-0000-00007F7E0000}"/>
    <cellStyle name="Normal 20 2 2 4 4" xfId="2203" xr:uid="{00000000-0005-0000-0000-0000807E0000}"/>
    <cellStyle name="Normal 20 2 2 4 4 2" xfId="8737" xr:uid="{00000000-0005-0000-0000-0000817E0000}"/>
    <cellStyle name="Normal 20 2 2 4 4 2 2" xfId="40478" xr:uid="{00000000-0005-0000-0000-0000827E0000}"/>
    <cellStyle name="Normal 20 2 2 4 4 2 2 2" xfId="56578" xr:uid="{00000000-0005-0000-0000-0000837E0000}"/>
    <cellStyle name="Normal 20 2 2 4 4 2 3" xfId="47011" xr:uid="{00000000-0005-0000-0000-0000847E0000}"/>
    <cellStyle name="Normal 20 2 2 4 4 2 4" xfId="30911" xr:uid="{00000000-0005-0000-0000-0000857E0000}"/>
    <cellStyle name="Normal 20 2 2 4 4 2 5" xfId="21342" xr:uid="{00000000-0005-0000-0000-0000867E0000}"/>
    <cellStyle name="Normal 20 2 2 4 4 3" xfId="11773" xr:uid="{00000000-0005-0000-0000-0000877E0000}"/>
    <cellStyle name="Normal 20 2 2 4 4 3 2" xfId="50047" xr:uid="{00000000-0005-0000-0000-0000887E0000}"/>
    <cellStyle name="Normal 20 2 2 4 4 3 3" xfId="33947" xr:uid="{00000000-0005-0000-0000-0000897E0000}"/>
    <cellStyle name="Normal 20 2 2 4 4 3 4" xfId="24378" xr:uid="{00000000-0005-0000-0000-00008A7E0000}"/>
    <cellStyle name="Normal 20 2 2 4 4 4" xfId="5701" xr:uid="{00000000-0005-0000-0000-00008B7E0000}"/>
    <cellStyle name="Normal 20 2 2 4 4 4 2" xfId="53542" xr:uid="{00000000-0005-0000-0000-00008C7E0000}"/>
    <cellStyle name="Normal 20 2 2 4 4 4 3" xfId="37442" xr:uid="{00000000-0005-0000-0000-00008D7E0000}"/>
    <cellStyle name="Normal 20 2 2 4 4 4 4" xfId="18306" xr:uid="{00000000-0005-0000-0000-00008E7E0000}"/>
    <cellStyle name="Normal 20 2 2 4 4 5" xfId="43975" xr:uid="{00000000-0005-0000-0000-00008F7E0000}"/>
    <cellStyle name="Normal 20 2 2 4 4 6" xfId="27875" xr:uid="{00000000-0005-0000-0000-0000907E0000}"/>
    <cellStyle name="Normal 20 2 2 4 4 7" xfId="14811" xr:uid="{00000000-0005-0000-0000-0000917E0000}"/>
    <cellStyle name="Normal 20 2 2 4 5" xfId="1415" xr:uid="{00000000-0005-0000-0000-0000927E0000}"/>
    <cellStyle name="Normal 20 2 2 4 5 2" xfId="7949" xr:uid="{00000000-0005-0000-0000-0000937E0000}"/>
    <cellStyle name="Normal 20 2 2 4 5 2 2" xfId="39690" xr:uid="{00000000-0005-0000-0000-0000947E0000}"/>
    <cellStyle name="Normal 20 2 2 4 5 2 2 2" xfId="55790" xr:uid="{00000000-0005-0000-0000-0000957E0000}"/>
    <cellStyle name="Normal 20 2 2 4 5 2 3" xfId="46223" xr:uid="{00000000-0005-0000-0000-0000967E0000}"/>
    <cellStyle name="Normal 20 2 2 4 5 2 4" xfId="30123" xr:uid="{00000000-0005-0000-0000-0000977E0000}"/>
    <cellStyle name="Normal 20 2 2 4 5 2 5" xfId="20554" xr:uid="{00000000-0005-0000-0000-0000987E0000}"/>
    <cellStyle name="Normal 20 2 2 4 5 3" xfId="10985" xr:uid="{00000000-0005-0000-0000-0000997E0000}"/>
    <cellStyle name="Normal 20 2 2 4 5 3 2" xfId="49259" xr:uid="{00000000-0005-0000-0000-00009A7E0000}"/>
    <cellStyle name="Normal 20 2 2 4 5 3 3" xfId="33159" xr:uid="{00000000-0005-0000-0000-00009B7E0000}"/>
    <cellStyle name="Normal 20 2 2 4 5 3 4" xfId="23590" xr:uid="{00000000-0005-0000-0000-00009C7E0000}"/>
    <cellStyle name="Normal 20 2 2 4 5 4" xfId="4913" xr:uid="{00000000-0005-0000-0000-00009D7E0000}"/>
    <cellStyle name="Normal 20 2 2 4 5 4 2" xfId="52754" xr:uid="{00000000-0005-0000-0000-00009E7E0000}"/>
    <cellStyle name="Normal 20 2 2 4 5 4 3" xfId="36654" xr:uid="{00000000-0005-0000-0000-00009F7E0000}"/>
    <cellStyle name="Normal 20 2 2 4 5 4 4" xfId="17518" xr:uid="{00000000-0005-0000-0000-0000A07E0000}"/>
    <cellStyle name="Normal 20 2 2 4 5 5" xfId="43187" xr:uid="{00000000-0005-0000-0000-0000A17E0000}"/>
    <cellStyle name="Normal 20 2 2 4 5 6" xfId="27087" xr:uid="{00000000-0005-0000-0000-0000A27E0000}"/>
    <cellStyle name="Normal 20 2 2 4 5 7" xfId="14023" xr:uid="{00000000-0005-0000-0000-0000A37E0000}"/>
    <cellStyle name="Normal 20 2 2 4 6" xfId="6939" xr:uid="{00000000-0005-0000-0000-0000A47E0000}"/>
    <cellStyle name="Normal 20 2 2 4 6 2" xfId="38680" xr:uid="{00000000-0005-0000-0000-0000A57E0000}"/>
    <cellStyle name="Normal 20 2 2 4 6 2 2" xfId="54780" xr:uid="{00000000-0005-0000-0000-0000A67E0000}"/>
    <cellStyle name="Normal 20 2 2 4 6 3" xfId="45213" xr:uid="{00000000-0005-0000-0000-0000A77E0000}"/>
    <cellStyle name="Normal 20 2 2 4 6 4" xfId="29113" xr:uid="{00000000-0005-0000-0000-0000A87E0000}"/>
    <cellStyle name="Normal 20 2 2 4 6 5" xfId="19544" xr:uid="{00000000-0005-0000-0000-0000A97E0000}"/>
    <cellStyle name="Normal 20 2 2 4 7" xfId="9975" xr:uid="{00000000-0005-0000-0000-0000AA7E0000}"/>
    <cellStyle name="Normal 20 2 2 4 7 2" xfId="48249" xr:uid="{00000000-0005-0000-0000-0000AB7E0000}"/>
    <cellStyle name="Normal 20 2 2 4 7 3" xfId="32149" xr:uid="{00000000-0005-0000-0000-0000AC7E0000}"/>
    <cellStyle name="Normal 20 2 2 4 7 4" xfId="22580" xr:uid="{00000000-0005-0000-0000-0000AD7E0000}"/>
    <cellStyle name="Normal 20 2 2 4 8" xfId="3903" xr:uid="{00000000-0005-0000-0000-0000AE7E0000}"/>
    <cellStyle name="Normal 20 2 2 4 8 2" xfId="51744" xr:uid="{00000000-0005-0000-0000-0000AF7E0000}"/>
    <cellStyle name="Normal 20 2 2 4 8 3" xfId="35644" xr:uid="{00000000-0005-0000-0000-0000B07E0000}"/>
    <cellStyle name="Normal 20 2 2 4 8 4" xfId="16508" xr:uid="{00000000-0005-0000-0000-0000B17E0000}"/>
    <cellStyle name="Normal 20 2 2 4 9" xfId="42177" xr:uid="{00000000-0005-0000-0000-0000B27E0000}"/>
    <cellStyle name="Normal 20 2 2 5" xfId="255" xr:uid="{00000000-0005-0000-0000-0000B37E0000}"/>
    <cellStyle name="Normal 20 2 2 5 2" xfId="2274" xr:uid="{00000000-0005-0000-0000-0000B47E0000}"/>
    <cellStyle name="Normal 20 2 2 5 2 2" xfId="8808" xr:uid="{00000000-0005-0000-0000-0000B57E0000}"/>
    <cellStyle name="Normal 20 2 2 5 2 2 2" xfId="40549" xr:uid="{00000000-0005-0000-0000-0000B67E0000}"/>
    <cellStyle name="Normal 20 2 2 5 2 2 2 2" xfId="56649" xr:uid="{00000000-0005-0000-0000-0000B77E0000}"/>
    <cellStyle name="Normal 20 2 2 5 2 2 3" xfId="47082" xr:uid="{00000000-0005-0000-0000-0000B87E0000}"/>
    <cellStyle name="Normal 20 2 2 5 2 2 4" xfId="30982" xr:uid="{00000000-0005-0000-0000-0000B97E0000}"/>
    <cellStyle name="Normal 20 2 2 5 2 2 5" xfId="21413" xr:uid="{00000000-0005-0000-0000-0000BA7E0000}"/>
    <cellStyle name="Normal 20 2 2 5 2 3" xfId="11844" xr:uid="{00000000-0005-0000-0000-0000BB7E0000}"/>
    <cellStyle name="Normal 20 2 2 5 2 3 2" xfId="50118" xr:uid="{00000000-0005-0000-0000-0000BC7E0000}"/>
    <cellStyle name="Normal 20 2 2 5 2 3 3" xfId="34018" xr:uid="{00000000-0005-0000-0000-0000BD7E0000}"/>
    <cellStyle name="Normal 20 2 2 5 2 3 4" xfId="24449" xr:uid="{00000000-0005-0000-0000-0000BE7E0000}"/>
    <cellStyle name="Normal 20 2 2 5 2 4" xfId="5772" xr:uid="{00000000-0005-0000-0000-0000BF7E0000}"/>
    <cellStyle name="Normal 20 2 2 5 2 4 2" xfId="53613" xr:uid="{00000000-0005-0000-0000-0000C07E0000}"/>
    <cellStyle name="Normal 20 2 2 5 2 4 3" xfId="37513" xr:uid="{00000000-0005-0000-0000-0000C17E0000}"/>
    <cellStyle name="Normal 20 2 2 5 2 4 4" xfId="18377" xr:uid="{00000000-0005-0000-0000-0000C27E0000}"/>
    <cellStyle name="Normal 20 2 2 5 2 5" xfId="44046" xr:uid="{00000000-0005-0000-0000-0000C37E0000}"/>
    <cellStyle name="Normal 20 2 2 5 2 6" xfId="27946" xr:uid="{00000000-0005-0000-0000-0000C47E0000}"/>
    <cellStyle name="Normal 20 2 2 5 2 7" xfId="14882" xr:uid="{00000000-0005-0000-0000-0000C57E0000}"/>
    <cellStyle name="Normal 20 2 2 5 3" xfId="1486" xr:uid="{00000000-0005-0000-0000-0000C67E0000}"/>
    <cellStyle name="Normal 20 2 2 5 3 2" xfId="8020" xr:uid="{00000000-0005-0000-0000-0000C77E0000}"/>
    <cellStyle name="Normal 20 2 2 5 3 2 2" xfId="39761" xr:uid="{00000000-0005-0000-0000-0000C87E0000}"/>
    <cellStyle name="Normal 20 2 2 5 3 2 2 2" xfId="55861" xr:uid="{00000000-0005-0000-0000-0000C97E0000}"/>
    <cellStyle name="Normal 20 2 2 5 3 2 3" xfId="46294" xr:uid="{00000000-0005-0000-0000-0000CA7E0000}"/>
    <cellStyle name="Normal 20 2 2 5 3 2 4" xfId="30194" xr:uid="{00000000-0005-0000-0000-0000CB7E0000}"/>
    <cellStyle name="Normal 20 2 2 5 3 2 5" xfId="20625" xr:uid="{00000000-0005-0000-0000-0000CC7E0000}"/>
    <cellStyle name="Normal 20 2 2 5 3 3" xfId="11056" xr:uid="{00000000-0005-0000-0000-0000CD7E0000}"/>
    <cellStyle name="Normal 20 2 2 5 3 3 2" xfId="49330" xr:uid="{00000000-0005-0000-0000-0000CE7E0000}"/>
    <cellStyle name="Normal 20 2 2 5 3 3 3" xfId="33230" xr:uid="{00000000-0005-0000-0000-0000CF7E0000}"/>
    <cellStyle name="Normal 20 2 2 5 3 3 4" xfId="23661" xr:uid="{00000000-0005-0000-0000-0000D07E0000}"/>
    <cellStyle name="Normal 20 2 2 5 3 4" xfId="4984" xr:uid="{00000000-0005-0000-0000-0000D17E0000}"/>
    <cellStyle name="Normal 20 2 2 5 3 4 2" xfId="52825" xr:uid="{00000000-0005-0000-0000-0000D27E0000}"/>
    <cellStyle name="Normal 20 2 2 5 3 4 3" xfId="36725" xr:uid="{00000000-0005-0000-0000-0000D37E0000}"/>
    <cellStyle name="Normal 20 2 2 5 3 4 4" xfId="17589" xr:uid="{00000000-0005-0000-0000-0000D47E0000}"/>
    <cellStyle name="Normal 20 2 2 5 3 5" xfId="43258" xr:uid="{00000000-0005-0000-0000-0000D57E0000}"/>
    <cellStyle name="Normal 20 2 2 5 3 6" xfId="27158" xr:uid="{00000000-0005-0000-0000-0000D67E0000}"/>
    <cellStyle name="Normal 20 2 2 5 3 7" xfId="14094" xr:uid="{00000000-0005-0000-0000-0000D77E0000}"/>
    <cellStyle name="Normal 20 2 2 5 4" xfId="7010" xr:uid="{00000000-0005-0000-0000-0000D87E0000}"/>
    <cellStyle name="Normal 20 2 2 5 4 2" xfId="38751" xr:uid="{00000000-0005-0000-0000-0000D97E0000}"/>
    <cellStyle name="Normal 20 2 2 5 4 2 2" xfId="54851" xr:uid="{00000000-0005-0000-0000-0000DA7E0000}"/>
    <cellStyle name="Normal 20 2 2 5 4 3" xfId="45284" xr:uid="{00000000-0005-0000-0000-0000DB7E0000}"/>
    <cellStyle name="Normal 20 2 2 5 4 4" xfId="29184" xr:uid="{00000000-0005-0000-0000-0000DC7E0000}"/>
    <cellStyle name="Normal 20 2 2 5 4 5" xfId="19615" xr:uid="{00000000-0005-0000-0000-0000DD7E0000}"/>
    <cellStyle name="Normal 20 2 2 5 5" xfId="10046" xr:uid="{00000000-0005-0000-0000-0000DE7E0000}"/>
    <cellStyle name="Normal 20 2 2 5 5 2" xfId="48320" xr:uid="{00000000-0005-0000-0000-0000DF7E0000}"/>
    <cellStyle name="Normal 20 2 2 5 5 3" xfId="32220" xr:uid="{00000000-0005-0000-0000-0000E07E0000}"/>
    <cellStyle name="Normal 20 2 2 5 5 4" xfId="22651" xr:uid="{00000000-0005-0000-0000-0000E17E0000}"/>
    <cellStyle name="Normal 20 2 2 5 6" xfId="3974" xr:uid="{00000000-0005-0000-0000-0000E27E0000}"/>
    <cellStyle name="Normal 20 2 2 5 6 2" xfId="51815" xr:uid="{00000000-0005-0000-0000-0000E37E0000}"/>
    <cellStyle name="Normal 20 2 2 5 6 3" xfId="35715" xr:uid="{00000000-0005-0000-0000-0000E47E0000}"/>
    <cellStyle name="Normal 20 2 2 5 6 4" xfId="16579" xr:uid="{00000000-0005-0000-0000-0000E57E0000}"/>
    <cellStyle name="Normal 20 2 2 5 7" xfId="42248" xr:uid="{00000000-0005-0000-0000-0000E67E0000}"/>
    <cellStyle name="Normal 20 2 2 5 8" xfId="26148" xr:uid="{00000000-0005-0000-0000-0000E77E0000}"/>
    <cellStyle name="Normal 20 2 2 5 9" xfId="13084" xr:uid="{00000000-0005-0000-0000-0000E87E0000}"/>
    <cellStyle name="Normal 20 2 2 6" xfId="530" xr:uid="{00000000-0005-0000-0000-0000E97E0000}"/>
    <cellStyle name="Normal 20 2 2 6 2" xfId="2560" xr:uid="{00000000-0005-0000-0000-0000EA7E0000}"/>
    <cellStyle name="Normal 20 2 2 6 2 2" xfId="9092" xr:uid="{00000000-0005-0000-0000-0000EB7E0000}"/>
    <cellStyle name="Normal 20 2 2 6 2 2 2" xfId="40833" xr:uid="{00000000-0005-0000-0000-0000EC7E0000}"/>
    <cellStyle name="Normal 20 2 2 6 2 2 2 2" xfId="56933" xr:uid="{00000000-0005-0000-0000-0000ED7E0000}"/>
    <cellStyle name="Normal 20 2 2 6 2 2 3" xfId="47366" xr:uid="{00000000-0005-0000-0000-0000EE7E0000}"/>
    <cellStyle name="Normal 20 2 2 6 2 2 4" xfId="31266" xr:uid="{00000000-0005-0000-0000-0000EF7E0000}"/>
    <cellStyle name="Normal 20 2 2 6 2 2 5" xfId="21697" xr:uid="{00000000-0005-0000-0000-0000F07E0000}"/>
    <cellStyle name="Normal 20 2 2 6 2 3" xfId="12128" xr:uid="{00000000-0005-0000-0000-0000F17E0000}"/>
    <cellStyle name="Normal 20 2 2 6 2 3 2" xfId="50402" xr:uid="{00000000-0005-0000-0000-0000F27E0000}"/>
    <cellStyle name="Normal 20 2 2 6 2 3 3" xfId="34302" xr:uid="{00000000-0005-0000-0000-0000F37E0000}"/>
    <cellStyle name="Normal 20 2 2 6 2 3 4" xfId="24733" xr:uid="{00000000-0005-0000-0000-0000F47E0000}"/>
    <cellStyle name="Normal 20 2 2 6 2 4" xfId="6056" xr:uid="{00000000-0005-0000-0000-0000F57E0000}"/>
    <cellStyle name="Normal 20 2 2 6 2 4 2" xfId="53897" xr:uid="{00000000-0005-0000-0000-0000F67E0000}"/>
    <cellStyle name="Normal 20 2 2 6 2 4 3" xfId="37797" xr:uid="{00000000-0005-0000-0000-0000F77E0000}"/>
    <cellStyle name="Normal 20 2 2 6 2 4 4" xfId="18661" xr:uid="{00000000-0005-0000-0000-0000F87E0000}"/>
    <cellStyle name="Normal 20 2 2 6 2 5" xfId="44330" xr:uid="{00000000-0005-0000-0000-0000F97E0000}"/>
    <cellStyle name="Normal 20 2 2 6 2 6" xfId="28230" xr:uid="{00000000-0005-0000-0000-0000FA7E0000}"/>
    <cellStyle name="Normal 20 2 2 6 2 7" xfId="15166" xr:uid="{00000000-0005-0000-0000-0000FB7E0000}"/>
    <cellStyle name="Normal 20 2 2 6 3" xfId="1309" xr:uid="{00000000-0005-0000-0000-0000FC7E0000}"/>
    <cellStyle name="Normal 20 2 2 6 3 2" xfId="7843" xr:uid="{00000000-0005-0000-0000-0000FD7E0000}"/>
    <cellStyle name="Normal 20 2 2 6 3 2 2" xfId="39584" xr:uid="{00000000-0005-0000-0000-0000FE7E0000}"/>
    <cellStyle name="Normal 20 2 2 6 3 2 2 2" xfId="55684" xr:uid="{00000000-0005-0000-0000-0000FF7E0000}"/>
    <cellStyle name="Normal 20 2 2 6 3 2 3" xfId="46117" xr:uid="{00000000-0005-0000-0000-0000007F0000}"/>
    <cellStyle name="Normal 20 2 2 6 3 2 4" xfId="30017" xr:uid="{00000000-0005-0000-0000-0000017F0000}"/>
    <cellStyle name="Normal 20 2 2 6 3 2 5" xfId="20448" xr:uid="{00000000-0005-0000-0000-0000027F0000}"/>
    <cellStyle name="Normal 20 2 2 6 3 3" xfId="10879" xr:uid="{00000000-0005-0000-0000-0000037F0000}"/>
    <cellStyle name="Normal 20 2 2 6 3 3 2" xfId="49153" xr:uid="{00000000-0005-0000-0000-0000047F0000}"/>
    <cellStyle name="Normal 20 2 2 6 3 3 3" xfId="33053" xr:uid="{00000000-0005-0000-0000-0000057F0000}"/>
    <cellStyle name="Normal 20 2 2 6 3 3 4" xfId="23484" xr:uid="{00000000-0005-0000-0000-0000067F0000}"/>
    <cellStyle name="Normal 20 2 2 6 3 4" xfId="4807" xr:uid="{00000000-0005-0000-0000-0000077F0000}"/>
    <cellStyle name="Normal 20 2 2 6 3 4 2" xfId="52648" xr:uid="{00000000-0005-0000-0000-0000087F0000}"/>
    <cellStyle name="Normal 20 2 2 6 3 4 3" xfId="36548" xr:uid="{00000000-0005-0000-0000-0000097F0000}"/>
    <cellStyle name="Normal 20 2 2 6 3 4 4" xfId="17412" xr:uid="{00000000-0005-0000-0000-00000A7F0000}"/>
    <cellStyle name="Normal 20 2 2 6 3 5" xfId="43081" xr:uid="{00000000-0005-0000-0000-00000B7F0000}"/>
    <cellStyle name="Normal 20 2 2 6 3 6" xfId="26981" xr:uid="{00000000-0005-0000-0000-00000C7F0000}"/>
    <cellStyle name="Normal 20 2 2 6 3 7" xfId="13917" xr:uid="{00000000-0005-0000-0000-00000D7F0000}"/>
    <cellStyle name="Normal 20 2 2 6 4" xfId="6833" xr:uid="{00000000-0005-0000-0000-00000E7F0000}"/>
    <cellStyle name="Normal 20 2 2 6 4 2" xfId="38574" xr:uid="{00000000-0005-0000-0000-00000F7F0000}"/>
    <cellStyle name="Normal 20 2 2 6 4 2 2" xfId="54674" xr:uid="{00000000-0005-0000-0000-0000107F0000}"/>
    <cellStyle name="Normal 20 2 2 6 4 3" xfId="45107" xr:uid="{00000000-0005-0000-0000-0000117F0000}"/>
    <cellStyle name="Normal 20 2 2 6 4 4" xfId="29007" xr:uid="{00000000-0005-0000-0000-0000127F0000}"/>
    <cellStyle name="Normal 20 2 2 6 4 5" xfId="19438" xr:uid="{00000000-0005-0000-0000-0000137F0000}"/>
    <cellStyle name="Normal 20 2 2 6 5" xfId="9869" xr:uid="{00000000-0005-0000-0000-0000147F0000}"/>
    <cellStyle name="Normal 20 2 2 6 5 2" xfId="48143" xr:uid="{00000000-0005-0000-0000-0000157F0000}"/>
    <cellStyle name="Normal 20 2 2 6 5 3" xfId="32043" xr:uid="{00000000-0005-0000-0000-0000167F0000}"/>
    <cellStyle name="Normal 20 2 2 6 5 4" xfId="22474" xr:uid="{00000000-0005-0000-0000-0000177F0000}"/>
    <cellStyle name="Normal 20 2 2 6 6" xfId="3797" xr:uid="{00000000-0005-0000-0000-0000187F0000}"/>
    <cellStyle name="Normal 20 2 2 6 6 2" xfId="51638" xr:uid="{00000000-0005-0000-0000-0000197F0000}"/>
    <cellStyle name="Normal 20 2 2 6 6 3" xfId="35538" xr:uid="{00000000-0005-0000-0000-00001A7F0000}"/>
    <cellStyle name="Normal 20 2 2 6 6 4" xfId="16402" xr:uid="{00000000-0005-0000-0000-00001B7F0000}"/>
    <cellStyle name="Normal 20 2 2 6 7" xfId="42071" xr:uid="{00000000-0005-0000-0000-00001C7F0000}"/>
    <cellStyle name="Normal 20 2 2 6 8" xfId="25971" xr:uid="{00000000-0005-0000-0000-00001D7F0000}"/>
    <cellStyle name="Normal 20 2 2 6 9" xfId="12907" xr:uid="{00000000-0005-0000-0000-00001E7F0000}"/>
    <cellStyle name="Normal 20 2 2 7" xfId="760" xr:uid="{00000000-0005-0000-0000-00001F7F0000}"/>
    <cellStyle name="Normal 20 2 2 7 2" xfId="2788" xr:uid="{00000000-0005-0000-0000-0000207F0000}"/>
    <cellStyle name="Normal 20 2 2 7 2 2" xfId="9320" xr:uid="{00000000-0005-0000-0000-0000217F0000}"/>
    <cellStyle name="Normal 20 2 2 7 2 2 2" xfId="41061" xr:uid="{00000000-0005-0000-0000-0000227F0000}"/>
    <cellStyle name="Normal 20 2 2 7 2 2 2 2" xfId="57161" xr:uid="{00000000-0005-0000-0000-0000237F0000}"/>
    <cellStyle name="Normal 20 2 2 7 2 2 3" xfId="47594" xr:uid="{00000000-0005-0000-0000-0000247F0000}"/>
    <cellStyle name="Normal 20 2 2 7 2 2 4" xfId="31494" xr:uid="{00000000-0005-0000-0000-0000257F0000}"/>
    <cellStyle name="Normal 20 2 2 7 2 2 5" xfId="21925" xr:uid="{00000000-0005-0000-0000-0000267F0000}"/>
    <cellStyle name="Normal 20 2 2 7 2 3" xfId="12356" xr:uid="{00000000-0005-0000-0000-0000277F0000}"/>
    <cellStyle name="Normal 20 2 2 7 2 3 2" xfId="50630" xr:uid="{00000000-0005-0000-0000-0000287F0000}"/>
    <cellStyle name="Normal 20 2 2 7 2 3 3" xfId="34530" xr:uid="{00000000-0005-0000-0000-0000297F0000}"/>
    <cellStyle name="Normal 20 2 2 7 2 3 4" xfId="24961" xr:uid="{00000000-0005-0000-0000-00002A7F0000}"/>
    <cellStyle name="Normal 20 2 2 7 2 4" xfId="6284" xr:uid="{00000000-0005-0000-0000-00002B7F0000}"/>
    <cellStyle name="Normal 20 2 2 7 2 4 2" xfId="54125" xr:uid="{00000000-0005-0000-0000-00002C7F0000}"/>
    <cellStyle name="Normal 20 2 2 7 2 4 3" xfId="38025" xr:uid="{00000000-0005-0000-0000-00002D7F0000}"/>
    <cellStyle name="Normal 20 2 2 7 2 4 4" xfId="18889" xr:uid="{00000000-0005-0000-0000-00002E7F0000}"/>
    <cellStyle name="Normal 20 2 2 7 2 5" xfId="44558" xr:uid="{00000000-0005-0000-0000-00002F7F0000}"/>
    <cellStyle name="Normal 20 2 2 7 2 6" xfId="28458" xr:uid="{00000000-0005-0000-0000-0000307F0000}"/>
    <cellStyle name="Normal 20 2 2 7 2 7" xfId="15394" xr:uid="{00000000-0005-0000-0000-0000317F0000}"/>
    <cellStyle name="Normal 20 2 2 7 3" xfId="1770" xr:uid="{00000000-0005-0000-0000-0000327F0000}"/>
    <cellStyle name="Normal 20 2 2 7 3 2" xfId="8304" xr:uid="{00000000-0005-0000-0000-0000337F0000}"/>
    <cellStyle name="Normal 20 2 2 7 3 2 2" xfId="40045" xr:uid="{00000000-0005-0000-0000-0000347F0000}"/>
    <cellStyle name="Normal 20 2 2 7 3 2 2 2" xfId="56145" xr:uid="{00000000-0005-0000-0000-0000357F0000}"/>
    <cellStyle name="Normal 20 2 2 7 3 2 3" xfId="46578" xr:uid="{00000000-0005-0000-0000-0000367F0000}"/>
    <cellStyle name="Normal 20 2 2 7 3 2 4" xfId="30478" xr:uid="{00000000-0005-0000-0000-0000377F0000}"/>
    <cellStyle name="Normal 20 2 2 7 3 2 5" xfId="20909" xr:uid="{00000000-0005-0000-0000-0000387F0000}"/>
    <cellStyle name="Normal 20 2 2 7 3 3" xfId="11340" xr:uid="{00000000-0005-0000-0000-0000397F0000}"/>
    <cellStyle name="Normal 20 2 2 7 3 3 2" xfId="49614" xr:uid="{00000000-0005-0000-0000-00003A7F0000}"/>
    <cellStyle name="Normal 20 2 2 7 3 3 3" xfId="33514" xr:uid="{00000000-0005-0000-0000-00003B7F0000}"/>
    <cellStyle name="Normal 20 2 2 7 3 3 4" xfId="23945" xr:uid="{00000000-0005-0000-0000-00003C7F0000}"/>
    <cellStyle name="Normal 20 2 2 7 3 4" xfId="5268" xr:uid="{00000000-0005-0000-0000-00003D7F0000}"/>
    <cellStyle name="Normal 20 2 2 7 3 4 2" xfId="53109" xr:uid="{00000000-0005-0000-0000-00003E7F0000}"/>
    <cellStyle name="Normal 20 2 2 7 3 4 3" xfId="37009" xr:uid="{00000000-0005-0000-0000-00003F7F0000}"/>
    <cellStyle name="Normal 20 2 2 7 3 4 4" xfId="17873" xr:uid="{00000000-0005-0000-0000-0000407F0000}"/>
    <cellStyle name="Normal 20 2 2 7 3 5" xfId="43542" xr:uid="{00000000-0005-0000-0000-0000417F0000}"/>
    <cellStyle name="Normal 20 2 2 7 3 6" xfId="27442" xr:uid="{00000000-0005-0000-0000-0000427F0000}"/>
    <cellStyle name="Normal 20 2 2 7 3 7" xfId="14378" xr:uid="{00000000-0005-0000-0000-0000437F0000}"/>
    <cellStyle name="Normal 20 2 2 7 4" xfId="7294" xr:uid="{00000000-0005-0000-0000-0000447F0000}"/>
    <cellStyle name="Normal 20 2 2 7 4 2" xfId="39035" xr:uid="{00000000-0005-0000-0000-0000457F0000}"/>
    <cellStyle name="Normal 20 2 2 7 4 2 2" xfId="55135" xr:uid="{00000000-0005-0000-0000-0000467F0000}"/>
    <cellStyle name="Normal 20 2 2 7 4 3" xfId="45568" xr:uid="{00000000-0005-0000-0000-0000477F0000}"/>
    <cellStyle name="Normal 20 2 2 7 4 4" xfId="29468" xr:uid="{00000000-0005-0000-0000-0000487F0000}"/>
    <cellStyle name="Normal 20 2 2 7 4 5" xfId="19899" xr:uid="{00000000-0005-0000-0000-0000497F0000}"/>
    <cellStyle name="Normal 20 2 2 7 5" xfId="10330" xr:uid="{00000000-0005-0000-0000-00004A7F0000}"/>
    <cellStyle name="Normal 20 2 2 7 5 2" xfId="48604" xr:uid="{00000000-0005-0000-0000-00004B7F0000}"/>
    <cellStyle name="Normal 20 2 2 7 5 3" xfId="32504" xr:uid="{00000000-0005-0000-0000-00004C7F0000}"/>
    <cellStyle name="Normal 20 2 2 7 5 4" xfId="22935" xr:uid="{00000000-0005-0000-0000-00004D7F0000}"/>
    <cellStyle name="Normal 20 2 2 7 6" xfId="4258" xr:uid="{00000000-0005-0000-0000-00004E7F0000}"/>
    <cellStyle name="Normal 20 2 2 7 6 2" xfId="52099" xr:uid="{00000000-0005-0000-0000-00004F7F0000}"/>
    <cellStyle name="Normal 20 2 2 7 6 3" xfId="35999" xr:uid="{00000000-0005-0000-0000-0000507F0000}"/>
    <cellStyle name="Normal 20 2 2 7 6 4" xfId="16863" xr:uid="{00000000-0005-0000-0000-0000517F0000}"/>
    <cellStyle name="Normal 20 2 2 7 7" xfId="42532" xr:uid="{00000000-0005-0000-0000-0000527F0000}"/>
    <cellStyle name="Normal 20 2 2 7 8" xfId="26432" xr:uid="{00000000-0005-0000-0000-0000537F0000}"/>
    <cellStyle name="Normal 20 2 2 7 9" xfId="13368" xr:uid="{00000000-0005-0000-0000-0000547F0000}"/>
    <cellStyle name="Normal 20 2 2 8" xfId="2097" xr:uid="{00000000-0005-0000-0000-0000557F0000}"/>
    <cellStyle name="Normal 20 2 2 8 2" xfId="8631" xr:uid="{00000000-0005-0000-0000-0000567F0000}"/>
    <cellStyle name="Normal 20 2 2 8 2 2" xfId="40372" xr:uid="{00000000-0005-0000-0000-0000577F0000}"/>
    <cellStyle name="Normal 20 2 2 8 2 2 2" xfId="56472" xr:uid="{00000000-0005-0000-0000-0000587F0000}"/>
    <cellStyle name="Normal 20 2 2 8 2 3" xfId="46905" xr:uid="{00000000-0005-0000-0000-0000597F0000}"/>
    <cellStyle name="Normal 20 2 2 8 2 4" xfId="30805" xr:uid="{00000000-0005-0000-0000-00005A7F0000}"/>
    <cellStyle name="Normal 20 2 2 8 2 5" xfId="21236" xr:uid="{00000000-0005-0000-0000-00005B7F0000}"/>
    <cellStyle name="Normal 20 2 2 8 3" xfId="11667" xr:uid="{00000000-0005-0000-0000-00005C7F0000}"/>
    <cellStyle name="Normal 20 2 2 8 3 2" xfId="49941" xr:uid="{00000000-0005-0000-0000-00005D7F0000}"/>
    <cellStyle name="Normal 20 2 2 8 3 3" xfId="33841" xr:uid="{00000000-0005-0000-0000-00005E7F0000}"/>
    <cellStyle name="Normal 20 2 2 8 3 4" xfId="24272" xr:uid="{00000000-0005-0000-0000-00005F7F0000}"/>
    <cellStyle name="Normal 20 2 2 8 4" xfId="5595" xr:uid="{00000000-0005-0000-0000-0000607F0000}"/>
    <cellStyle name="Normal 20 2 2 8 4 2" xfId="53436" xr:uid="{00000000-0005-0000-0000-0000617F0000}"/>
    <cellStyle name="Normal 20 2 2 8 4 3" xfId="37336" xr:uid="{00000000-0005-0000-0000-0000627F0000}"/>
    <cellStyle name="Normal 20 2 2 8 4 4" xfId="18200" xr:uid="{00000000-0005-0000-0000-0000637F0000}"/>
    <cellStyle name="Normal 20 2 2 8 5" xfId="43869" xr:uid="{00000000-0005-0000-0000-0000647F0000}"/>
    <cellStyle name="Normal 20 2 2 8 6" xfId="27769" xr:uid="{00000000-0005-0000-0000-0000657F0000}"/>
    <cellStyle name="Normal 20 2 2 8 7" xfId="14705" xr:uid="{00000000-0005-0000-0000-0000667F0000}"/>
    <cellStyle name="Normal 20 2 2 9" xfId="1087" xr:uid="{00000000-0005-0000-0000-0000677F0000}"/>
    <cellStyle name="Normal 20 2 2 9 2" xfId="7621" xr:uid="{00000000-0005-0000-0000-0000687F0000}"/>
    <cellStyle name="Normal 20 2 2 9 2 2" xfId="39362" xr:uid="{00000000-0005-0000-0000-0000697F0000}"/>
    <cellStyle name="Normal 20 2 2 9 2 2 2" xfId="55462" xr:uid="{00000000-0005-0000-0000-00006A7F0000}"/>
    <cellStyle name="Normal 20 2 2 9 2 3" xfId="45895" xr:uid="{00000000-0005-0000-0000-00006B7F0000}"/>
    <cellStyle name="Normal 20 2 2 9 2 4" xfId="29795" xr:uid="{00000000-0005-0000-0000-00006C7F0000}"/>
    <cellStyle name="Normal 20 2 2 9 2 5" xfId="20226" xr:uid="{00000000-0005-0000-0000-00006D7F0000}"/>
    <cellStyle name="Normal 20 2 2 9 3" xfId="10657" xr:uid="{00000000-0005-0000-0000-00006E7F0000}"/>
    <cellStyle name="Normal 20 2 2 9 3 2" xfId="48931" xr:uid="{00000000-0005-0000-0000-00006F7F0000}"/>
    <cellStyle name="Normal 20 2 2 9 3 3" xfId="32831" xr:uid="{00000000-0005-0000-0000-0000707F0000}"/>
    <cellStyle name="Normal 20 2 2 9 3 4" xfId="23262" xr:uid="{00000000-0005-0000-0000-0000717F0000}"/>
    <cellStyle name="Normal 20 2 2 9 4" xfId="4585" xr:uid="{00000000-0005-0000-0000-0000727F0000}"/>
    <cellStyle name="Normal 20 2 2 9 4 2" xfId="52426" xr:uid="{00000000-0005-0000-0000-0000737F0000}"/>
    <cellStyle name="Normal 20 2 2 9 4 3" xfId="36326" xr:uid="{00000000-0005-0000-0000-0000747F0000}"/>
    <cellStyle name="Normal 20 2 2 9 4 4" xfId="17190" xr:uid="{00000000-0005-0000-0000-0000757F0000}"/>
    <cellStyle name="Normal 20 2 2 9 5" xfId="42859" xr:uid="{00000000-0005-0000-0000-0000767F0000}"/>
    <cellStyle name="Normal 20 2 2 9 6" xfId="26759" xr:uid="{00000000-0005-0000-0000-0000777F0000}"/>
    <cellStyle name="Normal 20 2 2 9 7" xfId="13695" xr:uid="{00000000-0005-0000-0000-0000787F0000}"/>
    <cellStyle name="Normal 20 2 20" xfId="3097" xr:uid="{00000000-0005-0000-0000-0000797F0000}"/>
    <cellStyle name="Normal 20 2 20 2" xfId="50939" xr:uid="{00000000-0005-0000-0000-00007A7F0000}"/>
    <cellStyle name="Normal 20 2 20 3" xfId="34839" xr:uid="{00000000-0005-0000-0000-00007B7F0000}"/>
    <cellStyle name="Normal 20 2 20 4" xfId="15703" xr:uid="{00000000-0005-0000-0000-00007C7F0000}"/>
    <cellStyle name="Normal 20 2 21" xfId="41372" xr:uid="{00000000-0005-0000-0000-00007D7F0000}"/>
    <cellStyle name="Normal 20 2 22" xfId="25272" xr:uid="{00000000-0005-0000-0000-00007E7F0000}"/>
    <cellStyle name="Normal 20 2 23" xfId="12667" xr:uid="{00000000-0005-0000-0000-00007F7F0000}"/>
    <cellStyle name="Normal 20 2 3" xfId="127" xr:uid="{00000000-0005-0000-0000-0000807F0000}"/>
    <cellStyle name="Normal 20 2 3 10" xfId="9710" xr:uid="{00000000-0005-0000-0000-0000817F0000}"/>
    <cellStyle name="Normal 20 2 3 10 2" xfId="47984" xr:uid="{00000000-0005-0000-0000-0000827F0000}"/>
    <cellStyle name="Normal 20 2 3 10 3" xfId="31884" xr:uid="{00000000-0005-0000-0000-0000837F0000}"/>
    <cellStyle name="Normal 20 2 3 10 4" xfId="22315" xr:uid="{00000000-0005-0000-0000-0000847F0000}"/>
    <cellStyle name="Normal 20 2 3 11" xfId="3178" xr:uid="{00000000-0005-0000-0000-0000857F0000}"/>
    <cellStyle name="Normal 20 2 3 11 2" xfId="51020" xr:uid="{00000000-0005-0000-0000-0000867F0000}"/>
    <cellStyle name="Normal 20 2 3 11 3" xfId="34920" xr:uid="{00000000-0005-0000-0000-0000877F0000}"/>
    <cellStyle name="Normal 20 2 3 11 4" xfId="15784" xr:uid="{00000000-0005-0000-0000-0000887F0000}"/>
    <cellStyle name="Normal 20 2 3 12" xfId="41453" xr:uid="{00000000-0005-0000-0000-0000897F0000}"/>
    <cellStyle name="Normal 20 2 3 13" xfId="25353" xr:uid="{00000000-0005-0000-0000-00008A7F0000}"/>
    <cellStyle name="Normal 20 2 3 14" xfId="12748" xr:uid="{00000000-0005-0000-0000-00008B7F0000}"/>
    <cellStyle name="Normal 20 2 3 2" xfId="202" xr:uid="{00000000-0005-0000-0000-00008C7F0000}"/>
    <cellStyle name="Normal 20 2 3 2 10" xfId="41690" xr:uid="{00000000-0005-0000-0000-00008D7F0000}"/>
    <cellStyle name="Normal 20 2 3 2 11" xfId="25590" xr:uid="{00000000-0005-0000-0000-00008E7F0000}"/>
    <cellStyle name="Normal 20 2 3 2 12" xfId="13031" xr:uid="{00000000-0005-0000-0000-00008F7F0000}"/>
    <cellStyle name="Normal 20 2 3 2 2" xfId="379" xr:uid="{00000000-0005-0000-0000-0000907F0000}"/>
    <cellStyle name="Normal 20 2 3 2 2 2" xfId="2398" xr:uid="{00000000-0005-0000-0000-0000917F0000}"/>
    <cellStyle name="Normal 20 2 3 2 2 2 2" xfId="8932" xr:uid="{00000000-0005-0000-0000-0000927F0000}"/>
    <cellStyle name="Normal 20 2 3 2 2 2 2 2" xfId="40673" xr:uid="{00000000-0005-0000-0000-0000937F0000}"/>
    <cellStyle name="Normal 20 2 3 2 2 2 2 2 2" xfId="56773" xr:uid="{00000000-0005-0000-0000-0000947F0000}"/>
    <cellStyle name="Normal 20 2 3 2 2 2 2 3" xfId="47206" xr:uid="{00000000-0005-0000-0000-0000957F0000}"/>
    <cellStyle name="Normal 20 2 3 2 2 2 2 4" xfId="31106" xr:uid="{00000000-0005-0000-0000-0000967F0000}"/>
    <cellStyle name="Normal 20 2 3 2 2 2 2 5" xfId="21537" xr:uid="{00000000-0005-0000-0000-0000977F0000}"/>
    <cellStyle name="Normal 20 2 3 2 2 2 3" xfId="11968" xr:uid="{00000000-0005-0000-0000-0000987F0000}"/>
    <cellStyle name="Normal 20 2 3 2 2 2 3 2" xfId="50242" xr:uid="{00000000-0005-0000-0000-0000997F0000}"/>
    <cellStyle name="Normal 20 2 3 2 2 2 3 3" xfId="34142" xr:uid="{00000000-0005-0000-0000-00009A7F0000}"/>
    <cellStyle name="Normal 20 2 3 2 2 2 3 4" xfId="24573" xr:uid="{00000000-0005-0000-0000-00009B7F0000}"/>
    <cellStyle name="Normal 20 2 3 2 2 2 4" xfId="5896" xr:uid="{00000000-0005-0000-0000-00009C7F0000}"/>
    <cellStyle name="Normal 20 2 3 2 2 2 4 2" xfId="53737" xr:uid="{00000000-0005-0000-0000-00009D7F0000}"/>
    <cellStyle name="Normal 20 2 3 2 2 2 4 3" xfId="37637" xr:uid="{00000000-0005-0000-0000-00009E7F0000}"/>
    <cellStyle name="Normal 20 2 3 2 2 2 4 4" xfId="18501" xr:uid="{00000000-0005-0000-0000-00009F7F0000}"/>
    <cellStyle name="Normal 20 2 3 2 2 2 5" xfId="44170" xr:uid="{00000000-0005-0000-0000-0000A07F0000}"/>
    <cellStyle name="Normal 20 2 3 2 2 2 6" xfId="28070" xr:uid="{00000000-0005-0000-0000-0000A17F0000}"/>
    <cellStyle name="Normal 20 2 3 2 2 2 7" xfId="15006" xr:uid="{00000000-0005-0000-0000-0000A27F0000}"/>
    <cellStyle name="Normal 20 2 3 2 2 3" xfId="1610" xr:uid="{00000000-0005-0000-0000-0000A37F0000}"/>
    <cellStyle name="Normal 20 2 3 2 2 3 2" xfId="8144" xr:uid="{00000000-0005-0000-0000-0000A47F0000}"/>
    <cellStyle name="Normal 20 2 3 2 2 3 2 2" xfId="39885" xr:uid="{00000000-0005-0000-0000-0000A57F0000}"/>
    <cellStyle name="Normal 20 2 3 2 2 3 2 2 2" xfId="55985" xr:uid="{00000000-0005-0000-0000-0000A67F0000}"/>
    <cellStyle name="Normal 20 2 3 2 2 3 2 3" xfId="46418" xr:uid="{00000000-0005-0000-0000-0000A77F0000}"/>
    <cellStyle name="Normal 20 2 3 2 2 3 2 4" xfId="30318" xr:uid="{00000000-0005-0000-0000-0000A87F0000}"/>
    <cellStyle name="Normal 20 2 3 2 2 3 2 5" xfId="20749" xr:uid="{00000000-0005-0000-0000-0000A97F0000}"/>
    <cellStyle name="Normal 20 2 3 2 2 3 3" xfId="11180" xr:uid="{00000000-0005-0000-0000-0000AA7F0000}"/>
    <cellStyle name="Normal 20 2 3 2 2 3 3 2" xfId="49454" xr:uid="{00000000-0005-0000-0000-0000AB7F0000}"/>
    <cellStyle name="Normal 20 2 3 2 2 3 3 3" xfId="33354" xr:uid="{00000000-0005-0000-0000-0000AC7F0000}"/>
    <cellStyle name="Normal 20 2 3 2 2 3 3 4" xfId="23785" xr:uid="{00000000-0005-0000-0000-0000AD7F0000}"/>
    <cellStyle name="Normal 20 2 3 2 2 3 4" xfId="5108" xr:uid="{00000000-0005-0000-0000-0000AE7F0000}"/>
    <cellStyle name="Normal 20 2 3 2 2 3 4 2" xfId="52949" xr:uid="{00000000-0005-0000-0000-0000AF7F0000}"/>
    <cellStyle name="Normal 20 2 3 2 2 3 4 3" xfId="36849" xr:uid="{00000000-0005-0000-0000-0000B07F0000}"/>
    <cellStyle name="Normal 20 2 3 2 2 3 4 4" xfId="17713" xr:uid="{00000000-0005-0000-0000-0000B17F0000}"/>
    <cellStyle name="Normal 20 2 3 2 2 3 5" xfId="43382" xr:uid="{00000000-0005-0000-0000-0000B27F0000}"/>
    <cellStyle name="Normal 20 2 3 2 2 3 6" xfId="27282" xr:uid="{00000000-0005-0000-0000-0000B37F0000}"/>
    <cellStyle name="Normal 20 2 3 2 2 3 7" xfId="14218" xr:uid="{00000000-0005-0000-0000-0000B47F0000}"/>
    <cellStyle name="Normal 20 2 3 2 2 4" xfId="7134" xr:uid="{00000000-0005-0000-0000-0000B57F0000}"/>
    <cellStyle name="Normal 20 2 3 2 2 4 2" xfId="38875" xr:uid="{00000000-0005-0000-0000-0000B67F0000}"/>
    <cellStyle name="Normal 20 2 3 2 2 4 2 2" xfId="54975" xr:uid="{00000000-0005-0000-0000-0000B77F0000}"/>
    <cellStyle name="Normal 20 2 3 2 2 4 3" xfId="45408" xr:uid="{00000000-0005-0000-0000-0000B87F0000}"/>
    <cellStyle name="Normal 20 2 3 2 2 4 4" xfId="29308" xr:uid="{00000000-0005-0000-0000-0000B97F0000}"/>
    <cellStyle name="Normal 20 2 3 2 2 4 5" xfId="19739" xr:uid="{00000000-0005-0000-0000-0000BA7F0000}"/>
    <cellStyle name="Normal 20 2 3 2 2 5" xfId="10170" xr:uid="{00000000-0005-0000-0000-0000BB7F0000}"/>
    <cellStyle name="Normal 20 2 3 2 2 5 2" xfId="48444" xr:uid="{00000000-0005-0000-0000-0000BC7F0000}"/>
    <cellStyle name="Normal 20 2 3 2 2 5 3" xfId="32344" xr:uid="{00000000-0005-0000-0000-0000BD7F0000}"/>
    <cellStyle name="Normal 20 2 3 2 2 5 4" xfId="22775" xr:uid="{00000000-0005-0000-0000-0000BE7F0000}"/>
    <cellStyle name="Normal 20 2 3 2 2 6" xfId="4098" xr:uid="{00000000-0005-0000-0000-0000BF7F0000}"/>
    <cellStyle name="Normal 20 2 3 2 2 6 2" xfId="51939" xr:uid="{00000000-0005-0000-0000-0000C07F0000}"/>
    <cellStyle name="Normal 20 2 3 2 2 6 3" xfId="35839" xr:uid="{00000000-0005-0000-0000-0000C17F0000}"/>
    <cellStyle name="Normal 20 2 3 2 2 6 4" xfId="16703" xr:uid="{00000000-0005-0000-0000-0000C27F0000}"/>
    <cellStyle name="Normal 20 2 3 2 2 7" xfId="42372" xr:uid="{00000000-0005-0000-0000-0000C37F0000}"/>
    <cellStyle name="Normal 20 2 3 2 2 8" xfId="26272" xr:uid="{00000000-0005-0000-0000-0000C47F0000}"/>
    <cellStyle name="Normal 20 2 3 2 2 9" xfId="13208" xr:uid="{00000000-0005-0000-0000-0000C57F0000}"/>
    <cellStyle name="Normal 20 2 3 2 3" xfId="1018" xr:uid="{00000000-0005-0000-0000-0000C67F0000}"/>
    <cellStyle name="Normal 20 2 3 2 3 2" xfId="3046" xr:uid="{00000000-0005-0000-0000-0000C77F0000}"/>
    <cellStyle name="Normal 20 2 3 2 3 2 2" xfId="9578" xr:uid="{00000000-0005-0000-0000-0000C87F0000}"/>
    <cellStyle name="Normal 20 2 3 2 3 2 2 2" xfId="41319" xr:uid="{00000000-0005-0000-0000-0000C97F0000}"/>
    <cellStyle name="Normal 20 2 3 2 3 2 2 2 2" xfId="57419" xr:uid="{00000000-0005-0000-0000-0000CA7F0000}"/>
    <cellStyle name="Normal 20 2 3 2 3 2 2 3" xfId="47852" xr:uid="{00000000-0005-0000-0000-0000CB7F0000}"/>
    <cellStyle name="Normal 20 2 3 2 3 2 2 4" xfId="31752" xr:uid="{00000000-0005-0000-0000-0000CC7F0000}"/>
    <cellStyle name="Normal 20 2 3 2 3 2 2 5" xfId="22183" xr:uid="{00000000-0005-0000-0000-0000CD7F0000}"/>
    <cellStyle name="Normal 20 2 3 2 3 2 3" xfId="12614" xr:uid="{00000000-0005-0000-0000-0000CE7F0000}"/>
    <cellStyle name="Normal 20 2 3 2 3 2 3 2" xfId="50888" xr:uid="{00000000-0005-0000-0000-0000CF7F0000}"/>
    <cellStyle name="Normal 20 2 3 2 3 2 3 3" xfId="34788" xr:uid="{00000000-0005-0000-0000-0000D07F0000}"/>
    <cellStyle name="Normal 20 2 3 2 3 2 3 4" xfId="25219" xr:uid="{00000000-0005-0000-0000-0000D17F0000}"/>
    <cellStyle name="Normal 20 2 3 2 3 2 4" xfId="6542" xr:uid="{00000000-0005-0000-0000-0000D27F0000}"/>
    <cellStyle name="Normal 20 2 3 2 3 2 4 2" xfId="54383" xr:uid="{00000000-0005-0000-0000-0000D37F0000}"/>
    <cellStyle name="Normal 20 2 3 2 3 2 4 3" xfId="38283" xr:uid="{00000000-0005-0000-0000-0000D47F0000}"/>
    <cellStyle name="Normal 20 2 3 2 3 2 4 4" xfId="19147" xr:uid="{00000000-0005-0000-0000-0000D57F0000}"/>
    <cellStyle name="Normal 20 2 3 2 3 2 5" xfId="44816" xr:uid="{00000000-0005-0000-0000-0000D67F0000}"/>
    <cellStyle name="Normal 20 2 3 2 3 2 6" xfId="28716" xr:uid="{00000000-0005-0000-0000-0000D77F0000}"/>
    <cellStyle name="Normal 20 2 3 2 3 2 7" xfId="15652" xr:uid="{00000000-0005-0000-0000-0000D87F0000}"/>
    <cellStyle name="Normal 20 2 3 2 3 3" xfId="2028" xr:uid="{00000000-0005-0000-0000-0000D97F0000}"/>
    <cellStyle name="Normal 20 2 3 2 3 3 2" xfId="8562" xr:uid="{00000000-0005-0000-0000-0000DA7F0000}"/>
    <cellStyle name="Normal 20 2 3 2 3 3 2 2" xfId="40303" xr:uid="{00000000-0005-0000-0000-0000DB7F0000}"/>
    <cellStyle name="Normal 20 2 3 2 3 3 2 2 2" xfId="56403" xr:uid="{00000000-0005-0000-0000-0000DC7F0000}"/>
    <cellStyle name="Normal 20 2 3 2 3 3 2 3" xfId="46836" xr:uid="{00000000-0005-0000-0000-0000DD7F0000}"/>
    <cellStyle name="Normal 20 2 3 2 3 3 2 4" xfId="30736" xr:uid="{00000000-0005-0000-0000-0000DE7F0000}"/>
    <cellStyle name="Normal 20 2 3 2 3 3 2 5" xfId="21167" xr:uid="{00000000-0005-0000-0000-0000DF7F0000}"/>
    <cellStyle name="Normal 20 2 3 2 3 3 3" xfId="11598" xr:uid="{00000000-0005-0000-0000-0000E07F0000}"/>
    <cellStyle name="Normal 20 2 3 2 3 3 3 2" xfId="49872" xr:uid="{00000000-0005-0000-0000-0000E17F0000}"/>
    <cellStyle name="Normal 20 2 3 2 3 3 3 3" xfId="33772" xr:uid="{00000000-0005-0000-0000-0000E27F0000}"/>
    <cellStyle name="Normal 20 2 3 2 3 3 3 4" xfId="24203" xr:uid="{00000000-0005-0000-0000-0000E37F0000}"/>
    <cellStyle name="Normal 20 2 3 2 3 3 4" xfId="5526" xr:uid="{00000000-0005-0000-0000-0000E47F0000}"/>
    <cellStyle name="Normal 20 2 3 2 3 3 4 2" xfId="53367" xr:uid="{00000000-0005-0000-0000-0000E57F0000}"/>
    <cellStyle name="Normal 20 2 3 2 3 3 4 3" xfId="37267" xr:uid="{00000000-0005-0000-0000-0000E67F0000}"/>
    <cellStyle name="Normal 20 2 3 2 3 3 4 4" xfId="18131" xr:uid="{00000000-0005-0000-0000-0000E77F0000}"/>
    <cellStyle name="Normal 20 2 3 2 3 3 5" xfId="43800" xr:uid="{00000000-0005-0000-0000-0000E87F0000}"/>
    <cellStyle name="Normal 20 2 3 2 3 3 6" xfId="27700" xr:uid="{00000000-0005-0000-0000-0000E97F0000}"/>
    <cellStyle name="Normal 20 2 3 2 3 3 7" xfId="14636" xr:uid="{00000000-0005-0000-0000-0000EA7F0000}"/>
    <cellStyle name="Normal 20 2 3 2 3 4" xfId="7552" xr:uid="{00000000-0005-0000-0000-0000EB7F0000}"/>
    <cellStyle name="Normal 20 2 3 2 3 4 2" xfId="39293" xr:uid="{00000000-0005-0000-0000-0000EC7F0000}"/>
    <cellStyle name="Normal 20 2 3 2 3 4 2 2" xfId="55393" xr:uid="{00000000-0005-0000-0000-0000ED7F0000}"/>
    <cellStyle name="Normal 20 2 3 2 3 4 3" xfId="45826" xr:uid="{00000000-0005-0000-0000-0000EE7F0000}"/>
    <cellStyle name="Normal 20 2 3 2 3 4 4" xfId="29726" xr:uid="{00000000-0005-0000-0000-0000EF7F0000}"/>
    <cellStyle name="Normal 20 2 3 2 3 4 5" xfId="20157" xr:uid="{00000000-0005-0000-0000-0000F07F0000}"/>
    <cellStyle name="Normal 20 2 3 2 3 5" xfId="10588" xr:uid="{00000000-0005-0000-0000-0000F17F0000}"/>
    <cellStyle name="Normal 20 2 3 2 3 5 2" xfId="48862" xr:uid="{00000000-0005-0000-0000-0000F27F0000}"/>
    <cellStyle name="Normal 20 2 3 2 3 5 3" xfId="32762" xr:uid="{00000000-0005-0000-0000-0000F37F0000}"/>
    <cellStyle name="Normal 20 2 3 2 3 5 4" xfId="23193" xr:uid="{00000000-0005-0000-0000-0000F47F0000}"/>
    <cellStyle name="Normal 20 2 3 2 3 6" xfId="4516" xr:uid="{00000000-0005-0000-0000-0000F57F0000}"/>
    <cellStyle name="Normal 20 2 3 2 3 6 2" xfId="52357" xr:uid="{00000000-0005-0000-0000-0000F67F0000}"/>
    <cellStyle name="Normal 20 2 3 2 3 6 3" xfId="36257" xr:uid="{00000000-0005-0000-0000-0000F77F0000}"/>
    <cellStyle name="Normal 20 2 3 2 3 6 4" xfId="17121" xr:uid="{00000000-0005-0000-0000-0000F87F0000}"/>
    <cellStyle name="Normal 20 2 3 2 3 7" xfId="42790" xr:uid="{00000000-0005-0000-0000-0000F97F0000}"/>
    <cellStyle name="Normal 20 2 3 2 3 8" xfId="26690" xr:uid="{00000000-0005-0000-0000-0000FA7F0000}"/>
    <cellStyle name="Normal 20 2 3 2 3 9" xfId="13626" xr:uid="{00000000-0005-0000-0000-0000FB7F0000}"/>
    <cellStyle name="Normal 20 2 3 2 4" xfId="2221" xr:uid="{00000000-0005-0000-0000-0000FC7F0000}"/>
    <cellStyle name="Normal 20 2 3 2 4 2" xfId="8755" xr:uid="{00000000-0005-0000-0000-0000FD7F0000}"/>
    <cellStyle name="Normal 20 2 3 2 4 2 2" xfId="40496" xr:uid="{00000000-0005-0000-0000-0000FE7F0000}"/>
    <cellStyle name="Normal 20 2 3 2 4 2 2 2" xfId="56596" xr:uid="{00000000-0005-0000-0000-0000FF7F0000}"/>
    <cellStyle name="Normal 20 2 3 2 4 2 3" xfId="47029" xr:uid="{00000000-0005-0000-0000-000000800000}"/>
    <cellStyle name="Normal 20 2 3 2 4 2 4" xfId="30929" xr:uid="{00000000-0005-0000-0000-000001800000}"/>
    <cellStyle name="Normal 20 2 3 2 4 2 5" xfId="21360" xr:uid="{00000000-0005-0000-0000-000002800000}"/>
    <cellStyle name="Normal 20 2 3 2 4 3" xfId="11791" xr:uid="{00000000-0005-0000-0000-000003800000}"/>
    <cellStyle name="Normal 20 2 3 2 4 3 2" xfId="50065" xr:uid="{00000000-0005-0000-0000-000004800000}"/>
    <cellStyle name="Normal 20 2 3 2 4 3 3" xfId="33965" xr:uid="{00000000-0005-0000-0000-000005800000}"/>
    <cellStyle name="Normal 20 2 3 2 4 3 4" xfId="24396" xr:uid="{00000000-0005-0000-0000-000006800000}"/>
    <cellStyle name="Normal 20 2 3 2 4 4" xfId="5719" xr:uid="{00000000-0005-0000-0000-000007800000}"/>
    <cellStyle name="Normal 20 2 3 2 4 4 2" xfId="53560" xr:uid="{00000000-0005-0000-0000-000008800000}"/>
    <cellStyle name="Normal 20 2 3 2 4 4 3" xfId="37460" xr:uid="{00000000-0005-0000-0000-000009800000}"/>
    <cellStyle name="Normal 20 2 3 2 4 4 4" xfId="18324" xr:uid="{00000000-0005-0000-0000-00000A800000}"/>
    <cellStyle name="Normal 20 2 3 2 4 5" xfId="43993" xr:uid="{00000000-0005-0000-0000-00000B800000}"/>
    <cellStyle name="Normal 20 2 3 2 4 6" xfId="27893" xr:uid="{00000000-0005-0000-0000-00000C800000}"/>
    <cellStyle name="Normal 20 2 3 2 4 7" xfId="14829" xr:uid="{00000000-0005-0000-0000-00000D800000}"/>
    <cellStyle name="Normal 20 2 3 2 5" xfId="1433" xr:uid="{00000000-0005-0000-0000-00000E800000}"/>
    <cellStyle name="Normal 20 2 3 2 5 2" xfId="7967" xr:uid="{00000000-0005-0000-0000-00000F800000}"/>
    <cellStyle name="Normal 20 2 3 2 5 2 2" xfId="39708" xr:uid="{00000000-0005-0000-0000-000010800000}"/>
    <cellStyle name="Normal 20 2 3 2 5 2 2 2" xfId="55808" xr:uid="{00000000-0005-0000-0000-000011800000}"/>
    <cellStyle name="Normal 20 2 3 2 5 2 3" xfId="46241" xr:uid="{00000000-0005-0000-0000-000012800000}"/>
    <cellStyle name="Normal 20 2 3 2 5 2 4" xfId="30141" xr:uid="{00000000-0005-0000-0000-000013800000}"/>
    <cellStyle name="Normal 20 2 3 2 5 2 5" xfId="20572" xr:uid="{00000000-0005-0000-0000-000014800000}"/>
    <cellStyle name="Normal 20 2 3 2 5 3" xfId="11003" xr:uid="{00000000-0005-0000-0000-000015800000}"/>
    <cellStyle name="Normal 20 2 3 2 5 3 2" xfId="49277" xr:uid="{00000000-0005-0000-0000-000016800000}"/>
    <cellStyle name="Normal 20 2 3 2 5 3 3" xfId="33177" xr:uid="{00000000-0005-0000-0000-000017800000}"/>
    <cellStyle name="Normal 20 2 3 2 5 3 4" xfId="23608" xr:uid="{00000000-0005-0000-0000-000018800000}"/>
    <cellStyle name="Normal 20 2 3 2 5 4" xfId="4931" xr:uid="{00000000-0005-0000-0000-000019800000}"/>
    <cellStyle name="Normal 20 2 3 2 5 4 2" xfId="52772" xr:uid="{00000000-0005-0000-0000-00001A800000}"/>
    <cellStyle name="Normal 20 2 3 2 5 4 3" xfId="36672" xr:uid="{00000000-0005-0000-0000-00001B800000}"/>
    <cellStyle name="Normal 20 2 3 2 5 4 4" xfId="17536" xr:uid="{00000000-0005-0000-0000-00001C800000}"/>
    <cellStyle name="Normal 20 2 3 2 5 5" xfId="43205" xr:uid="{00000000-0005-0000-0000-00001D800000}"/>
    <cellStyle name="Normal 20 2 3 2 5 6" xfId="27105" xr:uid="{00000000-0005-0000-0000-00001E800000}"/>
    <cellStyle name="Normal 20 2 3 2 5 7" xfId="14041" xr:uid="{00000000-0005-0000-0000-00001F800000}"/>
    <cellStyle name="Normal 20 2 3 2 6" xfId="3921" xr:uid="{00000000-0005-0000-0000-000020800000}"/>
    <cellStyle name="Normal 20 2 3 2 6 2" xfId="35662" xr:uid="{00000000-0005-0000-0000-000021800000}"/>
    <cellStyle name="Normal 20 2 3 2 6 2 2" xfId="51762" xr:uid="{00000000-0005-0000-0000-000022800000}"/>
    <cellStyle name="Normal 20 2 3 2 6 3" xfId="42195" xr:uid="{00000000-0005-0000-0000-000023800000}"/>
    <cellStyle name="Normal 20 2 3 2 6 4" xfId="26095" xr:uid="{00000000-0005-0000-0000-000024800000}"/>
    <cellStyle name="Normal 20 2 3 2 6 5" xfId="16526" xr:uid="{00000000-0005-0000-0000-000025800000}"/>
    <cellStyle name="Normal 20 2 3 2 7" xfId="6957" xr:uid="{00000000-0005-0000-0000-000026800000}"/>
    <cellStyle name="Normal 20 2 3 2 7 2" xfId="38698" xr:uid="{00000000-0005-0000-0000-000027800000}"/>
    <cellStyle name="Normal 20 2 3 2 7 2 2" xfId="54798" xr:uid="{00000000-0005-0000-0000-000028800000}"/>
    <cellStyle name="Normal 20 2 3 2 7 3" xfId="45231" xr:uid="{00000000-0005-0000-0000-000029800000}"/>
    <cellStyle name="Normal 20 2 3 2 7 4" xfId="29131" xr:uid="{00000000-0005-0000-0000-00002A800000}"/>
    <cellStyle name="Normal 20 2 3 2 7 5" xfId="19562" xr:uid="{00000000-0005-0000-0000-00002B800000}"/>
    <cellStyle name="Normal 20 2 3 2 8" xfId="9993" xr:uid="{00000000-0005-0000-0000-00002C800000}"/>
    <cellStyle name="Normal 20 2 3 2 8 2" xfId="48267" xr:uid="{00000000-0005-0000-0000-00002D800000}"/>
    <cellStyle name="Normal 20 2 3 2 8 3" xfId="32167" xr:uid="{00000000-0005-0000-0000-00002E800000}"/>
    <cellStyle name="Normal 20 2 3 2 8 4" xfId="22598" xr:uid="{00000000-0005-0000-0000-00002F800000}"/>
    <cellStyle name="Normal 20 2 3 2 9" xfId="3416" xr:uid="{00000000-0005-0000-0000-000030800000}"/>
    <cellStyle name="Normal 20 2 3 2 9 2" xfId="51257" xr:uid="{00000000-0005-0000-0000-000031800000}"/>
    <cellStyle name="Normal 20 2 3 2 9 3" xfId="35157" xr:uid="{00000000-0005-0000-0000-000032800000}"/>
    <cellStyle name="Normal 20 2 3 2 9 4" xfId="16021" xr:uid="{00000000-0005-0000-0000-000033800000}"/>
    <cellStyle name="Normal 20 2 3 3" xfId="308" xr:uid="{00000000-0005-0000-0000-000034800000}"/>
    <cellStyle name="Normal 20 2 3 3 2" xfId="2327" xr:uid="{00000000-0005-0000-0000-000035800000}"/>
    <cellStyle name="Normal 20 2 3 3 2 2" xfId="8861" xr:uid="{00000000-0005-0000-0000-000036800000}"/>
    <cellStyle name="Normal 20 2 3 3 2 2 2" xfId="40602" xr:uid="{00000000-0005-0000-0000-000037800000}"/>
    <cellStyle name="Normal 20 2 3 3 2 2 2 2" xfId="56702" xr:uid="{00000000-0005-0000-0000-000038800000}"/>
    <cellStyle name="Normal 20 2 3 3 2 2 3" xfId="47135" xr:uid="{00000000-0005-0000-0000-000039800000}"/>
    <cellStyle name="Normal 20 2 3 3 2 2 4" xfId="31035" xr:uid="{00000000-0005-0000-0000-00003A800000}"/>
    <cellStyle name="Normal 20 2 3 3 2 2 5" xfId="21466" xr:uid="{00000000-0005-0000-0000-00003B800000}"/>
    <cellStyle name="Normal 20 2 3 3 2 3" xfId="11897" xr:uid="{00000000-0005-0000-0000-00003C800000}"/>
    <cellStyle name="Normal 20 2 3 3 2 3 2" xfId="50171" xr:uid="{00000000-0005-0000-0000-00003D800000}"/>
    <cellStyle name="Normal 20 2 3 3 2 3 3" xfId="34071" xr:uid="{00000000-0005-0000-0000-00003E800000}"/>
    <cellStyle name="Normal 20 2 3 3 2 3 4" xfId="24502" xr:uid="{00000000-0005-0000-0000-00003F800000}"/>
    <cellStyle name="Normal 20 2 3 3 2 4" xfId="5825" xr:uid="{00000000-0005-0000-0000-000040800000}"/>
    <cellStyle name="Normal 20 2 3 3 2 4 2" xfId="53666" xr:uid="{00000000-0005-0000-0000-000041800000}"/>
    <cellStyle name="Normal 20 2 3 3 2 4 3" xfId="37566" xr:uid="{00000000-0005-0000-0000-000042800000}"/>
    <cellStyle name="Normal 20 2 3 3 2 4 4" xfId="18430" xr:uid="{00000000-0005-0000-0000-000043800000}"/>
    <cellStyle name="Normal 20 2 3 3 2 5" xfId="44099" xr:uid="{00000000-0005-0000-0000-000044800000}"/>
    <cellStyle name="Normal 20 2 3 3 2 6" xfId="27999" xr:uid="{00000000-0005-0000-0000-000045800000}"/>
    <cellStyle name="Normal 20 2 3 3 2 7" xfId="14935" xr:uid="{00000000-0005-0000-0000-000046800000}"/>
    <cellStyle name="Normal 20 2 3 3 3" xfId="1539" xr:uid="{00000000-0005-0000-0000-000047800000}"/>
    <cellStyle name="Normal 20 2 3 3 3 2" xfId="8073" xr:uid="{00000000-0005-0000-0000-000048800000}"/>
    <cellStyle name="Normal 20 2 3 3 3 2 2" xfId="39814" xr:uid="{00000000-0005-0000-0000-000049800000}"/>
    <cellStyle name="Normal 20 2 3 3 3 2 2 2" xfId="55914" xr:uid="{00000000-0005-0000-0000-00004A800000}"/>
    <cellStyle name="Normal 20 2 3 3 3 2 3" xfId="46347" xr:uid="{00000000-0005-0000-0000-00004B800000}"/>
    <cellStyle name="Normal 20 2 3 3 3 2 4" xfId="30247" xr:uid="{00000000-0005-0000-0000-00004C800000}"/>
    <cellStyle name="Normal 20 2 3 3 3 2 5" xfId="20678" xr:uid="{00000000-0005-0000-0000-00004D800000}"/>
    <cellStyle name="Normal 20 2 3 3 3 3" xfId="11109" xr:uid="{00000000-0005-0000-0000-00004E800000}"/>
    <cellStyle name="Normal 20 2 3 3 3 3 2" xfId="49383" xr:uid="{00000000-0005-0000-0000-00004F800000}"/>
    <cellStyle name="Normal 20 2 3 3 3 3 3" xfId="33283" xr:uid="{00000000-0005-0000-0000-000050800000}"/>
    <cellStyle name="Normal 20 2 3 3 3 3 4" xfId="23714" xr:uid="{00000000-0005-0000-0000-000051800000}"/>
    <cellStyle name="Normal 20 2 3 3 3 4" xfId="5037" xr:uid="{00000000-0005-0000-0000-000052800000}"/>
    <cellStyle name="Normal 20 2 3 3 3 4 2" xfId="52878" xr:uid="{00000000-0005-0000-0000-000053800000}"/>
    <cellStyle name="Normal 20 2 3 3 3 4 3" xfId="36778" xr:uid="{00000000-0005-0000-0000-000054800000}"/>
    <cellStyle name="Normal 20 2 3 3 3 4 4" xfId="17642" xr:uid="{00000000-0005-0000-0000-000055800000}"/>
    <cellStyle name="Normal 20 2 3 3 3 5" xfId="43311" xr:uid="{00000000-0005-0000-0000-000056800000}"/>
    <cellStyle name="Normal 20 2 3 3 3 6" xfId="27211" xr:uid="{00000000-0005-0000-0000-000057800000}"/>
    <cellStyle name="Normal 20 2 3 3 3 7" xfId="14147" xr:uid="{00000000-0005-0000-0000-000058800000}"/>
    <cellStyle name="Normal 20 2 3 3 4" xfId="7063" xr:uid="{00000000-0005-0000-0000-000059800000}"/>
    <cellStyle name="Normal 20 2 3 3 4 2" xfId="38804" xr:uid="{00000000-0005-0000-0000-00005A800000}"/>
    <cellStyle name="Normal 20 2 3 3 4 2 2" xfId="54904" xr:uid="{00000000-0005-0000-0000-00005B800000}"/>
    <cellStyle name="Normal 20 2 3 3 4 3" xfId="45337" xr:uid="{00000000-0005-0000-0000-00005C800000}"/>
    <cellStyle name="Normal 20 2 3 3 4 4" xfId="29237" xr:uid="{00000000-0005-0000-0000-00005D800000}"/>
    <cellStyle name="Normal 20 2 3 3 4 5" xfId="19668" xr:uid="{00000000-0005-0000-0000-00005E800000}"/>
    <cellStyle name="Normal 20 2 3 3 5" xfId="10099" xr:uid="{00000000-0005-0000-0000-00005F800000}"/>
    <cellStyle name="Normal 20 2 3 3 5 2" xfId="48373" xr:uid="{00000000-0005-0000-0000-000060800000}"/>
    <cellStyle name="Normal 20 2 3 3 5 3" xfId="32273" xr:uid="{00000000-0005-0000-0000-000061800000}"/>
    <cellStyle name="Normal 20 2 3 3 5 4" xfId="22704" xr:uid="{00000000-0005-0000-0000-000062800000}"/>
    <cellStyle name="Normal 20 2 3 3 6" xfId="4027" xr:uid="{00000000-0005-0000-0000-000063800000}"/>
    <cellStyle name="Normal 20 2 3 3 6 2" xfId="51868" xr:uid="{00000000-0005-0000-0000-000064800000}"/>
    <cellStyle name="Normal 20 2 3 3 6 3" xfId="35768" xr:uid="{00000000-0005-0000-0000-000065800000}"/>
    <cellStyle name="Normal 20 2 3 3 6 4" xfId="16632" xr:uid="{00000000-0005-0000-0000-000066800000}"/>
    <cellStyle name="Normal 20 2 3 3 7" xfId="42301" xr:uid="{00000000-0005-0000-0000-000067800000}"/>
    <cellStyle name="Normal 20 2 3 3 8" xfId="26201" xr:uid="{00000000-0005-0000-0000-000068800000}"/>
    <cellStyle name="Normal 20 2 3 3 9" xfId="13137" xr:uid="{00000000-0005-0000-0000-000069800000}"/>
    <cellStyle name="Normal 20 2 3 4" xfId="566" xr:uid="{00000000-0005-0000-0000-00006A800000}"/>
    <cellStyle name="Normal 20 2 3 4 2" xfId="2595" xr:uid="{00000000-0005-0000-0000-00006B800000}"/>
    <cellStyle name="Normal 20 2 3 4 2 2" xfId="9127" xr:uid="{00000000-0005-0000-0000-00006C800000}"/>
    <cellStyle name="Normal 20 2 3 4 2 2 2" xfId="40868" xr:uid="{00000000-0005-0000-0000-00006D800000}"/>
    <cellStyle name="Normal 20 2 3 4 2 2 2 2" xfId="56968" xr:uid="{00000000-0005-0000-0000-00006E800000}"/>
    <cellStyle name="Normal 20 2 3 4 2 2 3" xfId="47401" xr:uid="{00000000-0005-0000-0000-00006F800000}"/>
    <cellStyle name="Normal 20 2 3 4 2 2 4" xfId="31301" xr:uid="{00000000-0005-0000-0000-000070800000}"/>
    <cellStyle name="Normal 20 2 3 4 2 2 5" xfId="21732" xr:uid="{00000000-0005-0000-0000-000071800000}"/>
    <cellStyle name="Normal 20 2 3 4 2 3" xfId="12163" xr:uid="{00000000-0005-0000-0000-000072800000}"/>
    <cellStyle name="Normal 20 2 3 4 2 3 2" xfId="50437" xr:uid="{00000000-0005-0000-0000-000073800000}"/>
    <cellStyle name="Normal 20 2 3 4 2 3 3" xfId="34337" xr:uid="{00000000-0005-0000-0000-000074800000}"/>
    <cellStyle name="Normal 20 2 3 4 2 3 4" xfId="24768" xr:uid="{00000000-0005-0000-0000-000075800000}"/>
    <cellStyle name="Normal 20 2 3 4 2 4" xfId="6091" xr:uid="{00000000-0005-0000-0000-000076800000}"/>
    <cellStyle name="Normal 20 2 3 4 2 4 2" xfId="53932" xr:uid="{00000000-0005-0000-0000-000077800000}"/>
    <cellStyle name="Normal 20 2 3 4 2 4 3" xfId="37832" xr:uid="{00000000-0005-0000-0000-000078800000}"/>
    <cellStyle name="Normal 20 2 3 4 2 4 4" xfId="18696" xr:uid="{00000000-0005-0000-0000-000079800000}"/>
    <cellStyle name="Normal 20 2 3 4 2 5" xfId="44365" xr:uid="{00000000-0005-0000-0000-00007A800000}"/>
    <cellStyle name="Normal 20 2 3 4 2 6" xfId="28265" xr:uid="{00000000-0005-0000-0000-00007B800000}"/>
    <cellStyle name="Normal 20 2 3 4 2 7" xfId="15201" xr:uid="{00000000-0005-0000-0000-00007C800000}"/>
    <cellStyle name="Normal 20 2 3 4 3" xfId="1362" xr:uid="{00000000-0005-0000-0000-00007D800000}"/>
    <cellStyle name="Normal 20 2 3 4 3 2" xfId="7896" xr:uid="{00000000-0005-0000-0000-00007E800000}"/>
    <cellStyle name="Normal 20 2 3 4 3 2 2" xfId="39637" xr:uid="{00000000-0005-0000-0000-00007F800000}"/>
    <cellStyle name="Normal 20 2 3 4 3 2 2 2" xfId="55737" xr:uid="{00000000-0005-0000-0000-000080800000}"/>
    <cellStyle name="Normal 20 2 3 4 3 2 3" xfId="46170" xr:uid="{00000000-0005-0000-0000-000081800000}"/>
    <cellStyle name="Normal 20 2 3 4 3 2 4" xfId="30070" xr:uid="{00000000-0005-0000-0000-000082800000}"/>
    <cellStyle name="Normal 20 2 3 4 3 2 5" xfId="20501" xr:uid="{00000000-0005-0000-0000-000083800000}"/>
    <cellStyle name="Normal 20 2 3 4 3 3" xfId="10932" xr:uid="{00000000-0005-0000-0000-000084800000}"/>
    <cellStyle name="Normal 20 2 3 4 3 3 2" xfId="49206" xr:uid="{00000000-0005-0000-0000-000085800000}"/>
    <cellStyle name="Normal 20 2 3 4 3 3 3" xfId="33106" xr:uid="{00000000-0005-0000-0000-000086800000}"/>
    <cellStyle name="Normal 20 2 3 4 3 3 4" xfId="23537" xr:uid="{00000000-0005-0000-0000-000087800000}"/>
    <cellStyle name="Normal 20 2 3 4 3 4" xfId="4860" xr:uid="{00000000-0005-0000-0000-000088800000}"/>
    <cellStyle name="Normal 20 2 3 4 3 4 2" xfId="52701" xr:uid="{00000000-0005-0000-0000-000089800000}"/>
    <cellStyle name="Normal 20 2 3 4 3 4 3" xfId="36601" xr:uid="{00000000-0005-0000-0000-00008A800000}"/>
    <cellStyle name="Normal 20 2 3 4 3 4 4" xfId="17465" xr:uid="{00000000-0005-0000-0000-00008B800000}"/>
    <cellStyle name="Normal 20 2 3 4 3 5" xfId="43134" xr:uid="{00000000-0005-0000-0000-00008C800000}"/>
    <cellStyle name="Normal 20 2 3 4 3 6" xfId="27034" xr:uid="{00000000-0005-0000-0000-00008D800000}"/>
    <cellStyle name="Normal 20 2 3 4 3 7" xfId="13970" xr:uid="{00000000-0005-0000-0000-00008E800000}"/>
    <cellStyle name="Normal 20 2 3 4 4" xfId="6886" xr:uid="{00000000-0005-0000-0000-00008F800000}"/>
    <cellStyle name="Normal 20 2 3 4 4 2" xfId="38627" xr:uid="{00000000-0005-0000-0000-000090800000}"/>
    <cellStyle name="Normal 20 2 3 4 4 2 2" xfId="54727" xr:uid="{00000000-0005-0000-0000-000091800000}"/>
    <cellStyle name="Normal 20 2 3 4 4 3" xfId="45160" xr:uid="{00000000-0005-0000-0000-000092800000}"/>
    <cellStyle name="Normal 20 2 3 4 4 4" xfId="29060" xr:uid="{00000000-0005-0000-0000-000093800000}"/>
    <cellStyle name="Normal 20 2 3 4 4 5" xfId="19491" xr:uid="{00000000-0005-0000-0000-000094800000}"/>
    <cellStyle name="Normal 20 2 3 4 5" xfId="9922" xr:uid="{00000000-0005-0000-0000-000095800000}"/>
    <cellStyle name="Normal 20 2 3 4 5 2" xfId="48196" xr:uid="{00000000-0005-0000-0000-000096800000}"/>
    <cellStyle name="Normal 20 2 3 4 5 3" xfId="32096" xr:uid="{00000000-0005-0000-0000-000097800000}"/>
    <cellStyle name="Normal 20 2 3 4 5 4" xfId="22527" xr:uid="{00000000-0005-0000-0000-000098800000}"/>
    <cellStyle name="Normal 20 2 3 4 6" xfId="3850" xr:uid="{00000000-0005-0000-0000-000099800000}"/>
    <cellStyle name="Normal 20 2 3 4 6 2" xfId="51691" xr:uid="{00000000-0005-0000-0000-00009A800000}"/>
    <cellStyle name="Normal 20 2 3 4 6 3" xfId="35591" xr:uid="{00000000-0005-0000-0000-00009B800000}"/>
    <cellStyle name="Normal 20 2 3 4 6 4" xfId="16455" xr:uid="{00000000-0005-0000-0000-00009C800000}"/>
    <cellStyle name="Normal 20 2 3 4 7" xfId="42124" xr:uid="{00000000-0005-0000-0000-00009D800000}"/>
    <cellStyle name="Normal 20 2 3 4 8" xfId="26024" xr:uid="{00000000-0005-0000-0000-00009E800000}"/>
    <cellStyle name="Normal 20 2 3 4 9" xfId="12960" xr:uid="{00000000-0005-0000-0000-00009F800000}"/>
    <cellStyle name="Normal 20 2 3 5" xfId="823" xr:uid="{00000000-0005-0000-0000-0000A0800000}"/>
    <cellStyle name="Normal 20 2 3 5 2" xfId="2851" xr:uid="{00000000-0005-0000-0000-0000A1800000}"/>
    <cellStyle name="Normal 20 2 3 5 2 2" xfId="9383" xr:uid="{00000000-0005-0000-0000-0000A2800000}"/>
    <cellStyle name="Normal 20 2 3 5 2 2 2" xfId="41124" xr:uid="{00000000-0005-0000-0000-0000A3800000}"/>
    <cellStyle name="Normal 20 2 3 5 2 2 2 2" xfId="57224" xr:uid="{00000000-0005-0000-0000-0000A4800000}"/>
    <cellStyle name="Normal 20 2 3 5 2 2 3" xfId="47657" xr:uid="{00000000-0005-0000-0000-0000A5800000}"/>
    <cellStyle name="Normal 20 2 3 5 2 2 4" xfId="31557" xr:uid="{00000000-0005-0000-0000-0000A6800000}"/>
    <cellStyle name="Normal 20 2 3 5 2 2 5" xfId="21988" xr:uid="{00000000-0005-0000-0000-0000A7800000}"/>
    <cellStyle name="Normal 20 2 3 5 2 3" xfId="12419" xr:uid="{00000000-0005-0000-0000-0000A8800000}"/>
    <cellStyle name="Normal 20 2 3 5 2 3 2" xfId="50693" xr:uid="{00000000-0005-0000-0000-0000A9800000}"/>
    <cellStyle name="Normal 20 2 3 5 2 3 3" xfId="34593" xr:uid="{00000000-0005-0000-0000-0000AA800000}"/>
    <cellStyle name="Normal 20 2 3 5 2 3 4" xfId="25024" xr:uid="{00000000-0005-0000-0000-0000AB800000}"/>
    <cellStyle name="Normal 20 2 3 5 2 4" xfId="6347" xr:uid="{00000000-0005-0000-0000-0000AC800000}"/>
    <cellStyle name="Normal 20 2 3 5 2 4 2" xfId="54188" xr:uid="{00000000-0005-0000-0000-0000AD800000}"/>
    <cellStyle name="Normal 20 2 3 5 2 4 3" xfId="38088" xr:uid="{00000000-0005-0000-0000-0000AE800000}"/>
    <cellStyle name="Normal 20 2 3 5 2 4 4" xfId="18952" xr:uid="{00000000-0005-0000-0000-0000AF800000}"/>
    <cellStyle name="Normal 20 2 3 5 2 5" xfId="44621" xr:uid="{00000000-0005-0000-0000-0000B0800000}"/>
    <cellStyle name="Normal 20 2 3 5 2 6" xfId="28521" xr:uid="{00000000-0005-0000-0000-0000B1800000}"/>
    <cellStyle name="Normal 20 2 3 5 2 7" xfId="15457" xr:uid="{00000000-0005-0000-0000-0000B2800000}"/>
    <cellStyle name="Normal 20 2 3 5 3" xfId="1833" xr:uid="{00000000-0005-0000-0000-0000B3800000}"/>
    <cellStyle name="Normal 20 2 3 5 3 2" xfId="8367" xr:uid="{00000000-0005-0000-0000-0000B4800000}"/>
    <cellStyle name="Normal 20 2 3 5 3 2 2" xfId="40108" xr:uid="{00000000-0005-0000-0000-0000B5800000}"/>
    <cellStyle name="Normal 20 2 3 5 3 2 2 2" xfId="56208" xr:uid="{00000000-0005-0000-0000-0000B6800000}"/>
    <cellStyle name="Normal 20 2 3 5 3 2 3" xfId="46641" xr:uid="{00000000-0005-0000-0000-0000B7800000}"/>
    <cellStyle name="Normal 20 2 3 5 3 2 4" xfId="30541" xr:uid="{00000000-0005-0000-0000-0000B8800000}"/>
    <cellStyle name="Normal 20 2 3 5 3 2 5" xfId="20972" xr:uid="{00000000-0005-0000-0000-0000B9800000}"/>
    <cellStyle name="Normal 20 2 3 5 3 3" xfId="11403" xr:uid="{00000000-0005-0000-0000-0000BA800000}"/>
    <cellStyle name="Normal 20 2 3 5 3 3 2" xfId="49677" xr:uid="{00000000-0005-0000-0000-0000BB800000}"/>
    <cellStyle name="Normal 20 2 3 5 3 3 3" xfId="33577" xr:uid="{00000000-0005-0000-0000-0000BC800000}"/>
    <cellStyle name="Normal 20 2 3 5 3 3 4" xfId="24008" xr:uid="{00000000-0005-0000-0000-0000BD800000}"/>
    <cellStyle name="Normal 20 2 3 5 3 4" xfId="5331" xr:uid="{00000000-0005-0000-0000-0000BE800000}"/>
    <cellStyle name="Normal 20 2 3 5 3 4 2" xfId="53172" xr:uid="{00000000-0005-0000-0000-0000BF800000}"/>
    <cellStyle name="Normal 20 2 3 5 3 4 3" xfId="37072" xr:uid="{00000000-0005-0000-0000-0000C0800000}"/>
    <cellStyle name="Normal 20 2 3 5 3 4 4" xfId="17936" xr:uid="{00000000-0005-0000-0000-0000C1800000}"/>
    <cellStyle name="Normal 20 2 3 5 3 5" xfId="43605" xr:uid="{00000000-0005-0000-0000-0000C2800000}"/>
    <cellStyle name="Normal 20 2 3 5 3 6" xfId="27505" xr:uid="{00000000-0005-0000-0000-0000C3800000}"/>
    <cellStyle name="Normal 20 2 3 5 3 7" xfId="14441" xr:uid="{00000000-0005-0000-0000-0000C4800000}"/>
    <cellStyle name="Normal 20 2 3 5 4" xfId="7357" xr:uid="{00000000-0005-0000-0000-0000C5800000}"/>
    <cellStyle name="Normal 20 2 3 5 4 2" xfId="39098" xr:uid="{00000000-0005-0000-0000-0000C6800000}"/>
    <cellStyle name="Normal 20 2 3 5 4 2 2" xfId="55198" xr:uid="{00000000-0005-0000-0000-0000C7800000}"/>
    <cellStyle name="Normal 20 2 3 5 4 3" xfId="45631" xr:uid="{00000000-0005-0000-0000-0000C8800000}"/>
    <cellStyle name="Normal 20 2 3 5 4 4" xfId="29531" xr:uid="{00000000-0005-0000-0000-0000C9800000}"/>
    <cellStyle name="Normal 20 2 3 5 4 5" xfId="19962" xr:uid="{00000000-0005-0000-0000-0000CA800000}"/>
    <cellStyle name="Normal 20 2 3 5 5" xfId="10393" xr:uid="{00000000-0005-0000-0000-0000CB800000}"/>
    <cellStyle name="Normal 20 2 3 5 5 2" xfId="48667" xr:uid="{00000000-0005-0000-0000-0000CC800000}"/>
    <cellStyle name="Normal 20 2 3 5 5 3" xfId="32567" xr:uid="{00000000-0005-0000-0000-0000CD800000}"/>
    <cellStyle name="Normal 20 2 3 5 5 4" xfId="22998" xr:uid="{00000000-0005-0000-0000-0000CE800000}"/>
    <cellStyle name="Normal 20 2 3 5 6" xfId="4321" xr:uid="{00000000-0005-0000-0000-0000CF800000}"/>
    <cellStyle name="Normal 20 2 3 5 6 2" xfId="52162" xr:uid="{00000000-0005-0000-0000-0000D0800000}"/>
    <cellStyle name="Normal 20 2 3 5 6 3" xfId="36062" xr:uid="{00000000-0005-0000-0000-0000D1800000}"/>
    <cellStyle name="Normal 20 2 3 5 6 4" xfId="16926" xr:uid="{00000000-0005-0000-0000-0000D2800000}"/>
    <cellStyle name="Normal 20 2 3 5 7" xfId="42595" xr:uid="{00000000-0005-0000-0000-0000D3800000}"/>
    <cellStyle name="Normal 20 2 3 5 8" xfId="26495" xr:uid="{00000000-0005-0000-0000-0000D4800000}"/>
    <cellStyle name="Normal 20 2 3 5 9" xfId="13431" xr:uid="{00000000-0005-0000-0000-0000D5800000}"/>
    <cellStyle name="Normal 20 2 3 6" xfId="2150" xr:uid="{00000000-0005-0000-0000-0000D6800000}"/>
    <cellStyle name="Normal 20 2 3 6 2" xfId="8684" xr:uid="{00000000-0005-0000-0000-0000D7800000}"/>
    <cellStyle name="Normal 20 2 3 6 2 2" xfId="40425" xr:uid="{00000000-0005-0000-0000-0000D8800000}"/>
    <cellStyle name="Normal 20 2 3 6 2 2 2" xfId="56525" xr:uid="{00000000-0005-0000-0000-0000D9800000}"/>
    <cellStyle name="Normal 20 2 3 6 2 3" xfId="46958" xr:uid="{00000000-0005-0000-0000-0000DA800000}"/>
    <cellStyle name="Normal 20 2 3 6 2 4" xfId="30858" xr:uid="{00000000-0005-0000-0000-0000DB800000}"/>
    <cellStyle name="Normal 20 2 3 6 2 5" xfId="21289" xr:uid="{00000000-0005-0000-0000-0000DC800000}"/>
    <cellStyle name="Normal 20 2 3 6 3" xfId="11720" xr:uid="{00000000-0005-0000-0000-0000DD800000}"/>
    <cellStyle name="Normal 20 2 3 6 3 2" xfId="49994" xr:uid="{00000000-0005-0000-0000-0000DE800000}"/>
    <cellStyle name="Normal 20 2 3 6 3 3" xfId="33894" xr:uid="{00000000-0005-0000-0000-0000DF800000}"/>
    <cellStyle name="Normal 20 2 3 6 3 4" xfId="24325" xr:uid="{00000000-0005-0000-0000-0000E0800000}"/>
    <cellStyle name="Normal 20 2 3 6 4" xfId="5648" xr:uid="{00000000-0005-0000-0000-0000E1800000}"/>
    <cellStyle name="Normal 20 2 3 6 4 2" xfId="53489" xr:uid="{00000000-0005-0000-0000-0000E2800000}"/>
    <cellStyle name="Normal 20 2 3 6 4 3" xfId="37389" xr:uid="{00000000-0005-0000-0000-0000E3800000}"/>
    <cellStyle name="Normal 20 2 3 6 4 4" xfId="18253" xr:uid="{00000000-0005-0000-0000-0000E4800000}"/>
    <cellStyle name="Normal 20 2 3 6 5" xfId="43922" xr:uid="{00000000-0005-0000-0000-0000E5800000}"/>
    <cellStyle name="Normal 20 2 3 6 6" xfId="27822" xr:uid="{00000000-0005-0000-0000-0000E6800000}"/>
    <cellStyle name="Normal 20 2 3 6 7" xfId="14758" xr:uid="{00000000-0005-0000-0000-0000E7800000}"/>
    <cellStyle name="Normal 20 2 3 7" xfId="1150" xr:uid="{00000000-0005-0000-0000-0000E8800000}"/>
    <cellStyle name="Normal 20 2 3 7 2" xfId="7684" xr:uid="{00000000-0005-0000-0000-0000E9800000}"/>
    <cellStyle name="Normal 20 2 3 7 2 2" xfId="39425" xr:uid="{00000000-0005-0000-0000-0000EA800000}"/>
    <cellStyle name="Normal 20 2 3 7 2 2 2" xfId="55525" xr:uid="{00000000-0005-0000-0000-0000EB800000}"/>
    <cellStyle name="Normal 20 2 3 7 2 3" xfId="45958" xr:uid="{00000000-0005-0000-0000-0000EC800000}"/>
    <cellStyle name="Normal 20 2 3 7 2 4" xfId="29858" xr:uid="{00000000-0005-0000-0000-0000ED800000}"/>
    <cellStyle name="Normal 20 2 3 7 2 5" xfId="20289" xr:uid="{00000000-0005-0000-0000-0000EE800000}"/>
    <cellStyle name="Normal 20 2 3 7 3" xfId="10720" xr:uid="{00000000-0005-0000-0000-0000EF800000}"/>
    <cellStyle name="Normal 20 2 3 7 3 2" xfId="48994" xr:uid="{00000000-0005-0000-0000-0000F0800000}"/>
    <cellStyle name="Normal 20 2 3 7 3 3" xfId="32894" xr:uid="{00000000-0005-0000-0000-0000F1800000}"/>
    <cellStyle name="Normal 20 2 3 7 3 4" xfId="23325" xr:uid="{00000000-0005-0000-0000-0000F2800000}"/>
    <cellStyle name="Normal 20 2 3 7 4" xfId="4648" xr:uid="{00000000-0005-0000-0000-0000F3800000}"/>
    <cellStyle name="Normal 20 2 3 7 4 2" xfId="52489" xr:uid="{00000000-0005-0000-0000-0000F4800000}"/>
    <cellStyle name="Normal 20 2 3 7 4 3" xfId="36389" xr:uid="{00000000-0005-0000-0000-0000F5800000}"/>
    <cellStyle name="Normal 20 2 3 7 4 4" xfId="17253" xr:uid="{00000000-0005-0000-0000-0000F6800000}"/>
    <cellStyle name="Normal 20 2 3 7 5" xfId="42922" xr:uid="{00000000-0005-0000-0000-0000F7800000}"/>
    <cellStyle name="Normal 20 2 3 7 6" xfId="26822" xr:uid="{00000000-0005-0000-0000-0000F8800000}"/>
    <cellStyle name="Normal 20 2 3 7 7" xfId="13758" xr:uid="{00000000-0005-0000-0000-0000F9800000}"/>
    <cellStyle name="Normal 20 2 3 8" xfId="3638" xr:uid="{00000000-0005-0000-0000-0000FA800000}"/>
    <cellStyle name="Normal 20 2 3 8 2" xfId="35379" xr:uid="{00000000-0005-0000-0000-0000FB800000}"/>
    <cellStyle name="Normal 20 2 3 8 2 2" xfId="51479" xr:uid="{00000000-0005-0000-0000-0000FC800000}"/>
    <cellStyle name="Normal 20 2 3 8 3" xfId="41912" xr:uid="{00000000-0005-0000-0000-0000FD800000}"/>
    <cellStyle name="Normal 20 2 3 8 4" xfId="25812" xr:uid="{00000000-0005-0000-0000-0000FE800000}"/>
    <cellStyle name="Normal 20 2 3 8 5" xfId="16243" xr:uid="{00000000-0005-0000-0000-0000FF800000}"/>
    <cellStyle name="Normal 20 2 3 9" xfId="6674" xr:uid="{00000000-0005-0000-0000-000000810000}"/>
    <cellStyle name="Normal 20 2 3 9 2" xfId="38415" xr:uid="{00000000-0005-0000-0000-000001810000}"/>
    <cellStyle name="Normal 20 2 3 9 2 2" xfId="54515" xr:uid="{00000000-0005-0000-0000-000002810000}"/>
    <cellStyle name="Normal 20 2 3 9 3" xfId="44948" xr:uid="{00000000-0005-0000-0000-000003810000}"/>
    <cellStyle name="Normal 20 2 3 9 4" xfId="28848" xr:uid="{00000000-0005-0000-0000-000004810000}"/>
    <cellStyle name="Normal 20 2 3 9 5" xfId="19279" xr:uid="{00000000-0005-0000-0000-000005810000}"/>
    <cellStyle name="Normal 20 2 4" xfId="91" xr:uid="{00000000-0005-0000-0000-000006810000}"/>
    <cellStyle name="Normal 20 2 4 10" xfId="3195" xr:uid="{00000000-0005-0000-0000-000007810000}"/>
    <cellStyle name="Normal 20 2 4 10 2" xfId="51037" xr:uid="{00000000-0005-0000-0000-000008810000}"/>
    <cellStyle name="Normal 20 2 4 10 3" xfId="34937" xr:uid="{00000000-0005-0000-0000-000009810000}"/>
    <cellStyle name="Normal 20 2 4 10 4" xfId="15801" xr:uid="{00000000-0005-0000-0000-00000A810000}"/>
    <cellStyle name="Normal 20 2 4 11" xfId="41470" xr:uid="{00000000-0005-0000-0000-00000B810000}"/>
    <cellStyle name="Normal 20 2 4 12" xfId="25370" xr:uid="{00000000-0005-0000-0000-00000C810000}"/>
    <cellStyle name="Normal 20 2 4 13" xfId="12765" xr:uid="{00000000-0005-0000-0000-00000D810000}"/>
    <cellStyle name="Normal 20 2 4 2" xfId="272" xr:uid="{00000000-0005-0000-0000-00000E810000}"/>
    <cellStyle name="Normal 20 2 4 2 10" xfId="25607" xr:uid="{00000000-0005-0000-0000-00000F810000}"/>
    <cellStyle name="Normal 20 2 4 2 11" xfId="13101" xr:uid="{00000000-0005-0000-0000-000010810000}"/>
    <cellStyle name="Normal 20 2 4 2 2" xfId="1052" xr:uid="{00000000-0005-0000-0000-000011810000}"/>
    <cellStyle name="Normal 20 2 4 2 2 2" xfId="3080" xr:uid="{00000000-0005-0000-0000-000012810000}"/>
    <cellStyle name="Normal 20 2 4 2 2 2 2" xfId="9612" xr:uid="{00000000-0005-0000-0000-000013810000}"/>
    <cellStyle name="Normal 20 2 4 2 2 2 2 2" xfId="41353" xr:uid="{00000000-0005-0000-0000-000014810000}"/>
    <cellStyle name="Normal 20 2 4 2 2 2 2 2 2" xfId="57453" xr:uid="{00000000-0005-0000-0000-000015810000}"/>
    <cellStyle name="Normal 20 2 4 2 2 2 2 3" xfId="47886" xr:uid="{00000000-0005-0000-0000-000016810000}"/>
    <cellStyle name="Normal 20 2 4 2 2 2 2 4" xfId="31786" xr:uid="{00000000-0005-0000-0000-000017810000}"/>
    <cellStyle name="Normal 20 2 4 2 2 2 2 5" xfId="22217" xr:uid="{00000000-0005-0000-0000-000018810000}"/>
    <cellStyle name="Normal 20 2 4 2 2 2 3" xfId="12648" xr:uid="{00000000-0005-0000-0000-000019810000}"/>
    <cellStyle name="Normal 20 2 4 2 2 2 3 2" xfId="50922" xr:uid="{00000000-0005-0000-0000-00001A810000}"/>
    <cellStyle name="Normal 20 2 4 2 2 2 3 3" xfId="34822" xr:uid="{00000000-0005-0000-0000-00001B810000}"/>
    <cellStyle name="Normal 20 2 4 2 2 2 3 4" xfId="25253" xr:uid="{00000000-0005-0000-0000-00001C810000}"/>
    <cellStyle name="Normal 20 2 4 2 2 2 4" xfId="6576" xr:uid="{00000000-0005-0000-0000-00001D810000}"/>
    <cellStyle name="Normal 20 2 4 2 2 2 4 2" xfId="54417" xr:uid="{00000000-0005-0000-0000-00001E810000}"/>
    <cellStyle name="Normal 20 2 4 2 2 2 4 3" xfId="38317" xr:uid="{00000000-0005-0000-0000-00001F810000}"/>
    <cellStyle name="Normal 20 2 4 2 2 2 4 4" xfId="19181" xr:uid="{00000000-0005-0000-0000-000020810000}"/>
    <cellStyle name="Normal 20 2 4 2 2 2 5" xfId="44850" xr:uid="{00000000-0005-0000-0000-000021810000}"/>
    <cellStyle name="Normal 20 2 4 2 2 2 6" xfId="28750" xr:uid="{00000000-0005-0000-0000-000022810000}"/>
    <cellStyle name="Normal 20 2 4 2 2 2 7" xfId="15686" xr:uid="{00000000-0005-0000-0000-000023810000}"/>
    <cellStyle name="Normal 20 2 4 2 2 3" xfId="2062" xr:uid="{00000000-0005-0000-0000-000024810000}"/>
    <cellStyle name="Normal 20 2 4 2 2 3 2" xfId="8596" xr:uid="{00000000-0005-0000-0000-000025810000}"/>
    <cellStyle name="Normal 20 2 4 2 2 3 2 2" xfId="40337" xr:uid="{00000000-0005-0000-0000-000026810000}"/>
    <cellStyle name="Normal 20 2 4 2 2 3 2 2 2" xfId="56437" xr:uid="{00000000-0005-0000-0000-000027810000}"/>
    <cellStyle name="Normal 20 2 4 2 2 3 2 3" xfId="46870" xr:uid="{00000000-0005-0000-0000-000028810000}"/>
    <cellStyle name="Normal 20 2 4 2 2 3 2 4" xfId="30770" xr:uid="{00000000-0005-0000-0000-000029810000}"/>
    <cellStyle name="Normal 20 2 4 2 2 3 2 5" xfId="21201" xr:uid="{00000000-0005-0000-0000-00002A810000}"/>
    <cellStyle name="Normal 20 2 4 2 2 3 3" xfId="11632" xr:uid="{00000000-0005-0000-0000-00002B810000}"/>
    <cellStyle name="Normal 20 2 4 2 2 3 3 2" xfId="49906" xr:uid="{00000000-0005-0000-0000-00002C810000}"/>
    <cellStyle name="Normal 20 2 4 2 2 3 3 3" xfId="33806" xr:uid="{00000000-0005-0000-0000-00002D810000}"/>
    <cellStyle name="Normal 20 2 4 2 2 3 3 4" xfId="24237" xr:uid="{00000000-0005-0000-0000-00002E810000}"/>
    <cellStyle name="Normal 20 2 4 2 2 3 4" xfId="5560" xr:uid="{00000000-0005-0000-0000-00002F810000}"/>
    <cellStyle name="Normal 20 2 4 2 2 3 4 2" xfId="53401" xr:uid="{00000000-0005-0000-0000-000030810000}"/>
    <cellStyle name="Normal 20 2 4 2 2 3 4 3" xfId="37301" xr:uid="{00000000-0005-0000-0000-000031810000}"/>
    <cellStyle name="Normal 20 2 4 2 2 3 4 4" xfId="18165" xr:uid="{00000000-0005-0000-0000-000032810000}"/>
    <cellStyle name="Normal 20 2 4 2 2 3 5" xfId="43834" xr:uid="{00000000-0005-0000-0000-000033810000}"/>
    <cellStyle name="Normal 20 2 4 2 2 3 6" xfId="27734" xr:uid="{00000000-0005-0000-0000-000034810000}"/>
    <cellStyle name="Normal 20 2 4 2 2 3 7" xfId="14670" xr:uid="{00000000-0005-0000-0000-000035810000}"/>
    <cellStyle name="Normal 20 2 4 2 2 4" xfId="7586" xr:uid="{00000000-0005-0000-0000-000036810000}"/>
    <cellStyle name="Normal 20 2 4 2 2 4 2" xfId="39327" xr:uid="{00000000-0005-0000-0000-000037810000}"/>
    <cellStyle name="Normal 20 2 4 2 2 4 2 2" xfId="55427" xr:uid="{00000000-0005-0000-0000-000038810000}"/>
    <cellStyle name="Normal 20 2 4 2 2 4 3" xfId="45860" xr:uid="{00000000-0005-0000-0000-000039810000}"/>
    <cellStyle name="Normal 20 2 4 2 2 4 4" xfId="29760" xr:uid="{00000000-0005-0000-0000-00003A810000}"/>
    <cellStyle name="Normal 20 2 4 2 2 4 5" xfId="20191" xr:uid="{00000000-0005-0000-0000-00003B810000}"/>
    <cellStyle name="Normal 20 2 4 2 2 5" xfId="10622" xr:uid="{00000000-0005-0000-0000-00003C810000}"/>
    <cellStyle name="Normal 20 2 4 2 2 5 2" xfId="48896" xr:uid="{00000000-0005-0000-0000-00003D810000}"/>
    <cellStyle name="Normal 20 2 4 2 2 5 3" xfId="32796" xr:uid="{00000000-0005-0000-0000-00003E810000}"/>
    <cellStyle name="Normal 20 2 4 2 2 5 4" xfId="23227" xr:uid="{00000000-0005-0000-0000-00003F810000}"/>
    <cellStyle name="Normal 20 2 4 2 2 6" xfId="4550" xr:uid="{00000000-0005-0000-0000-000040810000}"/>
    <cellStyle name="Normal 20 2 4 2 2 6 2" xfId="52391" xr:uid="{00000000-0005-0000-0000-000041810000}"/>
    <cellStyle name="Normal 20 2 4 2 2 6 3" xfId="36291" xr:uid="{00000000-0005-0000-0000-000042810000}"/>
    <cellStyle name="Normal 20 2 4 2 2 6 4" xfId="17155" xr:uid="{00000000-0005-0000-0000-000043810000}"/>
    <cellStyle name="Normal 20 2 4 2 2 7" xfId="42824" xr:uid="{00000000-0005-0000-0000-000044810000}"/>
    <cellStyle name="Normal 20 2 4 2 2 8" xfId="26724" xr:uid="{00000000-0005-0000-0000-000045810000}"/>
    <cellStyle name="Normal 20 2 4 2 2 9" xfId="13660" xr:uid="{00000000-0005-0000-0000-000046810000}"/>
    <cellStyle name="Normal 20 2 4 2 3" xfId="2291" xr:uid="{00000000-0005-0000-0000-000047810000}"/>
    <cellStyle name="Normal 20 2 4 2 3 2" xfId="8825" xr:uid="{00000000-0005-0000-0000-000048810000}"/>
    <cellStyle name="Normal 20 2 4 2 3 2 2" xfId="40566" xr:uid="{00000000-0005-0000-0000-000049810000}"/>
    <cellStyle name="Normal 20 2 4 2 3 2 2 2" xfId="56666" xr:uid="{00000000-0005-0000-0000-00004A810000}"/>
    <cellStyle name="Normal 20 2 4 2 3 2 3" xfId="47099" xr:uid="{00000000-0005-0000-0000-00004B810000}"/>
    <cellStyle name="Normal 20 2 4 2 3 2 4" xfId="30999" xr:uid="{00000000-0005-0000-0000-00004C810000}"/>
    <cellStyle name="Normal 20 2 4 2 3 2 5" xfId="21430" xr:uid="{00000000-0005-0000-0000-00004D810000}"/>
    <cellStyle name="Normal 20 2 4 2 3 3" xfId="11861" xr:uid="{00000000-0005-0000-0000-00004E810000}"/>
    <cellStyle name="Normal 20 2 4 2 3 3 2" xfId="50135" xr:uid="{00000000-0005-0000-0000-00004F810000}"/>
    <cellStyle name="Normal 20 2 4 2 3 3 3" xfId="34035" xr:uid="{00000000-0005-0000-0000-000050810000}"/>
    <cellStyle name="Normal 20 2 4 2 3 3 4" xfId="24466" xr:uid="{00000000-0005-0000-0000-000051810000}"/>
    <cellStyle name="Normal 20 2 4 2 3 4" xfId="5789" xr:uid="{00000000-0005-0000-0000-000052810000}"/>
    <cellStyle name="Normal 20 2 4 2 3 4 2" xfId="53630" xr:uid="{00000000-0005-0000-0000-000053810000}"/>
    <cellStyle name="Normal 20 2 4 2 3 4 3" xfId="37530" xr:uid="{00000000-0005-0000-0000-000054810000}"/>
    <cellStyle name="Normal 20 2 4 2 3 4 4" xfId="18394" xr:uid="{00000000-0005-0000-0000-000055810000}"/>
    <cellStyle name="Normal 20 2 4 2 3 5" xfId="44063" xr:uid="{00000000-0005-0000-0000-000056810000}"/>
    <cellStyle name="Normal 20 2 4 2 3 6" xfId="27963" xr:uid="{00000000-0005-0000-0000-000057810000}"/>
    <cellStyle name="Normal 20 2 4 2 3 7" xfId="14899" xr:uid="{00000000-0005-0000-0000-000058810000}"/>
    <cellStyle name="Normal 20 2 4 2 4" xfId="1503" xr:uid="{00000000-0005-0000-0000-000059810000}"/>
    <cellStyle name="Normal 20 2 4 2 4 2" xfId="8037" xr:uid="{00000000-0005-0000-0000-00005A810000}"/>
    <cellStyle name="Normal 20 2 4 2 4 2 2" xfId="39778" xr:uid="{00000000-0005-0000-0000-00005B810000}"/>
    <cellStyle name="Normal 20 2 4 2 4 2 2 2" xfId="55878" xr:uid="{00000000-0005-0000-0000-00005C810000}"/>
    <cellStyle name="Normal 20 2 4 2 4 2 3" xfId="46311" xr:uid="{00000000-0005-0000-0000-00005D810000}"/>
    <cellStyle name="Normal 20 2 4 2 4 2 4" xfId="30211" xr:uid="{00000000-0005-0000-0000-00005E810000}"/>
    <cellStyle name="Normal 20 2 4 2 4 2 5" xfId="20642" xr:uid="{00000000-0005-0000-0000-00005F810000}"/>
    <cellStyle name="Normal 20 2 4 2 4 3" xfId="11073" xr:uid="{00000000-0005-0000-0000-000060810000}"/>
    <cellStyle name="Normal 20 2 4 2 4 3 2" xfId="49347" xr:uid="{00000000-0005-0000-0000-000061810000}"/>
    <cellStyle name="Normal 20 2 4 2 4 3 3" xfId="33247" xr:uid="{00000000-0005-0000-0000-000062810000}"/>
    <cellStyle name="Normal 20 2 4 2 4 3 4" xfId="23678" xr:uid="{00000000-0005-0000-0000-000063810000}"/>
    <cellStyle name="Normal 20 2 4 2 4 4" xfId="5001" xr:uid="{00000000-0005-0000-0000-000064810000}"/>
    <cellStyle name="Normal 20 2 4 2 4 4 2" xfId="52842" xr:uid="{00000000-0005-0000-0000-000065810000}"/>
    <cellStyle name="Normal 20 2 4 2 4 4 3" xfId="36742" xr:uid="{00000000-0005-0000-0000-000066810000}"/>
    <cellStyle name="Normal 20 2 4 2 4 4 4" xfId="17606" xr:uid="{00000000-0005-0000-0000-000067810000}"/>
    <cellStyle name="Normal 20 2 4 2 4 5" xfId="43275" xr:uid="{00000000-0005-0000-0000-000068810000}"/>
    <cellStyle name="Normal 20 2 4 2 4 6" xfId="27175" xr:uid="{00000000-0005-0000-0000-000069810000}"/>
    <cellStyle name="Normal 20 2 4 2 4 7" xfId="14111" xr:uid="{00000000-0005-0000-0000-00006A810000}"/>
    <cellStyle name="Normal 20 2 4 2 5" xfId="3991" xr:uid="{00000000-0005-0000-0000-00006B810000}"/>
    <cellStyle name="Normal 20 2 4 2 5 2" xfId="35732" xr:uid="{00000000-0005-0000-0000-00006C810000}"/>
    <cellStyle name="Normal 20 2 4 2 5 2 2" xfId="51832" xr:uid="{00000000-0005-0000-0000-00006D810000}"/>
    <cellStyle name="Normal 20 2 4 2 5 3" xfId="42265" xr:uid="{00000000-0005-0000-0000-00006E810000}"/>
    <cellStyle name="Normal 20 2 4 2 5 4" xfId="26165" xr:uid="{00000000-0005-0000-0000-00006F810000}"/>
    <cellStyle name="Normal 20 2 4 2 5 5" xfId="16596" xr:uid="{00000000-0005-0000-0000-000070810000}"/>
    <cellStyle name="Normal 20 2 4 2 6" xfId="7027" xr:uid="{00000000-0005-0000-0000-000071810000}"/>
    <cellStyle name="Normal 20 2 4 2 6 2" xfId="38768" xr:uid="{00000000-0005-0000-0000-000072810000}"/>
    <cellStyle name="Normal 20 2 4 2 6 2 2" xfId="54868" xr:uid="{00000000-0005-0000-0000-000073810000}"/>
    <cellStyle name="Normal 20 2 4 2 6 3" xfId="45301" xr:uid="{00000000-0005-0000-0000-000074810000}"/>
    <cellStyle name="Normal 20 2 4 2 6 4" xfId="29201" xr:uid="{00000000-0005-0000-0000-000075810000}"/>
    <cellStyle name="Normal 20 2 4 2 6 5" xfId="19632" xr:uid="{00000000-0005-0000-0000-000076810000}"/>
    <cellStyle name="Normal 20 2 4 2 7" xfId="10063" xr:uid="{00000000-0005-0000-0000-000077810000}"/>
    <cellStyle name="Normal 20 2 4 2 7 2" xfId="48337" xr:uid="{00000000-0005-0000-0000-000078810000}"/>
    <cellStyle name="Normal 20 2 4 2 7 3" xfId="32237" xr:uid="{00000000-0005-0000-0000-000079810000}"/>
    <cellStyle name="Normal 20 2 4 2 7 4" xfId="22668" xr:uid="{00000000-0005-0000-0000-00007A810000}"/>
    <cellStyle name="Normal 20 2 4 2 8" xfId="3433" xr:uid="{00000000-0005-0000-0000-00007B810000}"/>
    <cellStyle name="Normal 20 2 4 2 8 2" xfId="51274" xr:uid="{00000000-0005-0000-0000-00007C810000}"/>
    <cellStyle name="Normal 20 2 4 2 8 3" xfId="35174" xr:uid="{00000000-0005-0000-0000-00007D810000}"/>
    <cellStyle name="Normal 20 2 4 2 8 4" xfId="16038" xr:uid="{00000000-0005-0000-0000-00007E810000}"/>
    <cellStyle name="Normal 20 2 4 2 9" xfId="41707" xr:uid="{00000000-0005-0000-0000-00007F810000}"/>
    <cellStyle name="Normal 20 2 4 3" xfId="547" xr:uid="{00000000-0005-0000-0000-000080810000}"/>
    <cellStyle name="Normal 20 2 4 3 2" xfId="2577" xr:uid="{00000000-0005-0000-0000-000081810000}"/>
    <cellStyle name="Normal 20 2 4 3 2 2" xfId="9109" xr:uid="{00000000-0005-0000-0000-000082810000}"/>
    <cellStyle name="Normal 20 2 4 3 2 2 2" xfId="40850" xr:uid="{00000000-0005-0000-0000-000083810000}"/>
    <cellStyle name="Normal 20 2 4 3 2 2 2 2" xfId="56950" xr:uid="{00000000-0005-0000-0000-000084810000}"/>
    <cellStyle name="Normal 20 2 4 3 2 2 3" xfId="47383" xr:uid="{00000000-0005-0000-0000-000085810000}"/>
    <cellStyle name="Normal 20 2 4 3 2 2 4" xfId="31283" xr:uid="{00000000-0005-0000-0000-000086810000}"/>
    <cellStyle name="Normal 20 2 4 3 2 2 5" xfId="21714" xr:uid="{00000000-0005-0000-0000-000087810000}"/>
    <cellStyle name="Normal 20 2 4 3 2 3" xfId="12145" xr:uid="{00000000-0005-0000-0000-000088810000}"/>
    <cellStyle name="Normal 20 2 4 3 2 3 2" xfId="50419" xr:uid="{00000000-0005-0000-0000-000089810000}"/>
    <cellStyle name="Normal 20 2 4 3 2 3 3" xfId="34319" xr:uid="{00000000-0005-0000-0000-00008A810000}"/>
    <cellStyle name="Normal 20 2 4 3 2 3 4" xfId="24750" xr:uid="{00000000-0005-0000-0000-00008B810000}"/>
    <cellStyle name="Normal 20 2 4 3 2 4" xfId="6073" xr:uid="{00000000-0005-0000-0000-00008C810000}"/>
    <cellStyle name="Normal 20 2 4 3 2 4 2" xfId="53914" xr:uid="{00000000-0005-0000-0000-00008D810000}"/>
    <cellStyle name="Normal 20 2 4 3 2 4 3" xfId="37814" xr:uid="{00000000-0005-0000-0000-00008E810000}"/>
    <cellStyle name="Normal 20 2 4 3 2 4 4" xfId="18678" xr:uid="{00000000-0005-0000-0000-00008F810000}"/>
    <cellStyle name="Normal 20 2 4 3 2 5" xfId="44347" xr:uid="{00000000-0005-0000-0000-000090810000}"/>
    <cellStyle name="Normal 20 2 4 3 2 6" xfId="28247" xr:uid="{00000000-0005-0000-0000-000091810000}"/>
    <cellStyle name="Normal 20 2 4 3 2 7" xfId="15183" xr:uid="{00000000-0005-0000-0000-000092810000}"/>
    <cellStyle name="Normal 20 2 4 3 3" xfId="1326" xr:uid="{00000000-0005-0000-0000-000093810000}"/>
    <cellStyle name="Normal 20 2 4 3 3 2" xfId="7860" xr:uid="{00000000-0005-0000-0000-000094810000}"/>
    <cellStyle name="Normal 20 2 4 3 3 2 2" xfId="39601" xr:uid="{00000000-0005-0000-0000-000095810000}"/>
    <cellStyle name="Normal 20 2 4 3 3 2 2 2" xfId="55701" xr:uid="{00000000-0005-0000-0000-000096810000}"/>
    <cellStyle name="Normal 20 2 4 3 3 2 3" xfId="46134" xr:uid="{00000000-0005-0000-0000-000097810000}"/>
    <cellStyle name="Normal 20 2 4 3 3 2 4" xfId="30034" xr:uid="{00000000-0005-0000-0000-000098810000}"/>
    <cellStyle name="Normal 20 2 4 3 3 2 5" xfId="20465" xr:uid="{00000000-0005-0000-0000-000099810000}"/>
    <cellStyle name="Normal 20 2 4 3 3 3" xfId="10896" xr:uid="{00000000-0005-0000-0000-00009A810000}"/>
    <cellStyle name="Normal 20 2 4 3 3 3 2" xfId="49170" xr:uid="{00000000-0005-0000-0000-00009B810000}"/>
    <cellStyle name="Normal 20 2 4 3 3 3 3" xfId="33070" xr:uid="{00000000-0005-0000-0000-00009C810000}"/>
    <cellStyle name="Normal 20 2 4 3 3 3 4" xfId="23501" xr:uid="{00000000-0005-0000-0000-00009D810000}"/>
    <cellStyle name="Normal 20 2 4 3 3 4" xfId="4824" xr:uid="{00000000-0005-0000-0000-00009E810000}"/>
    <cellStyle name="Normal 20 2 4 3 3 4 2" xfId="52665" xr:uid="{00000000-0005-0000-0000-00009F810000}"/>
    <cellStyle name="Normal 20 2 4 3 3 4 3" xfId="36565" xr:uid="{00000000-0005-0000-0000-0000A0810000}"/>
    <cellStyle name="Normal 20 2 4 3 3 4 4" xfId="17429" xr:uid="{00000000-0005-0000-0000-0000A1810000}"/>
    <cellStyle name="Normal 20 2 4 3 3 5" xfId="43098" xr:uid="{00000000-0005-0000-0000-0000A2810000}"/>
    <cellStyle name="Normal 20 2 4 3 3 6" xfId="26998" xr:uid="{00000000-0005-0000-0000-0000A3810000}"/>
    <cellStyle name="Normal 20 2 4 3 3 7" xfId="13934" xr:uid="{00000000-0005-0000-0000-0000A4810000}"/>
    <cellStyle name="Normal 20 2 4 3 4" xfId="6850" xr:uid="{00000000-0005-0000-0000-0000A5810000}"/>
    <cellStyle name="Normal 20 2 4 3 4 2" xfId="38591" xr:uid="{00000000-0005-0000-0000-0000A6810000}"/>
    <cellStyle name="Normal 20 2 4 3 4 2 2" xfId="54691" xr:uid="{00000000-0005-0000-0000-0000A7810000}"/>
    <cellStyle name="Normal 20 2 4 3 4 3" xfId="45124" xr:uid="{00000000-0005-0000-0000-0000A8810000}"/>
    <cellStyle name="Normal 20 2 4 3 4 4" xfId="29024" xr:uid="{00000000-0005-0000-0000-0000A9810000}"/>
    <cellStyle name="Normal 20 2 4 3 4 5" xfId="19455" xr:uid="{00000000-0005-0000-0000-0000AA810000}"/>
    <cellStyle name="Normal 20 2 4 3 5" xfId="9886" xr:uid="{00000000-0005-0000-0000-0000AB810000}"/>
    <cellStyle name="Normal 20 2 4 3 5 2" xfId="48160" xr:uid="{00000000-0005-0000-0000-0000AC810000}"/>
    <cellStyle name="Normal 20 2 4 3 5 3" xfId="32060" xr:uid="{00000000-0005-0000-0000-0000AD810000}"/>
    <cellStyle name="Normal 20 2 4 3 5 4" xfId="22491" xr:uid="{00000000-0005-0000-0000-0000AE810000}"/>
    <cellStyle name="Normal 20 2 4 3 6" xfId="3814" xr:uid="{00000000-0005-0000-0000-0000AF810000}"/>
    <cellStyle name="Normal 20 2 4 3 6 2" xfId="51655" xr:uid="{00000000-0005-0000-0000-0000B0810000}"/>
    <cellStyle name="Normal 20 2 4 3 6 3" xfId="35555" xr:uid="{00000000-0005-0000-0000-0000B1810000}"/>
    <cellStyle name="Normal 20 2 4 3 6 4" xfId="16419" xr:uid="{00000000-0005-0000-0000-0000B2810000}"/>
    <cellStyle name="Normal 20 2 4 3 7" xfId="42088" xr:uid="{00000000-0005-0000-0000-0000B3810000}"/>
    <cellStyle name="Normal 20 2 4 3 8" xfId="25988" xr:uid="{00000000-0005-0000-0000-0000B4810000}"/>
    <cellStyle name="Normal 20 2 4 3 9" xfId="12924" xr:uid="{00000000-0005-0000-0000-0000B5810000}"/>
    <cellStyle name="Normal 20 2 4 4" xfId="840" xr:uid="{00000000-0005-0000-0000-0000B6810000}"/>
    <cellStyle name="Normal 20 2 4 4 2" xfId="2868" xr:uid="{00000000-0005-0000-0000-0000B7810000}"/>
    <cellStyle name="Normal 20 2 4 4 2 2" xfId="9400" xr:uid="{00000000-0005-0000-0000-0000B8810000}"/>
    <cellStyle name="Normal 20 2 4 4 2 2 2" xfId="41141" xr:uid="{00000000-0005-0000-0000-0000B9810000}"/>
    <cellStyle name="Normal 20 2 4 4 2 2 2 2" xfId="57241" xr:uid="{00000000-0005-0000-0000-0000BA810000}"/>
    <cellStyle name="Normal 20 2 4 4 2 2 3" xfId="47674" xr:uid="{00000000-0005-0000-0000-0000BB810000}"/>
    <cellStyle name="Normal 20 2 4 4 2 2 4" xfId="31574" xr:uid="{00000000-0005-0000-0000-0000BC810000}"/>
    <cellStyle name="Normal 20 2 4 4 2 2 5" xfId="22005" xr:uid="{00000000-0005-0000-0000-0000BD810000}"/>
    <cellStyle name="Normal 20 2 4 4 2 3" xfId="12436" xr:uid="{00000000-0005-0000-0000-0000BE810000}"/>
    <cellStyle name="Normal 20 2 4 4 2 3 2" xfId="50710" xr:uid="{00000000-0005-0000-0000-0000BF810000}"/>
    <cellStyle name="Normal 20 2 4 4 2 3 3" xfId="34610" xr:uid="{00000000-0005-0000-0000-0000C0810000}"/>
    <cellStyle name="Normal 20 2 4 4 2 3 4" xfId="25041" xr:uid="{00000000-0005-0000-0000-0000C1810000}"/>
    <cellStyle name="Normal 20 2 4 4 2 4" xfId="6364" xr:uid="{00000000-0005-0000-0000-0000C2810000}"/>
    <cellStyle name="Normal 20 2 4 4 2 4 2" xfId="54205" xr:uid="{00000000-0005-0000-0000-0000C3810000}"/>
    <cellStyle name="Normal 20 2 4 4 2 4 3" xfId="38105" xr:uid="{00000000-0005-0000-0000-0000C4810000}"/>
    <cellStyle name="Normal 20 2 4 4 2 4 4" xfId="18969" xr:uid="{00000000-0005-0000-0000-0000C5810000}"/>
    <cellStyle name="Normal 20 2 4 4 2 5" xfId="44638" xr:uid="{00000000-0005-0000-0000-0000C6810000}"/>
    <cellStyle name="Normal 20 2 4 4 2 6" xfId="28538" xr:uid="{00000000-0005-0000-0000-0000C7810000}"/>
    <cellStyle name="Normal 20 2 4 4 2 7" xfId="15474" xr:uid="{00000000-0005-0000-0000-0000C8810000}"/>
    <cellStyle name="Normal 20 2 4 4 3" xfId="1850" xr:uid="{00000000-0005-0000-0000-0000C9810000}"/>
    <cellStyle name="Normal 20 2 4 4 3 2" xfId="8384" xr:uid="{00000000-0005-0000-0000-0000CA810000}"/>
    <cellStyle name="Normal 20 2 4 4 3 2 2" xfId="40125" xr:uid="{00000000-0005-0000-0000-0000CB810000}"/>
    <cellStyle name="Normal 20 2 4 4 3 2 2 2" xfId="56225" xr:uid="{00000000-0005-0000-0000-0000CC810000}"/>
    <cellStyle name="Normal 20 2 4 4 3 2 3" xfId="46658" xr:uid="{00000000-0005-0000-0000-0000CD810000}"/>
    <cellStyle name="Normal 20 2 4 4 3 2 4" xfId="30558" xr:uid="{00000000-0005-0000-0000-0000CE810000}"/>
    <cellStyle name="Normal 20 2 4 4 3 2 5" xfId="20989" xr:uid="{00000000-0005-0000-0000-0000CF810000}"/>
    <cellStyle name="Normal 20 2 4 4 3 3" xfId="11420" xr:uid="{00000000-0005-0000-0000-0000D0810000}"/>
    <cellStyle name="Normal 20 2 4 4 3 3 2" xfId="49694" xr:uid="{00000000-0005-0000-0000-0000D1810000}"/>
    <cellStyle name="Normal 20 2 4 4 3 3 3" xfId="33594" xr:uid="{00000000-0005-0000-0000-0000D2810000}"/>
    <cellStyle name="Normal 20 2 4 4 3 3 4" xfId="24025" xr:uid="{00000000-0005-0000-0000-0000D3810000}"/>
    <cellStyle name="Normal 20 2 4 4 3 4" xfId="5348" xr:uid="{00000000-0005-0000-0000-0000D4810000}"/>
    <cellStyle name="Normal 20 2 4 4 3 4 2" xfId="53189" xr:uid="{00000000-0005-0000-0000-0000D5810000}"/>
    <cellStyle name="Normal 20 2 4 4 3 4 3" xfId="37089" xr:uid="{00000000-0005-0000-0000-0000D6810000}"/>
    <cellStyle name="Normal 20 2 4 4 3 4 4" xfId="17953" xr:uid="{00000000-0005-0000-0000-0000D7810000}"/>
    <cellStyle name="Normal 20 2 4 4 3 5" xfId="43622" xr:uid="{00000000-0005-0000-0000-0000D8810000}"/>
    <cellStyle name="Normal 20 2 4 4 3 6" xfId="27522" xr:uid="{00000000-0005-0000-0000-0000D9810000}"/>
    <cellStyle name="Normal 20 2 4 4 3 7" xfId="14458" xr:uid="{00000000-0005-0000-0000-0000DA810000}"/>
    <cellStyle name="Normal 20 2 4 4 4" xfId="7374" xr:uid="{00000000-0005-0000-0000-0000DB810000}"/>
    <cellStyle name="Normal 20 2 4 4 4 2" xfId="39115" xr:uid="{00000000-0005-0000-0000-0000DC810000}"/>
    <cellStyle name="Normal 20 2 4 4 4 2 2" xfId="55215" xr:uid="{00000000-0005-0000-0000-0000DD810000}"/>
    <cellStyle name="Normal 20 2 4 4 4 3" xfId="45648" xr:uid="{00000000-0005-0000-0000-0000DE810000}"/>
    <cellStyle name="Normal 20 2 4 4 4 4" xfId="29548" xr:uid="{00000000-0005-0000-0000-0000DF810000}"/>
    <cellStyle name="Normal 20 2 4 4 4 5" xfId="19979" xr:uid="{00000000-0005-0000-0000-0000E0810000}"/>
    <cellStyle name="Normal 20 2 4 4 5" xfId="10410" xr:uid="{00000000-0005-0000-0000-0000E1810000}"/>
    <cellStyle name="Normal 20 2 4 4 5 2" xfId="48684" xr:uid="{00000000-0005-0000-0000-0000E2810000}"/>
    <cellStyle name="Normal 20 2 4 4 5 3" xfId="32584" xr:uid="{00000000-0005-0000-0000-0000E3810000}"/>
    <cellStyle name="Normal 20 2 4 4 5 4" xfId="23015" xr:uid="{00000000-0005-0000-0000-0000E4810000}"/>
    <cellStyle name="Normal 20 2 4 4 6" xfId="4338" xr:uid="{00000000-0005-0000-0000-0000E5810000}"/>
    <cellStyle name="Normal 20 2 4 4 6 2" xfId="52179" xr:uid="{00000000-0005-0000-0000-0000E6810000}"/>
    <cellStyle name="Normal 20 2 4 4 6 3" xfId="36079" xr:uid="{00000000-0005-0000-0000-0000E7810000}"/>
    <cellStyle name="Normal 20 2 4 4 6 4" xfId="16943" xr:uid="{00000000-0005-0000-0000-0000E8810000}"/>
    <cellStyle name="Normal 20 2 4 4 7" xfId="42612" xr:uid="{00000000-0005-0000-0000-0000E9810000}"/>
    <cellStyle name="Normal 20 2 4 4 8" xfId="26512" xr:uid="{00000000-0005-0000-0000-0000EA810000}"/>
    <cellStyle name="Normal 20 2 4 4 9" xfId="13448" xr:uid="{00000000-0005-0000-0000-0000EB810000}"/>
    <cellStyle name="Normal 20 2 4 5" xfId="2114" xr:uid="{00000000-0005-0000-0000-0000EC810000}"/>
    <cellStyle name="Normal 20 2 4 5 2" xfId="8648" xr:uid="{00000000-0005-0000-0000-0000ED810000}"/>
    <cellStyle name="Normal 20 2 4 5 2 2" xfId="40389" xr:uid="{00000000-0005-0000-0000-0000EE810000}"/>
    <cellStyle name="Normal 20 2 4 5 2 2 2" xfId="56489" xr:uid="{00000000-0005-0000-0000-0000EF810000}"/>
    <cellStyle name="Normal 20 2 4 5 2 3" xfId="46922" xr:uid="{00000000-0005-0000-0000-0000F0810000}"/>
    <cellStyle name="Normal 20 2 4 5 2 4" xfId="30822" xr:uid="{00000000-0005-0000-0000-0000F1810000}"/>
    <cellStyle name="Normal 20 2 4 5 2 5" xfId="21253" xr:uid="{00000000-0005-0000-0000-0000F2810000}"/>
    <cellStyle name="Normal 20 2 4 5 3" xfId="11684" xr:uid="{00000000-0005-0000-0000-0000F3810000}"/>
    <cellStyle name="Normal 20 2 4 5 3 2" xfId="49958" xr:uid="{00000000-0005-0000-0000-0000F4810000}"/>
    <cellStyle name="Normal 20 2 4 5 3 3" xfId="33858" xr:uid="{00000000-0005-0000-0000-0000F5810000}"/>
    <cellStyle name="Normal 20 2 4 5 3 4" xfId="24289" xr:uid="{00000000-0005-0000-0000-0000F6810000}"/>
    <cellStyle name="Normal 20 2 4 5 4" xfId="5612" xr:uid="{00000000-0005-0000-0000-0000F7810000}"/>
    <cellStyle name="Normal 20 2 4 5 4 2" xfId="53453" xr:uid="{00000000-0005-0000-0000-0000F8810000}"/>
    <cellStyle name="Normal 20 2 4 5 4 3" xfId="37353" xr:uid="{00000000-0005-0000-0000-0000F9810000}"/>
    <cellStyle name="Normal 20 2 4 5 4 4" xfId="18217" xr:uid="{00000000-0005-0000-0000-0000FA810000}"/>
    <cellStyle name="Normal 20 2 4 5 5" xfId="43886" xr:uid="{00000000-0005-0000-0000-0000FB810000}"/>
    <cellStyle name="Normal 20 2 4 5 6" xfId="27786" xr:uid="{00000000-0005-0000-0000-0000FC810000}"/>
    <cellStyle name="Normal 20 2 4 5 7" xfId="14722" xr:uid="{00000000-0005-0000-0000-0000FD810000}"/>
    <cellStyle name="Normal 20 2 4 6" xfId="1167" xr:uid="{00000000-0005-0000-0000-0000FE810000}"/>
    <cellStyle name="Normal 20 2 4 6 2" xfId="7701" xr:uid="{00000000-0005-0000-0000-0000FF810000}"/>
    <cellStyle name="Normal 20 2 4 6 2 2" xfId="39442" xr:uid="{00000000-0005-0000-0000-000000820000}"/>
    <cellStyle name="Normal 20 2 4 6 2 2 2" xfId="55542" xr:uid="{00000000-0005-0000-0000-000001820000}"/>
    <cellStyle name="Normal 20 2 4 6 2 3" xfId="45975" xr:uid="{00000000-0005-0000-0000-000002820000}"/>
    <cellStyle name="Normal 20 2 4 6 2 4" xfId="29875" xr:uid="{00000000-0005-0000-0000-000003820000}"/>
    <cellStyle name="Normal 20 2 4 6 2 5" xfId="20306" xr:uid="{00000000-0005-0000-0000-000004820000}"/>
    <cellStyle name="Normal 20 2 4 6 3" xfId="10737" xr:uid="{00000000-0005-0000-0000-000005820000}"/>
    <cellStyle name="Normal 20 2 4 6 3 2" xfId="49011" xr:uid="{00000000-0005-0000-0000-000006820000}"/>
    <cellStyle name="Normal 20 2 4 6 3 3" xfId="32911" xr:uid="{00000000-0005-0000-0000-000007820000}"/>
    <cellStyle name="Normal 20 2 4 6 3 4" xfId="23342" xr:uid="{00000000-0005-0000-0000-000008820000}"/>
    <cellStyle name="Normal 20 2 4 6 4" xfId="4665" xr:uid="{00000000-0005-0000-0000-000009820000}"/>
    <cellStyle name="Normal 20 2 4 6 4 2" xfId="52506" xr:uid="{00000000-0005-0000-0000-00000A820000}"/>
    <cellStyle name="Normal 20 2 4 6 4 3" xfId="36406" xr:uid="{00000000-0005-0000-0000-00000B820000}"/>
    <cellStyle name="Normal 20 2 4 6 4 4" xfId="17270" xr:uid="{00000000-0005-0000-0000-00000C820000}"/>
    <cellStyle name="Normal 20 2 4 6 5" xfId="42939" xr:uid="{00000000-0005-0000-0000-00000D820000}"/>
    <cellStyle name="Normal 20 2 4 6 6" xfId="26839" xr:uid="{00000000-0005-0000-0000-00000E820000}"/>
    <cellStyle name="Normal 20 2 4 6 7" xfId="13775" xr:uid="{00000000-0005-0000-0000-00000F820000}"/>
    <cellStyle name="Normal 20 2 4 7" xfId="3655" xr:uid="{00000000-0005-0000-0000-000010820000}"/>
    <cellStyle name="Normal 20 2 4 7 2" xfId="35396" xr:uid="{00000000-0005-0000-0000-000011820000}"/>
    <cellStyle name="Normal 20 2 4 7 2 2" xfId="51496" xr:uid="{00000000-0005-0000-0000-000012820000}"/>
    <cellStyle name="Normal 20 2 4 7 3" xfId="41929" xr:uid="{00000000-0005-0000-0000-000013820000}"/>
    <cellStyle name="Normal 20 2 4 7 4" xfId="25829" xr:uid="{00000000-0005-0000-0000-000014820000}"/>
    <cellStyle name="Normal 20 2 4 7 5" xfId="16260" xr:uid="{00000000-0005-0000-0000-000015820000}"/>
    <cellStyle name="Normal 20 2 4 8" xfId="6691" xr:uid="{00000000-0005-0000-0000-000016820000}"/>
    <cellStyle name="Normal 20 2 4 8 2" xfId="38432" xr:uid="{00000000-0005-0000-0000-000017820000}"/>
    <cellStyle name="Normal 20 2 4 8 2 2" xfId="54532" xr:uid="{00000000-0005-0000-0000-000018820000}"/>
    <cellStyle name="Normal 20 2 4 8 3" xfId="44965" xr:uid="{00000000-0005-0000-0000-000019820000}"/>
    <cellStyle name="Normal 20 2 4 8 4" xfId="28865" xr:uid="{00000000-0005-0000-0000-00001A820000}"/>
    <cellStyle name="Normal 20 2 4 8 5" xfId="19296" xr:uid="{00000000-0005-0000-0000-00001B820000}"/>
    <cellStyle name="Normal 20 2 4 9" xfId="9727" xr:uid="{00000000-0005-0000-0000-00001C820000}"/>
    <cellStyle name="Normal 20 2 4 9 2" xfId="48001" xr:uid="{00000000-0005-0000-0000-00001D820000}"/>
    <cellStyle name="Normal 20 2 4 9 3" xfId="31901" xr:uid="{00000000-0005-0000-0000-00001E820000}"/>
    <cellStyle name="Normal 20 2 4 9 4" xfId="22332" xr:uid="{00000000-0005-0000-0000-00001F820000}"/>
    <cellStyle name="Normal 20 2 5" xfId="166" xr:uid="{00000000-0005-0000-0000-000020820000}"/>
    <cellStyle name="Normal 20 2 5 10" xfId="3212" xr:uid="{00000000-0005-0000-0000-000021820000}"/>
    <cellStyle name="Normal 20 2 5 10 2" xfId="51054" xr:uid="{00000000-0005-0000-0000-000022820000}"/>
    <cellStyle name="Normal 20 2 5 10 3" xfId="34954" xr:uid="{00000000-0005-0000-0000-000023820000}"/>
    <cellStyle name="Normal 20 2 5 10 4" xfId="15818" xr:uid="{00000000-0005-0000-0000-000024820000}"/>
    <cellStyle name="Normal 20 2 5 11" xfId="41487" xr:uid="{00000000-0005-0000-0000-000025820000}"/>
    <cellStyle name="Normal 20 2 5 12" xfId="25387" xr:uid="{00000000-0005-0000-0000-000026820000}"/>
    <cellStyle name="Normal 20 2 5 13" xfId="12782" xr:uid="{00000000-0005-0000-0000-000027820000}"/>
    <cellStyle name="Normal 20 2 5 2" xfId="343" xr:uid="{00000000-0005-0000-0000-000028820000}"/>
    <cellStyle name="Normal 20 2 5 2 10" xfId="13172" xr:uid="{00000000-0005-0000-0000-000029820000}"/>
    <cellStyle name="Normal 20 2 5 2 2" xfId="2362" xr:uid="{00000000-0005-0000-0000-00002A820000}"/>
    <cellStyle name="Normal 20 2 5 2 2 2" xfId="8896" xr:uid="{00000000-0005-0000-0000-00002B820000}"/>
    <cellStyle name="Normal 20 2 5 2 2 2 2" xfId="40637" xr:uid="{00000000-0005-0000-0000-00002C820000}"/>
    <cellStyle name="Normal 20 2 5 2 2 2 2 2" xfId="56737" xr:uid="{00000000-0005-0000-0000-00002D820000}"/>
    <cellStyle name="Normal 20 2 5 2 2 2 3" xfId="47170" xr:uid="{00000000-0005-0000-0000-00002E820000}"/>
    <cellStyle name="Normal 20 2 5 2 2 2 4" xfId="31070" xr:uid="{00000000-0005-0000-0000-00002F820000}"/>
    <cellStyle name="Normal 20 2 5 2 2 2 5" xfId="21501" xr:uid="{00000000-0005-0000-0000-000030820000}"/>
    <cellStyle name="Normal 20 2 5 2 2 3" xfId="11932" xr:uid="{00000000-0005-0000-0000-000031820000}"/>
    <cellStyle name="Normal 20 2 5 2 2 3 2" xfId="50206" xr:uid="{00000000-0005-0000-0000-000032820000}"/>
    <cellStyle name="Normal 20 2 5 2 2 3 3" xfId="34106" xr:uid="{00000000-0005-0000-0000-000033820000}"/>
    <cellStyle name="Normal 20 2 5 2 2 3 4" xfId="24537" xr:uid="{00000000-0005-0000-0000-000034820000}"/>
    <cellStyle name="Normal 20 2 5 2 2 4" xfId="5860" xr:uid="{00000000-0005-0000-0000-000035820000}"/>
    <cellStyle name="Normal 20 2 5 2 2 4 2" xfId="53701" xr:uid="{00000000-0005-0000-0000-000036820000}"/>
    <cellStyle name="Normal 20 2 5 2 2 4 3" xfId="37601" xr:uid="{00000000-0005-0000-0000-000037820000}"/>
    <cellStyle name="Normal 20 2 5 2 2 4 4" xfId="18465" xr:uid="{00000000-0005-0000-0000-000038820000}"/>
    <cellStyle name="Normal 20 2 5 2 2 5" xfId="44134" xr:uid="{00000000-0005-0000-0000-000039820000}"/>
    <cellStyle name="Normal 20 2 5 2 2 6" xfId="28034" xr:uid="{00000000-0005-0000-0000-00003A820000}"/>
    <cellStyle name="Normal 20 2 5 2 2 7" xfId="14970" xr:uid="{00000000-0005-0000-0000-00003B820000}"/>
    <cellStyle name="Normal 20 2 5 2 3" xfId="1574" xr:uid="{00000000-0005-0000-0000-00003C820000}"/>
    <cellStyle name="Normal 20 2 5 2 3 2" xfId="8108" xr:uid="{00000000-0005-0000-0000-00003D820000}"/>
    <cellStyle name="Normal 20 2 5 2 3 2 2" xfId="39849" xr:uid="{00000000-0005-0000-0000-00003E820000}"/>
    <cellStyle name="Normal 20 2 5 2 3 2 2 2" xfId="55949" xr:uid="{00000000-0005-0000-0000-00003F820000}"/>
    <cellStyle name="Normal 20 2 5 2 3 2 3" xfId="46382" xr:uid="{00000000-0005-0000-0000-000040820000}"/>
    <cellStyle name="Normal 20 2 5 2 3 2 4" xfId="30282" xr:uid="{00000000-0005-0000-0000-000041820000}"/>
    <cellStyle name="Normal 20 2 5 2 3 2 5" xfId="20713" xr:uid="{00000000-0005-0000-0000-000042820000}"/>
    <cellStyle name="Normal 20 2 5 2 3 3" xfId="11144" xr:uid="{00000000-0005-0000-0000-000043820000}"/>
    <cellStyle name="Normal 20 2 5 2 3 3 2" xfId="49418" xr:uid="{00000000-0005-0000-0000-000044820000}"/>
    <cellStyle name="Normal 20 2 5 2 3 3 3" xfId="33318" xr:uid="{00000000-0005-0000-0000-000045820000}"/>
    <cellStyle name="Normal 20 2 5 2 3 3 4" xfId="23749" xr:uid="{00000000-0005-0000-0000-000046820000}"/>
    <cellStyle name="Normal 20 2 5 2 3 4" xfId="5072" xr:uid="{00000000-0005-0000-0000-000047820000}"/>
    <cellStyle name="Normal 20 2 5 2 3 4 2" xfId="52913" xr:uid="{00000000-0005-0000-0000-000048820000}"/>
    <cellStyle name="Normal 20 2 5 2 3 4 3" xfId="36813" xr:uid="{00000000-0005-0000-0000-000049820000}"/>
    <cellStyle name="Normal 20 2 5 2 3 4 4" xfId="17677" xr:uid="{00000000-0005-0000-0000-00004A820000}"/>
    <cellStyle name="Normal 20 2 5 2 3 5" xfId="43346" xr:uid="{00000000-0005-0000-0000-00004B820000}"/>
    <cellStyle name="Normal 20 2 5 2 3 6" xfId="27246" xr:uid="{00000000-0005-0000-0000-00004C820000}"/>
    <cellStyle name="Normal 20 2 5 2 3 7" xfId="14182" xr:uid="{00000000-0005-0000-0000-00004D820000}"/>
    <cellStyle name="Normal 20 2 5 2 4" xfId="4062" xr:uid="{00000000-0005-0000-0000-00004E820000}"/>
    <cellStyle name="Normal 20 2 5 2 4 2" xfId="35803" xr:uid="{00000000-0005-0000-0000-00004F820000}"/>
    <cellStyle name="Normal 20 2 5 2 4 2 2" xfId="51903" xr:uid="{00000000-0005-0000-0000-000050820000}"/>
    <cellStyle name="Normal 20 2 5 2 4 3" xfId="42336" xr:uid="{00000000-0005-0000-0000-000051820000}"/>
    <cellStyle name="Normal 20 2 5 2 4 4" xfId="26236" xr:uid="{00000000-0005-0000-0000-000052820000}"/>
    <cellStyle name="Normal 20 2 5 2 4 5" xfId="16667" xr:uid="{00000000-0005-0000-0000-000053820000}"/>
    <cellStyle name="Normal 20 2 5 2 5" xfId="7098" xr:uid="{00000000-0005-0000-0000-000054820000}"/>
    <cellStyle name="Normal 20 2 5 2 5 2" xfId="38839" xr:uid="{00000000-0005-0000-0000-000055820000}"/>
    <cellStyle name="Normal 20 2 5 2 5 2 2" xfId="54939" xr:uid="{00000000-0005-0000-0000-000056820000}"/>
    <cellStyle name="Normal 20 2 5 2 5 3" xfId="45372" xr:uid="{00000000-0005-0000-0000-000057820000}"/>
    <cellStyle name="Normal 20 2 5 2 5 4" xfId="29272" xr:uid="{00000000-0005-0000-0000-000058820000}"/>
    <cellStyle name="Normal 20 2 5 2 5 5" xfId="19703" xr:uid="{00000000-0005-0000-0000-000059820000}"/>
    <cellStyle name="Normal 20 2 5 2 6" xfId="10134" xr:uid="{00000000-0005-0000-0000-00005A820000}"/>
    <cellStyle name="Normal 20 2 5 2 6 2" xfId="48408" xr:uid="{00000000-0005-0000-0000-00005B820000}"/>
    <cellStyle name="Normal 20 2 5 2 6 3" xfId="32308" xr:uid="{00000000-0005-0000-0000-00005C820000}"/>
    <cellStyle name="Normal 20 2 5 2 6 4" xfId="22739" xr:uid="{00000000-0005-0000-0000-00005D820000}"/>
    <cellStyle name="Normal 20 2 5 2 7" xfId="3450" xr:uid="{00000000-0005-0000-0000-00005E820000}"/>
    <cellStyle name="Normal 20 2 5 2 7 2" xfId="51291" xr:uid="{00000000-0005-0000-0000-00005F820000}"/>
    <cellStyle name="Normal 20 2 5 2 7 3" xfId="35191" xr:uid="{00000000-0005-0000-0000-000060820000}"/>
    <cellStyle name="Normal 20 2 5 2 7 4" xfId="16055" xr:uid="{00000000-0005-0000-0000-000061820000}"/>
    <cellStyle name="Normal 20 2 5 2 8" xfId="41724" xr:uid="{00000000-0005-0000-0000-000062820000}"/>
    <cellStyle name="Normal 20 2 5 2 9" xfId="25624" xr:uid="{00000000-0005-0000-0000-000063820000}"/>
    <cellStyle name="Normal 20 2 5 3" xfId="601" xr:uid="{00000000-0005-0000-0000-000064820000}"/>
    <cellStyle name="Normal 20 2 5 3 2" xfId="2629" xr:uid="{00000000-0005-0000-0000-000065820000}"/>
    <cellStyle name="Normal 20 2 5 3 2 2" xfId="9161" xr:uid="{00000000-0005-0000-0000-000066820000}"/>
    <cellStyle name="Normal 20 2 5 3 2 2 2" xfId="40902" xr:uid="{00000000-0005-0000-0000-000067820000}"/>
    <cellStyle name="Normal 20 2 5 3 2 2 2 2" xfId="57002" xr:uid="{00000000-0005-0000-0000-000068820000}"/>
    <cellStyle name="Normal 20 2 5 3 2 2 3" xfId="47435" xr:uid="{00000000-0005-0000-0000-000069820000}"/>
    <cellStyle name="Normal 20 2 5 3 2 2 4" xfId="31335" xr:uid="{00000000-0005-0000-0000-00006A820000}"/>
    <cellStyle name="Normal 20 2 5 3 2 2 5" xfId="21766" xr:uid="{00000000-0005-0000-0000-00006B820000}"/>
    <cellStyle name="Normal 20 2 5 3 2 3" xfId="12197" xr:uid="{00000000-0005-0000-0000-00006C820000}"/>
    <cellStyle name="Normal 20 2 5 3 2 3 2" xfId="50471" xr:uid="{00000000-0005-0000-0000-00006D820000}"/>
    <cellStyle name="Normal 20 2 5 3 2 3 3" xfId="34371" xr:uid="{00000000-0005-0000-0000-00006E820000}"/>
    <cellStyle name="Normal 20 2 5 3 2 3 4" xfId="24802" xr:uid="{00000000-0005-0000-0000-00006F820000}"/>
    <cellStyle name="Normal 20 2 5 3 2 4" xfId="6125" xr:uid="{00000000-0005-0000-0000-000070820000}"/>
    <cellStyle name="Normal 20 2 5 3 2 4 2" xfId="53966" xr:uid="{00000000-0005-0000-0000-000071820000}"/>
    <cellStyle name="Normal 20 2 5 3 2 4 3" xfId="37866" xr:uid="{00000000-0005-0000-0000-000072820000}"/>
    <cellStyle name="Normal 20 2 5 3 2 4 4" xfId="18730" xr:uid="{00000000-0005-0000-0000-000073820000}"/>
    <cellStyle name="Normal 20 2 5 3 2 5" xfId="44399" xr:uid="{00000000-0005-0000-0000-000074820000}"/>
    <cellStyle name="Normal 20 2 5 3 2 6" xfId="28299" xr:uid="{00000000-0005-0000-0000-000075820000}"/>
    <cellStyle name="Normal 20 2 5 3 2 7" xfId="15235" xr:uid="{00000000-0005-0000-0000-000076820000}"/>
    <cellStyle name="Normal 20 2 5 3 3" xfId="1397" xr:uid="{00000000-0005-0000-0000-000077820000}"/>
    <cellStyle name="Normal 20 2 5 3 3 2" xfId="7931" xr:uid="{00000000-0005-0000-0000-000078820000}"/>
    <cellStyle name="Normal 20 2 5 3 3 2 2" xfId="39672" xr:uid="{00000000-0005-0000-0000-000079820000}"/>
    <cellStyle name="Normal 20 2 5 3 3 2 2 2" xfId="55772" xr:uid="{00000000-0005-0000-0000-00007A820000}"/>
    <cellStyle name="Normal 20 2 5 3 3 2 3" xfId="46205" xr:uid="{00000000-0005-0000-0000-00007B820000}"/>
    <cellStyle name="Normal 20 2 5 3 3 2 4" xfId="30105" xr:uid="{00000000-0005-0000-0000-00007C820000}"/>
    <cellStyle name="Normal 20 2 5 3 3 2 5" xfId="20536" xr:uid="{00000000-0005-0000-0000-00007D820000}"/>
    <cellStyle name="Normal 20 2 5 3 3 3" xfId="10967" xr:uid="{00000000-0005-0000-0000-00007E820000}"/>
    <cellStyle name="Normal 20 2 5 3 3 3 2" xfId="49241" xr:uid="{00000000-0005-0000-0000-00007F820000}"/>
    <cellStyle name="Normal 20 2 5 3 3 3 3" xfId="33141" xr:uid="{00000000-0005-0000-0000-000080820000}"/>
    <cellStyle name="Normal 20 2 5 3 3 3 4" xfId="23572" xr:uid="{00000000-0005-0000-0000-000081820000}"/>
    <cellStyle name="Normal 20 2 5 3 3 4" xfId="4895" xr:uid="{00000000-0005-0000-0000-000082820000}"/>
    <cellStyle name="Normal 20 2 5 3 3 4 2" xfId="52736" xr:uid="{00000000-0005-0000-0000-000083820000}"/>
    <cellStyle name="Normal 20 2 5 3 3 4 3" xfId="36636" xr:uid="{00000000-0005-0000-0000-000084820000}"/>
    <cellStyle name="Normal 20 2 5 3 3 4 4" xfId="17500" xr:uid="{00000000-0005-0000-0000-000085820000}"/>
    <cellStyle name="Normal 20 2 5 3 3 5" xfId="43169" xr:uid="{00000000-0005-0000-0000-000086820000}"/>
    <cellStyle name="Normal 20 2 5 3 3 6" xfId="27069" xr:uid="{00000000-0005-0000-0000-000087820000}"/>
    <cellStyle name="Normal 20 2 5 3 3 7" xfId="14005" xr:uid="{00000000-0005-0000-0000-000088820000}"/>
    <cellStyle name="Normal 20 2 5 3 4" xfId="6921" xr:uid="{00000000-0005-0000-0000-000089820000}"/>
    <cellStyle name="Normal 20 2 5 3 4 2" xfId="38662" xr:uid="{00000000-0005-0000-0000-00008A820000}"/>
    <cellStyle name="Normal 20 2 5 3 4 2 2" xfId="54762" xr:uid="{00000000-0005-0000-0000-00008B820000}"/>
    <cellStyle name="Normal 20 2 5 3 4 3" xfId="45195" xr:uid="{00000000-0005-0000-0000-00008C820000}"/>
    <cellStyle name="Normal 20 2 5 3 4 4" xfId="29095" xr:uid="{00000000-0005-0000-0000-00008D820000}"/>
    <cellStyle name="Normal 20 2 5 3 4 5" xfId="19526" xr:uid="{00000000-0005-0000-0000-00008E820000}"/>
    <cellStyle name="Normal 20 2 5 3 5" xfId="9957" xr:uid="{00000000-0005-0000-0000-00008F820000}"/>
    <cellStyle name="Normal 20 2 5 3 5 2" xfId="48231" xr:uid="{00000000-0005-0000-0000-000090820000}"/>
    <cellStyle name="Normal 20 2 5 3 5 3" xfId="32131" xr:uid="{00000000-0005-0000-0000-000091820000}"/>
    <cellStyle name="Normal 20 2 5 3 5 4" xfId="22562" xr:uid="{00000000-0005-0000-0000-000092820000}"/>
    <cellStyle name="Normal 20 2 5 3 6" xfId="3885" xr:uid="{00000000-0005-0000-0000-000093820000}"/>
    <cellStyle name="Normal 20 2 5 3 6 2" xfId="51726" xr:uid="{00000000-0005-0000-0000-000094820000}"/>
    <cellStyle name="Normal 20 2 5 3 6 3" xfId="35626" xr:uid="{00000000-0005-0000-0000-000095820000}"/>
    <cellStyle name="Normal 20 2 5 3 6 4" xfId="16490" xr:uid="{00000000-0005-0000-0000-000096820000}"/>
    <cellStyle name="Normal 20 2 5 3 7" xfId="42159" xr:uid="{00000000-0005-0000-0000-000097820000}"/>
    <cellStyle name="Normal 20 2 5 3 8" xfId="26059" xr:uid="{00000000-0005-0000-0000-000098820000}"/>
    <cellStyle name="Normal 20 2 5 3 9" xfId="12995" xr:uid="{00000000-0005-0000-0000-000099820000}"/>
    <cellStyle name="Normal 20 2 5 4" xfId="857" xr:uid="{00000000-0005-0000-0000-00009A820000}"/>
    <cellStyle name="Normal 20 2 5 4 2" xfId="2885" xr:uid="{00000000-0005-0000-0000-00009B820000}"/>
    <cellStyle name="Normal 20 2 5 4 2 2" xfId="9417" xr:uid="{00000000-0005-0000-0000-00009C820000}"/>
    <cellStyle name="Normal 20 2 5 4 2 2 2" xfId="41158" xr:uid="{00000000-0005-0000-0000-00009D820000}"/>
    <cellStyle name="Normal 20 2 5 4 2 2 2 2" xfId="57258" xr:uid="{00000000-0005-0000-0000-00009E820000}"/>
    <cellStyle name="Normal 20 2 5 4 2 2 3" xfId="47691" xr:uid="{00000000-0005-0000-0000-00009F820000}"/>
    <cellStyle name="Normal 20 2 5 4 2 2 4" xfId="31591" xr:uid="{00000000-0005-0000-0000-0000A0820000}"/>
    <cellStyle name="Normal 20 2 5 4 2 2 5" xfId="22022" xr:uid="{00000000-0005-0000-0000-0000A1820000}"/>
    <cellStyle name="Normal 20 2 5 4 2 3" xfId="12453" xr:uid="{00000000-0005-0000-0000-0000A2820000}"/>
    <cellStyle name="Normal 20 2 5 4 2 3 2" xfId="50727" xr:uid="{00000000-0005-0000-0000-0000A3820000}"/>
    <cellStyle name="Normal 20 2 5 4 2 3 3" xfId="34627" xr:uid="{00000000-0005-0000-0000-0000A4820000}"/>
    <cellStyle name="Normal 20 2 5 4 2 3 4" xfId="25058" xr:uid="{00000000-0005-0000-0000-0000A5820000}"/>
    <cellStyle name="Normal 20 2 5 4 2 4" xfId="6381" xr:uid="{00000000-0005-0000-0000-0000A6820000}"/>
    <cellStyle name="Normal 20 2 5 4 2 4 2" xfId="54222" xr:uid="{00000000-0005-0000-0000-0000A7820000}"/>
    <cellStyle name="Normal 20 2 5 4 2 4 3" xfId="38122" xr:uid="{00000000-0005-0000-0000-0000A8820000}"/>
    <cellStyle name="Normal 20 2 5 4 2 4 4" xfId="18986" xr:uid="{00000000-0005-0000-0000-0000A9820000}"/>
    <cellStyle name="Normal 20 2 5 4 2 5" xfId="44655" xr:uid="{00000000-0005-0000-0000-0000AA820000}"/>
    <cellStyle name="Normal 20 2 5 4 2 6" xfId="28555" xr:uid="{00000000-0005-0000-0000-0000AB820000}"/>
    <cellStyle name="Normal 20 2 5 4 2 7" xfId="15491" xr:uid="{00000000-0005-0000-0000-0000AC820000}"/>
    <cellStyle name="Normal 20 2 5 4 3" xfId="1867" xr:uid="{00000000-0005-0000-0000-0000AD820000}"/>
    <cellStyle name="Normal 20 2 5 4 3 2" xfId="8401" xr:uid="{00000000-0005-0000-0000-0000AE820000}"/>
    <cellStyle name="Normal 20 2 5 4 3 2 2" xfId="40142" xr:uid="{00000000-0005-0000-0000-0000AF820000}"/>
    <cellStyle name="Normal 20 2 5 4 3 2 2 2" xfId="56242" xr:uid="{00000000-0005-0000-0000-0000B0820000}"/>
    <cellStyle name="Normal 20 2 5 4 3 2 3" xfId="46675" xr:uid="{00000000-0005-0000-0000-0000B1820000}"/>
    <cellStyle name="Normal 20 2 5 4 3 2 4" xfId="30575" xr:uid="{00000000-0005-0000-0000-0000B2820000}"/>
    <cellStyle name="Normal 20 2 5 4 3 2 5" xfId="21006" xr:uid="{00000000-0005-0000-0000-0000B3820000}"/>
    <cellStyle name="Normal 20 2 5 4 3 3" xfId="11437" xr:uid="{00000000-0005-0000-0000-0000B4820000}"/>
    <cellStyle name="Normal 20 2 5 4 3 3 2" xfId="49711" xr:uid="{00000000-0005-0000-0000-0000B5820000}"/>
    <cellStyle name="Normal 20 2 5 4 3 3 3" xfId="33611" xr:uid="{00000000-0005-0000-0000-0000B6820000}"/>
    <cellStyle name="Normal 20 2 5 4 3 3 4" xfId="24042" xr:uid="{00000000-0005-0000-0000-0000B7820000}"/>
    <cellStyle name="Normal 20 2 5 4 3 4" xfId="5365" xr:uid="{00000000-0005-0000-0000-0000B8820000}"/>
    <cellStyle name="Normal 20 2 5 4 3 4 2" xfId="53206" xr:uid="{00000000-0005-0000-0000-0000B9820000}"/>
    <cellStyle name="Normal 20 2 5 4 3 4 3" xfId="37106" xr:uid="{00000000-0005-0000-0000-0000BA820000}"/>
    <cellStyle name="Normal 20 2 5 4 3 4 4" xfId="17970" xr:uid="{00000000-0005-0000-0000-0000BB820000}"/>
    <cellStyle name="Normal 20 2 5 4 3 5" xfId="43639" xr:uid="{00000000-0005-0000-0000-0000BC820000}"/>
    <cellStyle name="Normal 20 2 5 4 3 6" xfId="27539" xr:uid="{00000000-0005-0000-0000-0000BD820000}"/>
    <cellStyle name="Normal 20 2 5 4 3 7" xfId="14475" xr:uid="{00000000-0005-0000-0000-0000BE820000}"/>
    <cellStyle name="Normal 20 2 5 4 4" xfId="7391" xr:uid="{00000000-0005-0000-0000-0000BF820000}"/>
    <cellStyle name="Normal 20 2 5 4 4 2" xfId="39132" xr:uid="{00000000-0005-0000-0000-0000C0820000}"/>
    <cellStyle name="Normal 20 2 5 4 4 2 2" xfId="55232" xr:uid="{00000000-0005-0000-0000-0000C1820000}"/>
    <cellStyle name="Normal 20 2 5 4 4 3" xfId="45665" xr:uid="{00000000-0005-0000-0000-0000C2820000}"/>
    <cellStyle name="Normal 20 2 5 4 4 4" xfId="29565" xr:uid="{00000000-0005-0000-0000-0000C3820000}"/>
    <cellStyle name="Normal 20 2 5 4 4 5" xfId="19996" xr:uid="{00000000-0005-0000-0000-0000C4820000}"/>
    <cellStyle name="Normal 20 2 5 4 5" xfId="10427" xr:uid="{00000000-0005-0000-0000-0000C5820000}"/>
    <cellStyle name="Normal 20 2 5 4 5 2" xfId="48701" xr:uid="{00000000-0005-0000-0000-0000C6820000}"/>
    <cellStyle name="Normal 20 2 5 4 5 3" xfId="32601" xr:uid="{00000000-0005-0000-0000-0000C7820000}"/>
    <cellStyle name="Normal 20 2 5 4 5 4" xfId="23032" xr:uid="{00000000-0005-0000-0000-0000C8820000}"/>
    <cellStyle name="Normal 20 2 5 4 6" xfId="4355" xr:uid="{00000000-0005-0000-0000-0000C9820000}"/>
    <cellStyle name="Normal 20 2 5 4 6 2" xfId="52196" xr:uid="{00000000-0005-0000-0000-0000CA820000}"/>
    <cellStyle name="Normal 20 2 5 4 6 3" xfId="36096" xr:uid="{00000000-0005-0000-0000-0000CB820000}"/>
    <cellStyle name="Normal 20 2 5 4 6 4" xfId="16960" xr:uid="{00000000-0005-0000-0000-0000CC820000}"/>
    <cellStyle name="Normal 20 2 5 4 7" xfId="42629" xr:uid="{00000000-0005-0000-0000-0000CD820000}"/>
    <cellStyle name="Normal 20 2 5 4 8" xfId="26529" xr:uid="{00000000-0005-0000-0000-0000CE820000}"/>
    <cellStyle name="Normal 20 2 5 4 9" xfId="13465" xr:uid="{00000000-0005-0000-0000-0000CF820000}"/>
    <cellStyle name="Normal 20 2 5 5" xfId="2185" xr:uid="{00000000-0005-0000-0000-0000D0820000}"/>
    <cellStyle name="Normal 20 2 5 5 2" xfId="8719" xr:uid="{00000000-0005-0000-0000-0000D1820000}"/>
    <cellStyle name="Normal 20 2 5 5 2 2" xfId="40460" xr:uid="{00000000-0005-0000-0000-0000D2820000}"/>
    <cellStyle name="Normal 20 2 5 5 2 2 2" xfId="56560" xr:uid="{00000000-0005-0000-0000-0000D3820000}"/>
    <cellStyle name="Normal 20 2 5 5 2 3" xfId="46993" xr:uid="{00000000-0005-0000-0000-0000D4820000}"/>
    <cellStyle name="Normal 20 2 5 5 2 4" xfId="30893" xr:uid="{00000000-0005-0000-0000-0000D5820000}"/>
    <cellStyle name="Normal 20 2 5 5 2 5" xfId="21324" xr:uid="{00000000-0005-0000-0000-0000D6820000}"/>
    <cellStyle name="Normal 20 2 5 5 3" xfId="11755" xr:uid="{00000000-0005-0000-0000-0000D7820000}"/>
    <cellStyle name="Normal 20 2 5 5 3 2" xfId="50029" xr:uid="{00000000-0005-0000-0000-0000D8820000}"/>
    <cellStyle name="Normal 20 2 5 5 3 3" xfId="33929" xr:uid="{00000000-0005-0000-0000-0000D9820000}"/>
    <cellStyle name="Normal 20 2 5 5 3 4" xfId="24360" xr:uid="{00000000-0005-0000-0000-0000DA820000}"/>
    <cellStyle name="Normal 20 2 5 5 4" xfId="5683" xr:uid="{00000000-0005-0000-0000-0000DB820000}"/>
    <cellStyle name="Normal 20 2 5 5 4 2" xfId="53524" xr:uid="{00000000-0005-0000-0000-0000DC820000}"/>
    <cellStyle name="Normal 20 2 5 5 4 3" xfId="37424" xr:uid="{00000000-0005-0000-0000-0000DD820000}"/>
    <cellStyle name="Normal 20 2 5 5 4 4" xfId="18288" xr:uid="{00000000-0005-0000-0000-0000DE820000}"/>
    <cellStyle name="Normal 20 2 5 5 5" xfId="43957" xr:uid="{00000000-0005-0000-0000-0000DF820000}"/>
    <cellStyle name="Normal 20 2 5 5 6" xfId="27857" xr:uid="{00000000-0005-0000-0000-0000E0820000}"/>
    <cellStyle name="Normal 20 2 5 5 7" xfId="14793" xr:uid="{00000000-0005-0000-0000-0000E1820000}"/>
    <cellStyle name="Normal 20 2 5 6" xfId="1184" xr:uid="{00000000-0005-0000-0000-0000E2820000}"/>
    <cellStyle name="Normal 20 2 5 6 2" xfId="7718" xr:uid="{00000000-0005-0000-0000-0000E3820000}"/>
    <cellStyle name="Normal 20 2 5 6 2 2" xfId="39459" xr:uid="{00000000-0005-0000-0000-0000E4820000}"/>
    <cellStyle name="Normal 20 2 5 6 2 2 2" xfId="55559" xr:uid="{00000000-0005-0000-0000-0000E5820000}"/>
    <cellStyle name="Normal 20 2 5 6 2 3" xfId="45992" xr:uid="{00000000-0005-0000-0000-0000E6820000}"/>
    <cellStyle name="Normal 20 2 5 6 2 4" xfId="29892" xr:uid="{00000000-0005-0000-0000-0000E7820000}"/>
    <cellStyle name="Normal 20 2 5 6 2 5" xfId="20323" xr:uid="{00000000-0005-0000-0000-0000E8820000}"/>
    <cellStyle name="Normal 20 2 5 6 3" xfId="10754" xr:uid="{00000000-0005-0000-0000-0000E9820000}"/>
    <cellStyle name="Normal 20 2 5 6 3 2" xfId="49028" xr:uid="{00000000-0005-0000-0000-0000EA820000}"/>
    <cellStyle name="Normal 20 2 5 6 3 3" xfId="32928" xr:uid="{00000000-0005-0000-0000-0000EB820000}"/>
    <cellStyle name="Normal 20 2 5 6 3 4" xfId="23359" xr:uid="{00000000-0005-0000-0000-0000EC820000}"/>
    <cellStyle name="Normal 20 2 5 6 4" xfId="4682" xr:uid="{00000000-0005-0000-0000-0000ED820000}"/>
    <cellStyle name="Normal 20 2 5 6 4 2" xfId="52523" xr:uid="{00000000-0005-0000-0000-0000EE820000}"/>
    <cellStyle name="Normal 20 2 5 6 4 3" xfId="36423" xr:uid="{00000000-0005-0000-0000-0000EF820000}"/>
    <cellStyle name="Normal 20 2 5 6 4 4" xfId="17287" xr:uid="{00000000-0005-0000-0000-0000F0820000}"/>
    <cellStyle name="Normal 20 2 5 6 5" xfId="42956" xr:uid="{00000000-0005-0000-0000-0000F1820000}"/>
    <cellStyle name="Normal 20 2 5 6 6" xfId="26856" xr:uid="{00000000-0005-0000-0000-0000F2820000}"/>
    <cellStyle name="Normal 20 2 5 6 7" xfId="13792" xr:uid="{00000000-0005-0000-0000-0000F3820000}"/>
    <cellStyle name="Normal 20 2 5 7" xfId="3672" xr:uid="{00000000-0005-0000-0000-0000F4820000}"/>
    <cellStyle name="Normal 20 2 5 7 2" xfId="35413" xr:uid="{00000000-0005-0000-0000-0000F5820000}"/>
    <cellStyle name="Normal 20 2 5 7 2 2" xfId="51513" xr:uid="{00000000-0005-0000-0000-0000F6820000}"/>
    <cellStyle name="Normal 20 2 5 7 3" xfId="41946" xr:uid="{00000000-0005-0000-0000-0000F7820000}"/>
    <cellStyle name="Normal 20 2 5 7 4" xfId="25846" xr:uid="{00000000-0005-0000-0000-0000F8820000}"/>
    <cellStyle name="Normal 20 2 5 7 5" xfId="16277" xr:uid="{00000000-0005-0000-0000-0000F9820000}"/>
    <cellStyle name="Normal 20 2 5 8" xfId="6708" xr:uid="{00000000-0005-0000-0000-0000FA820000}"/>
    <cellStyle name="Normal 20 2 5 8 2" xfId="38449" xr:uid="{00000000-0005-0000-0000-0000FB820000}"/>
    <cellStyle name="Normal 20 2 5 8 2 2" xfId="54549" xr:uid="{00000000-0005-0000-0000-0000FC820000}"/>
    <cellStyle name="Normal 20 2 5 8 3" xfId="44982" xr:uid="{00000000-0005-0000-0000-0000FD820000}"/>
    <cellStyle name="Normal 20 2 5 8 4" xfId="28882" xr:uid="{00000000-0005-0000-0000-0000FE820000}"/>
    <cellStyle name="Normal 20 2 5 8 5" xfId="19313" xr:uid="{00000000-0005-0000-0000-0000FF820000}"/>
    <cellStyle name="Normal 20 2 5 9" xfId="9744" xr:uid="{00000000-0005-0000-0000-000000830000}"/>
    <cellStyle name="Normal 20 2 5 9 2" xfId="48018" xr:uid="{00000000-0005-0000-0000-000001830000}"/>
    <cellStyle name="Normal 20 2 5 9 3" xfId="31918" xr:uid="{00000000-0005-0000-0000-000002830000}"/>
    <cellStyle name="Normal 20 2 5 9 4" xfId="22349" xr:uid="{00000000-0005-0000-0000-000003830000}"/>
    <cellStyle name="Normal 20 2 6" xfId="237" xr:uid="{00000000-0005-0000-0000-000004830000}"/>
    <cellStyle name="Normal 20 2 6 10" xfId="41504" xr:uid="{00000000-0005-0000-0000-000005830000}"/>
    <cellStyle name="Normal 20 2 6 11" xfId="25404" xr:uid="{00000000-0005-0000-0000-000006830000}"/>
    <cellStyle name="Normal 20 2 6 12" xfId="12799" xr:uid="{00000000-0005-0000-0000-000007830000}"/>
    <cellStyle name="Normal 20 2 6 2" xfId="618" xr:uid="{00000000-0005-0000-0000-000008830000}"/>
    <cellStyle name="Normal 20 2 6 2 10" xfId="13066" xr:uid="{00000000-0005-0000-0000-000009830000}"/>
    <cellStyle name="Normal 20 2 6 2 2" xfId="2646" xr:uid="{00000000-0005-0000-0000-00000A830000}"/>
    <cellStyle name="Normal 20 2 6 2 2 2" xfId="9178" xr:uid="{00000000-0005-0000-0000-00000B830000}"/>
    <cellStyle name="Normal 20 2 6 2 2 2 2" xfId="40919" xr:uid="{00000000-0005-0000-0000-00000C830000}"/>
    <cellStyle name="Normal 20 2 6 2 2 2 2 2" xfId="57019" xr:uid="{00000000-0005-0000-0000-00000D830000}"/>
    <cellStyle name="Normal 20 2 6 2 2 2 3" xfId="47452" xr:uid="{00000000-0005-0000-0000-00000E830000}"/>
    <cellStyle name="Normal 20 2 6 2 2 2 4" xfId="31352" xr:uid="{00000000-0005-0000-0000-00000F830000}"/>
    <cellStyle name="Normal 20 2 6 2 2 2 5" xfId="21783" xr:uid="{00000000-0005-0000-0000-000010830000}"/>
    <cellStyle name="Normal 20 2 6 2 2 3" xfId="12214" xr:uid="{00000000-0005-0000-0000-000011830000}"/>
    <cellStyle name="Normal 20 2 6 2 2 3 2" xfId="50488" xr:uid="{00000000-0005-0000-0000-000012830000}"/>
    <cellStyle name="Normal 20 2 6 2 2 3 3" xfId="34388" xr:uid="{00000000-0005-0000-0000-000013830000}"/>
    <cellStyle name="Normal 20 2 6 2 2 3 4" xfId="24819" xr:uid="{00000000-0005-0000-0000-000014830000}"/>
    <cellStyle name="Normal 20 2 6 2 2 4" xfId="6142" xr:uid="{00000000-0005-0000-0000-000015830000}"/>
    <cellStyle name="Normal 20 2 6 2 2 4 2" xfId="53983" xr:uid="{00000000-0005-0000-0000-000016830000}"/>
    <cellStyle name="Normal 20 2 6 2 2 4 3" xfId="37883" xr:uid="{00000000-0005-0000-0000-000017830000}"/>
    <cellStyle name="Normal 20 2 6 2 2 4 4" xfId="18747" xr:uid="{00000000-0005-0000-0000-000018830000}"/>
    <cellStyle name="Normal 20 2 6 2 2 5" xfId="44416" xr:uid="{00000000-0005-0000-0000-000019830000}"/>
    <cellStyle name="Normal 20 2 6 2 2 6" xfId="28316" xr:uid="{00000000-0005-0000-0000-00001A830000}"/>
    <cellStyle name="Normal 20 2 6 2 2 7" xfId="15252" xr:uid="{00000000-0005-0000-0000-00001B830000}"/>
    <cellStyle name="Normal 20 2 6 2 3" xfId="1468" xr:uid="{00000000-0005-0000-0000-00001C830000}"/>
    <cellStyle name="Normal 20 2 6 2 3 2" xfId="8002" xr:uid="{00000000-0005-0000-0000-00001D830000}"/>
    <cellStyle name="Normal 20 2 6 2 3 2 2" xfId="39743" xr:uid="{00000000-0005-0000-0000-00001E830000}"/>
    <cellStyle name="Normal 20 2 6 2 3 2 2 2" xfId="55843" xr:uid="{00000000-0005-0000-0000-00001F830000}"/>
    <cellStyle name="Normal 20 2 6 2 3 2 3" xfId="46276" xr:uid="{00000000-0005-0000-0000-000020830000}"/>
    <cellStyle name="Normal 20 2 6 2 3 2 4" xfId="30176" xr:uid="{00000000-0005-0000-0000-000021830000}"/>
    <cellStyle name="Normal 20 2 6 2 3 2 5" xfId="20607" xr:uid="{00000000-0005-0000-0000-000022830000}"/>
    <cellStyle name="Normal 20 2 6 2 3 3" xfId="11038" xr:uid="{00000000-0005-0000-0000-000023830000}"/>
    <cellStyle name="Normal 20 2 6 2 3 3 2" xfId="49312" xr:uid="{00000000-0005-0000-0000-000024830000}"/>
    <cellStyle name="Normal 20 2 6 2 3 3 3" xfId="33212" xr:uid="{00000000-0005-0000-0000-000025830000}"/>
    <cellStyle name="Normal 20 2 6 2 3 3 4" xfId="23643" xr:uid="{00000000-0005-0000-0000-000026830000}"/>
    <cellStyle name="Normal 20 2 6 2 3 4" xfId="4966" xr:uid="{00000000-0005-0000-0000-000027830000}"/>
    <cellStyle name="Normal 20 2 6 2 3 4 2" xfId="52807" xr:uid="{00000000-0005-0000-0000-000028830000}"/>
    <cellStyle name="Normal 20 2 6 2 3 4 3" xfId="36707" xr:uid="{00000000-0005-0000-0000-000029830000}"/>
    <cellStyle name="Normal 20 2 6 2 3 4 4" xfId="17571" xr:uid="{00000000-0005-0000-0000-00002A830000}"/>
    <cellStyle name="Normal 20 2 6 2 3 5" xfId="43240" xr:uid="{00000000-0005-0000-0000-00002B830000}"/>
    <cellStyle name="Normal 20 2 6 2 3 6" xfId="27140" xr:uid="{00000000-0005-0000-0000-00002C830000}"/>
    <cellStyle name="Normal 20 2 6 2 3 7" xfId="14076" xr:uid="{00000000-0005-0000-0000-00002D830000}"/>
    <cellStyle name="Normal 20 2 6 2 4" xfId="3956" xr:uid="{00000000-0005-0000-0000-00002E830000}"/>
    <cellStyle name="Normal 20 2 6 2 4 2" xfId="35697" xr:uid="{00000000-0005-0000-0000-00002F830000}"/>
    <cellStyle name="Normal 20 2 6 2 4 2 2" xfId="51797" xr:uid="{00000000-0005-0000-0000-000030830000}"/>
    <cellStyle name="Normal 20 2 6 2 4 3" xfId="42230" xr:uid="{00000000-0005-0000-0000-000031830000}"/>
    <cellStyle name="Normal 20 2 6 2 4 4" xfId="26130" xr:uid="{00000000-0005-0000-0000-000032830000}"/>
    <cellStyle name="Normal 20 2 6 2 4 5" xfId="16561" xr:uid="{00000000-0005-0000-0000-000033830000}"/>
    <cellStyle name="Normal 20 2 6 2 5" xfId="6992" xr:uid="{00000000-0005-0000-0000-000034830000}"/>
    <cellStyle name="Normal 20 2 6 2 5 2" xfId="38733" xr:uid="{00000000-0005-0000-0000-000035830000}"/>
    <cellStyle name="Normal 20 2 6 2 5 2 2" xfId="54833" xr:uid="{00000000-0005-0000-0000-000036830000}"/>
    <cellStyle name="Normal 20 2 6 2 5 3" xfId="45266" xr:uid="{00000000-0005-0000-0000-000037830000}"/>
    <cellStyle name="Normal 20 2 6 2 5 4" xfId="29166" xr:uid="{00000000-0005-0000-0000-000038830000}"/>
    <cellStyle name="Normal 20 2 6 2 5 5" xfId="19597" xr:uid="{00000000-0005-0000-0000-000039830000}"/>
    <cellStyle name="Normal 20 2 6 2 6" xfId="10028" xr:uid="{00000000-0005-0000-0000-00003A830000}"/>
    <cellStyle name="Normal 20 2 6 2 6 2" xfId="48302" xr:uid="{00000000-0005-0000-0000-00003B830000}"/>
    <cellStyle name="Normal 20 2 6 2 6 3" xfId="32202" xr:uid="{00000000-0005-0000-0000-00003C830000}"/>
    <cellStyle name="Normal 20 2 6 2 6 4" xfId="22633" xr:uid="{00000000-0005-0000-0000-00003D830000}"/>
    <cellStyle name="Normal 20 2 6 2 7" xfId="3467" xr:uid="{00000000-0005-0000-0000-00003E830000}"/>
    <cellStyle name="Normal 20 2 6 2 7 2" xfId="51308" xr:uid="{00000000-0005-0000-0000-00003F830000}"/>
    <cellStyle name="Normal 20 2 6 2 7 3" xfId="35208" xr:uid="{00000000-0005-0000-0000-000040830000}"/>
    <cellStyle name="Normal 20 2 6 2 7 4" xfId="16072" xr:uid="{00000000-0005-0000-0000-000041830000}"/>
    <cellStyle name="Normal 20 2 6 2 8" xfId="41741" xr:uid="{00000000-0005-0000-0000-000042830000}"/>
    <cellStyle name="Normal 20 2 6 2 9" xfId="25641" xr:uid="{00000000-0005-0000-0000-000043830000}"/>
    <cellStyle name="Normal 20 2 6 3" xfId="874" xr:uid="{00000000-0005-0000-0000-000044830000}"/>
    <cellStyle name="Normal 20 2 6 3 2" xfId="2902" xr:uid="{00000000-0005-0000-0000-000045830000}"/>
    <cellStyle name="Normal 20 2 6 3 2 2" xfId="9434" xr:uid="{00000000-0005-0000-0000-000046830000}"/>
    <cellStyle name="Normal 20 2 6 3 2 2 2" xfId="41175" xr:uid="{00000000-0005-0000-0000-000047830000}"/>
    <cellStyle name="Normal 20 2 6 3 2 2 2 2" xfId="57275" xr:uid="{00000000-0005-0000-0000-000048830000}"/>
    <cellStyle name="Normal 20 2 6 3 2 2 3" xfId="47708" xr:uid="{00000000-0005-0000-0000-000049830000}"/>
    <cellStyle name="Normal 20 2 6 3 2 2 4" xfId="31608" xr:uid="{00000000-0005-0000-0000-00004A830000}"/>
    <cellStyle name="Normal 20 2 6 3 2 2 5" xfId="22039" xr:uid="{00000000-0005-0000-0000-00004B830000}"/>
    <cellStyle name="Normal 20 2 6 3 2 3" xfId="12470" xr:uid="{00000000-0005-0000-0000-00004C830000}"/>
    <cellStyle name="Normal 20 2 6 3 2 3 2" xfId="50744" xr:uid="{00000000-0005-0000-0000-00004D830000}"/>
    <cellStyle name="Normal 20 2 6 3 2 3 3" xfId="34644" xr:uid="{00000000-0005-0000-0000-00004E830000}"/>
    <cellStyle name="Normal 20 2 6 3 2 3 4" xfId="25075" xr:uid="{00000000-0005-0000-0000-00004F830000}"/>
    <cellStyle name="Normal 20 2 6 3 2 4" xfId="6398" xr:uid="{00000000-0005-0000-0000-000050830000}"/>
    <cellStyle name="Normal 20 2 6 3 2 4 2" xfId="54239" xr:uid="{00000000-0005-0000-0000-000051830000}"/>
    <cellStyle name="Normal 20 2 6 3 2 4 3" xfId="38139" xr:uid="{00000000-0005-0000-0000-000052830000}"/>
    <cellStyle name="Normal 20 2 6 3 2 4 4" xfId="19003" xr:uid="{00000000-0005-0000-0000-000053830000}"/>
    <cellStyle name="Normal 20 2 6 3 2 5" xfId="44672" xr:uid="{00000000-0005-0000-0000-000054830000}"/>
    <cellStyle name="Normal 20 2 6 3 2 6" xfId="28572" xr:uid="{00000000-0005-0000-0000-000055830000}"/>
    <cellStyle name="Normal 20 2 6 3 2 7" xfId="15508" xr:uid="{00000000-0005-0000-0000-000056830000}"/>
    <cellStyle name="Normal 20 2 6 3 3" xfId="1884" xr:uid="{00000000-0005-0000-0000-000057830000}"/>
    <cellStyle name="Normal 20 2 6 3 3 2" xfId="8418" xr:uid="{00000000-0005-0000-0000-000058830000}"/>
    <cellStyle name="Normal 20 2 6 3 3 2 2" xfId="40159" xr:uid="{00000000-0005-0000-0000-000059830000}"/>
    <cellStyle name="Normal 20 2 6 3 3 2 2 2" xfId="56259" xr:uid="{00000000-0005-0000-0000-00005A830000}"/>
    <cellStyle name="Normal 20 2 6 3 3 2 3" xfId="46692" xr:uid="{00000000-0005-0000-0000-00005B830000}"/>
    <cellStyle name="Normal 20 2 6 3 3 2 4" xfId="30592" xr:uid="{00000000-0005-0000-0000-00005C830000}"/>
    <cellStyle name="Normal 20 2 6 3 3 2 5" xfId="21023" xr:uid="{00000000-0005-0000-0000-00005D830000}"/>
    <cellStyle name="Normal 20 2 6 3 3 3" xfId="11454" xr:uid="{00000000-0005-0000-0000-00005E830000}"/>
    <cellStyle name="Normal 20 2 6 3 3 3 2" xfId="49728" xr:uid="{00000000-0005-0000-0000-00005F830000}"/>
    <cellStyle name="Normal 20 2 6 3 3 3 3" xfId="33628" xr:uid="{00000000-0005-0000-0000-000060830000}"/>
    <cellStyle name="Normal 20 2 6 3 3 3 4" xfId="24059" xr:uid="{00000000-0005-0000-0000-000061830000}"/>
    <cellStyle name="Normal 20 2 6 3 3 4" xfId="5382" xr:uid="{00000000-0005-0000-0000-000062830000}"/>
    <cellStyle name="Normal 20 2 6 3 3 4 2" xfId="53223" xr:uid="{00000000-0005-0000-0000-000063830000}"/>
    <cellStyle name="Normal 20 2 6 3 3 4 3" xfId="37123" xr:uid="{00000000-0005-0000-0000-000064830000}"/>
    <cellStyle name="Normal 20 2 6 3 3 4 4" xfId="17987" xr:uid="{00000000-0005-0000-0000-000065830000}"/>
    <cellStyle name="Normal 20 2 6 3 3 5" xfId="43656" xr:uid="{00000000-0005-0000-0000-000066830000}"/>
    <cellStyle name="Normal 20 2 6 3 3 6" xfId="27556" xr:uid="{00000000-0005-0000-0000-000067830000}"/>
    <cellStyle name="Normal 20 2 6 3 3 7" xfId="14492" xr:uid="{00000000-0005-0000-0000-000068830000}"/>
    <cellStyle name="Normal 20 2 6 3 4" xfId="7408" xr:uid="{00000000-0005-0000-0000-000069830000}"/>
    <cellStyle name="Normal 20 2 6 3 4 2" xfId="39149" xr:uid="{00000000-0005-0000-0000-00006A830000}"/>
    <cellStyle name="Normal 20 2 6 3 4 2 2" xfId="55249" xr:uid="{00000000-0005-0000-0000-00006B830000}"/>
    <cellStyle name="Normal 20 2 6 3 4 3" xfId="45682" xr:uid="{00000000-0005-0000-0000-00006C830000}"/>
    <cellStyle name="Normal 20 2 6 3 4 4" xfId="29582" xr:uid="{00000000-0005-0000-0000-00006D830000}"/>
    <cellStyle name="Normal 20 2 6 3 4 5" xfId="20013" xr:uid="{00000000-0005-0000-0000-00006E830000}"/>
    <cellStyle name="Normal 20 2 6 3 5" xfId="10444" xr:uid="{00000000-0005-0000-0000-00006F830000}"/>
    <cellStyle name="Normal 20 2 6 3 5 2" xfId="48718" xr:uid="{00000000-0005-0000-0000-000070830000}"/>
    <cellStyle name="Normal 20 2 6 3 5 3" xfId="32618" xr:uid="{00000000-0005-0000-0000-000071830000}"/>
    <cellStyle name="Normal 20 2 6 3 5 4" xfId="23049" xr:uid="{00000000-0005-0000-0000-000072830000}"/>
    <cellStyle name="Normal 20 2 6 3 6" xfId="4372" xr:uid="{00000000-0005-0000-0000-000073830000}"/>
    <cellStyle name="Normal 20 2 6 3 6 2" xfId="52213" xr:uid="{00000000-0005-0000-0000-000074830000}"/>
    <cellStyle name="Normal 20 2 6 3 6 3" xfId="36113" xr:uid="{00000000-0005-0000-0000-000075830000}"/>
    <cellStyle name="Normal 20 2 6 3 6 4" xfId="16977" xr:uid="{00000000-0005-0000-0000-000076830000}"/>
    <cellStyle name="Normal 20 2 6 3 7" xfId="42646" xr:uid="{00000000-0005-0000-0000-000077830000}"/>
    <cellStyle name="Normal 20 2 6 3 8" xfId="26546" xr:uid="{00000000-0005-0000-0000-000078830000}"/>
    <cellStyle name="Normal 20 2 6 3 9" xfId="13482" xr:uid="{00000000-0005-0000-0000-000079830000}"/>
    <cellStyle name="Normal 20 2 6 4" xfId="2256" xr:uid="{00000000-0005-0000-0000-00007A830000}"/>
    <cellStyle name="Normal 20 2 6 4 2" xfId="8790" xr:uid="{00000000-0005-0000-0000-00007B830000}"/>
    <cellStyle name="Normal 20 2 6 4 2 2" xfId="40531" xr:uid="{00000000-0005-0000-0000-00007C830000}"/>
    <cellStyle name="Normal 20 2 6 4 2 2 2" xfId="56631" xr:uid="{00000000-0005-0000-0000-00007D830000}"/>
    <cellStyle name="Normal 20 2 6 4 2 3" xfId="47064" xr:uid="{00000000-0005-0000-0000-00007E830000}"/>
    <cellStyle name="Normal 20 2 6 4 2 4" xfId="30964" xr:uid="{00000000-0005-0000-0000-00007F830000}"/>
    <cellStyle name="Normal 20 2 6 4 2 5" xfId="21395" xr:uid="{00000000-0005-0000-0000-000080830000}"/>
    <cellStyle name="Normal 20 2 6 4 3" xfId="11826" xr:uid="{00000000-0005-0000-0000-000081830000}"/>
    <cellStyle name="Normal 20 2 6 4 3 2" xfId="50100" xr:uid="{00000000-0005-0000-0000-000082830000}"/>
    <cellStyle name="Normal 20 2 6 4 3 3" xfId="34000" xr:uid="{00000000-0005-0000-0000-000083830000}"/>
    <cellStyle name="Normal 20 2 6 4 3 4" xfId="24431" xr:uid="{00000000-0005-0000-0000-000084830000}"/>
    <cellStyle name="Normal 20 2 6 4 4" xfId="5754" xr:uid="{00000000-0005-0000-0000-000085830000}"/>
    <cellStyle name="Normal 20 2 6 4 4 2" xfId="53595" xr:uid="{00000000-0005-0000-0000-000086830000}"/>
    <cellStyle name="Normal 20 2 6 4 4 3" xfId="37495" xr:uid="{00000000-0005-0000-0000-000087830000}"/>
    <cellStyle name="Normal 20 2 6 4 4 4" xfId="18359" xr:uid="{00000000-0005-0000-0000-000088830000}"/>
    <cellStyle name="Normal 20 2 6 4 5" xfId="44028" xr:uid="{00000000-0005-0000-0000-000089830000}"/>
    <cellStyle name="Normal 20 2 6 4 6" xfId="27928" xr:uid="{00000000-0005-0000-0000-00008A830000}"/>
    <cellStyle name="Normal 20 2 6 4 7" xfId="14864" xr:uid="{00000000-0005-0000-0000-00008B830000}"/>
    <cellStyle name="Normal 20 2 6 5" xfId="1201" xr:uid="{00000000-0005-0000-0000-00008C830000}"/>
    <cellStyle name="Normal 20 2 6 5 2" xfId="7735" xr:uid="{00000000-0005-0000-0000-00008D830000}"/>
    <cellStyle name="Normal 20 2 6 5 2 2" xfId="39476" xr:uid="{00000000-0005-0000-0000-00008E830000}"/>
    <cellStyle name="Normal 20 2 6 5 2 2 2" xfId="55576" xr:uid="{00000000-0005-0000-0000-00008F830000}"/>
    <cellStyle name="Normal 20 2 6 5 2 3" xfId="46009" xr:uid="{00000000-0005-0000-0000-000090830000}"/>
    <cellStyle name="Normal 20 2 6 5 2 4" xfId="29909" xr:uid="{00000000-0005-0000-0000-000091830000}"/>
    <cellStyle name="Normal 20 2 6 5 2 5" xfId="20340" xr:uid="{00000000-0005-0000-0000-000092830000}"/>
    <cellStyle name="Normal 20 2 6 5 3" xfId="10771" xr:uid="{00000000-0005-0000-0000-000093830000}"/>
    <cellStyle name="Normal 20 2 6 5 3 2" xfId="49045" xr:uid="{00000000-0005-0000-0000-000094830000}"/>
    <cellStyle name="Normal 20 2 6 5 3 3" xfId="32945" xr:uid="{00000000-0005-0000-0000-000095830000}"/>
    <cellStyle name="Normal 20 2 6 5 3 4" xfId="23376" xr:uid="{00000000-0005-0000-0000-000096830000}"/>
    <cellStyle name="Normal 20 2 6 5 4" xfId="4699" xr:uid="{00000000-0005-0000-0000-000097830000}"/>
    <cellStyle name="Normal 20 2 6 5 4 2" xfId="52540" xr:uid="{00000000-0005-0000-0000-000098830000}"/>
    <cellStyle name="Normal 20 2 6 5 4 3" xfId="36440" xr:uid="{00000000-0005-0000-0000-000099830000}"/>
    <cellStyle name="Normal 20 2 6 5 4 4" xfId="17304" xr:uid="{00000000-0005-0000-0000-00009A830000}"/>
    <cellStyle name="Normal 20 2 6 5 5" xfId="42973" xr:uid="{00000000-0005-0000-0000-00009B830000}"/>
    <cellStyle name="Normal 20 2 6 5 6" xfId="26873" xr:uid="{00000000-0005-0000-0000-00009C830000}"/>
    <cellStyle name="Normal 20 2 6 5 7" xfId="13809" xr:uid="{00000000-0005-0000-0000-00009D830000}"/>
    <cellStyle name="Normal 20 2 6 6" xfId="3689" xr:uid="{00000000-0005-0000-0000-00009E830000}"/>
    <cellStyle name="Normal 20 2 6 6 2" xfId="35430" xr:uid="{00000000-0005-0000-0000-00009F830000}"/>
    <cellStyle name="Normal 20 2 6 6 2 2" xfId="51530" xr:uid="{00000000-0005-0000-0000-0000A0830000}"/>
    <cellStyle name="Normal 20 2 6 6 3" xfId="41963" xr:uid="{00000000-0005-0000-0000-0000A1830000}"/>
    <cellStyle name="Normal 20 2 6 6 4" xfId="25863" xr:uid="{00000000-0005-0000-0000-0000A2830000}"/>
    <cellStyle name="Normal 20 2 6 6 5" xfId="16294" xr:uid="{00000000-0005-0000-0000-0000A3830000}"/>
    <cellStyle name="Normal 20 2 6 7" xfId="6725" xr:uid="{00000000-0005-0000-0000-0000A4830000}"/>
    <cellStyle name="Normal 20 2 6 7 2" xfId="38466" xr:uid="{00000000-0005-0000-0000-0000A5830000}"/>
    <cellStyle name="Normal 20 2 6 7 2 2" xfId="54566" xr:uid="{00000000-0005-0000-0000-0000A6830000}"/>
    <cellStyle name="Normal 20 2 6 7 3" xfId="44999" xr:uid="{00000000-0005-0000-0000-0000A7830000}"/>
    <cellStyle name="Normal 20 2 6 7 4" xfId="28899" xr:uid="{00000000-0005-0000-0000-0000A8830000}"/>
    <cellStyle name="Normal 20 2 6 7 5" xfId="19330" xr:uid="{00000000-0005-0000-0000-0000A9830000}"/>
    <cellStyle name="Normal 20 2 6 8" xfId="9761" xr:uid="{00000000-0005-0000-0000-0000AA830000}"/>
    <cellStyle name="Normal 20 2 6 8 2" xfId="48035" xr:uid="{00000000-0005-0000-0000-0000AB830000}"/>
    <cellStyle name="Normal 20 2 6 8 3" xfId="31935" xr:uid="{00000000-0005-0000-0000-0000AC830000}"/>
    <cellStyle name="Normal 20 2 6 8 4" xfId="22366" xr:uid="{00000000-0005-0000-0000-0000AD830000}"/>
    <cellStyle name="Normal 20 2 6 9" xfId="3229" xr:uid="{00000000-0005-0000-0000-0000AE830000}"/>
    <cellStyle name="Normal 20 2 6 9 2" xfId="51071" xr:uid="{00000000-0005-0000-0000-0000AF830000}"/>
    <cellStyle name="Normal 20 2 6 9 3" xfId="34971" xr:uid="{00000000-0005-0000-0000-0000B0830000}"/>
    <cellStyle name="Normal 20 2 6 9 4" xfId="15835" xr:uid="{00000000-0005-0000-0000-0000B1830000}"/>
    <cellStyle name="Normal 20 2 7" xfId="54" xr:uid="{00000000-0005-0000-0000-0000B2830000}"/>
    <cellStyle name="Normal 20 2 7 10" xfId="41521" xr:uid="{00000000-0005-0000-0000-0000B3830000}"/>
    <cellStyle name="Normal 20 2 7 11" xfId="25421" xr:uid="{00000000-0005-0000-0000-0000B4830000}"/>
    <cellStyle name="Normal 20 2 7 12" xfId="12816" xr:uid="{00000000-0005-0000-0000-0000B5830000}"/>
    <cellStyle name="Normal 20 2 7 2" xfId="891" xr:uid="{00000000-0005-0000-0000-0000B6830000}"/>
    <cellStyle name="Normal 20 2 7 2 10" xfId="13499" xr:uid="{00000000-0005-0000-0000-0000B7830000}"/>
    <cellStyle name="Normal 20 2 7 2 2" xfId="2919" xr:uid="{00000000-0005-0000-0000-0000B8830000}"/>
    <cellStyle name="Normal 20 2 7 2 2 2" xfId="9451" xr:uid="{00000000-0005-0000-0000-0000B9830000}"/>
    <cellStyle name="Normal 20 2 7 2 2 2 2" xfId="41192" xr:uid="{00000000-0005-0000-0000-0000BA830000}"/>
    <cellStyle name="Normal 20 2 7 2 2 2 2 2" xfId="57292" xr:uid="{00000000-0005-0000-0000-0000BB830000}"/>
    <cellStyle name="Normal 20 2 7 2 2 2 3" xfId="47725" xr:uid="{00000000-0005-0000-0000-0000BC830000}"/>
    <cellStyle name="Normal 20 2 7 2 2 2 4" xfId="31625" xr:uid="{00000000-0005-0000-0000-0000BD830000}"/>
    <cellStyle name="Normal 20 2 7 2 2 2 5" xfId="22056" xr:uid="{00000000-0005-0000-0000-0000BE830000}"/>
    <cellStyle name="Normal 20 2 7 2 2 3" xfId="12487" xr:uid="{00000000-0005-0000-0000-0000BF830000}"/>
    <cellStyle name="Normal 20 2 7 2 2 3 2" xfId="50761" xr:uid="{00000000-0005-0000-0000-0000C0830000}"/>
    <cellStyle name="Normal 20 2 7 2 2 3 3" xfId="34661" xr:uid="{00000000-0005-0000-0000-0000C1830000}"/>
    <cellStyle name="Normal 20 2 7 2 2 3 4" xfId="25092" xr:uid="{00000000-0005-0000-0000-0000C2830000}"/>
    <cellStyle name="Normal 20 2 7 2 2 4" xfId="6415" xr:uid="{00000000-0005-0000-0000-0000C3830000}"/>
    <cellStyle name="Normal 20 2 7 2 2 4 2" xfId="54256" xr:uid="{00000000-0005-0000-0000-0000C4830000}"/>
    <cellStyle name="Normal 20 2 7 2 2 4 3" xfId="38156" xr:uid="{00000000-0005-0000-0000-0000C5830000}"/>
    <cellStyle name="Normal 20 2 7 2 2 4 4" xfId="19020" xr:uid="{00000000-0005-0000-0000-0000C6830000}"/>
    <cellStyle name="Normal 20 2 7 2 2 5" xfId="44689" xr:uid="{00000000-0005-0000-0000-0000C7830000}"/>
    <cellStyle name="Normal 20 2 7 2 2 6" xfId="28589" xr:uid="{00000000-0005-0000-0000-0000C8830000}"/>
    <cellStyle name="Normal 20 2 7 2 2 7" xfId="15525" xr:uid="{00000000-0005-0000-0000-0000C9830000}"/>
    <cellStyle name="Normal 20 2 7 2 3" xfId="1901" xr:uid="{00000000-0005-0000-0000-0000CA830000}"/>
    <cellStyle name="Normal 20 2 7 2 3 2" xfId="8435" xr:uid="{00000000-0005-0000-0000-0000CB830000}"/>
    <cellStyle name="Normal 20 2 7 2 3 2 2" xfId="40176" xr:uid="{00000000-0005-0000-0000-0000CC830000}"/>
    <cellStyle name="Normal 20 2 7 2 3 2 2 2" xfId="56276" xr:uid="{00000000-0005-0000-0000-0000CD830000}"/>
    <cellStyle name="Normal 20 2 7 2 3 2 3" xfId="46709" xr:uid="{00000000-0005-0000-0000-0000CE830000}"/>
    <cellStyle name="Normal 20 2 7 2 3 2 4" xfId="30609" xr:uid="{00000000-0005-0000-0000-0000CF830000}"/>
    <cellStyle name="Normal 20 2 7 2 3 2 5" xfId="21040" xr:uid="{00000000-0005-0000-0000-0000D0830000}"/>
    <cellStyle name="Normal 20 2 7 2 3 3" xfId="11471" xr:uid="{00000000-0005-0000-0000-0000D1830000}"/>
    <cellStyle name="Normal 20 2 7 2 3 3 2" xfId="49745" xr:uid="{00000000-0005-0000-0000-0000D2830000}"/>
    <cellStyle name="Normal 20 2 7 2 3 3 3" xfId="33645" xr:uid="{00000000-0005-0000-0000-0000D3830000}"/>
    <cellStyle name="Normal 20 2 7 2 3 3 4" xfId="24076" xr:uid="{00000000-0005-0000-0000-0000D4830000}"/>
    <cellStyle name="Normal 20 2 7 2 3 4" xfId="5399" xr:uid="{00000000-0005-0000-0000-0000D5830000}"/>
    <cellStyle name="Normal 20 2 7 2 3 4 2" xfId="53240" xr:uid="{00000000-0005-0000-0000-0000D6830000}"/>
    <cellStyle name="Normal 20 2 7 2 3 4 3" xfId="37140" xr:uid="{00000000-0005-0000-0000-0000D7830000}"/>
    <cellStyle name="Normal 20 2 7 2 3 4 4" xfId="18004" xr:uid="{00000000-0005-0000-0000-0000D8830000}"/>
    <cellStyle name="Normal 20 2 7 2 3 5" xfId="43673" xr:uid="{00000000-0005-0000-0000-0000D9830000}"/>
    <cellStyle name="Normal 20 2 7 2 3 6" xfId="27573" xr:uid="{00000000-0005-0000-0000-0000DA830000}"/>
    <cellStyle name="Normal 20 2 7 2 3 7" xfId="14509" xr:uid="{00000000-0005-0000-0000-0000DB830000}"/>
    <cellStyle name="Normal 20 2 7 2 4" xfId="4389" xr:uid="{00000000-0005-0000-0000-0000DC830000}"/>
    <cellStyle name="Normal 20 2 7 2 4 2" xfId="36130" xr:uid="{00000000-0005-0000-0000-0000DD830000}"/>
    <cellStyle name="Normal 20 2 7 2 4 2 2" xfId="52230" xr:uid="{00000000-0005-0000-0000-0000DE830000}"/>
    <cellStyle name="Normal 20 2 7 2 4 3" xfId="42663" xr:uid="{00000000-0005-0000-0000-0000DF830000}"/>
    <cellStyle name="Normal 20 2 7 2 4 4" xfId="26563" xr:uid="{00000000-0005-0000-0000-0000E0830000}"/>
    <cellStyle name="Normal 20 2 7 2 4 5" xfId="16994" xr:uid="{00000000-0005-0000-0000-0000E1830000}"/>
    <cellStyle name="Normal 20 2 7 2 5" xfId="7425" xr:uid="{00000000-0005-0000-0000-0000E2830000}"/>
    <cellStyle name="Normal 20 2 7 2 5 2" xfId="39166" xr:uid="{00000000-0005-0000-0000-0000E3830000}"/>
    <cellStyle name="Normal 20 2 7 2 5 2 2" xfId="55266" xr:uid="{00000000-0005-0000-0000-0000E4830000}"/>
    <cellStyle name="Normal 20 2 7 2 5 3" xfId="45699" xr:uid="{00000000-0005-0000-0000-0000E5830000}"/>
    <cellStyle name="Normal 20 2 7 2 5 4" xfId="29599" xr:uid="{00000000-0005-0000-0000-0000E6830000}"/>
    <cellStyle name="Normal 20 2 7 2 5 5" xfId="20030" xr:uid="{00000000-0005-0000-0000-0000E7830000}"/>
    <cellStyle name="Normal 20 2 7 2 6" xfId="10461" xr:uid="{00000000-0005-0000-0000-0000E8830000}"/>
    <cellStyle name="Normal 20 2 7 2 6 2" xfId="48735" xr:uid="{00000000-0005-0000-0000-0000E9830000}"/>
    <cellStyle name="Normal 20 2 7 2 6 3" xfId="32635" xr:uid="{00000000-0005-0000-0000-0000EA830000}"/>
    <cellStyle name="Normal 20 2 7 2 6 4" xfId="23066" xr:uid="{00000000-0005-0000-0000-0000EB830000}"/>
    <cellStyle name="Normal 20 2 7 2 7" xfId="3484" xr:uid="{00000000-0005-0000-0000-0000EC830000}"/>
    <cellStyle name="Normal 20 2 7 2 7 2" xfId="51325" xr:uid="{00000000-0005-0000-0000-0000ED830000}"/>
    <cellStyle name="Normal 20 2 7 2 7 3" xfId="35225" xr:uid="{00000000-0005-0000-0000-0000EE830000}"/>
    <cellStyle name="Normal 20 2 7 2 7 4" xfId="16089" xr:uid="{00000000-0005-0000-0000-0000EF830000}"/>
    <cellStyle name="Normal 20 2 7 2 8" xfId="41758" xr:uid="{00000000-0005-0000-0000-0000F0830000}"/>
    <cellStyle name="Normal 20 2 7 2 9" xfId="25658" xr:uid="{00000000-0005-0000-0000-0000F1830000}"/>
    <cellStyle name="Normal 20 2 7 3" xfId="669" xr:uid="{00000000-0005-0000-0000-0000F2830000}"/>
    <cellStyle name="Normal 20 2 7 3 2" xfId="2697" xr:uid="{00000000-0005-0000-0000-0000F3830000}"/>
    <cellStyle name="Normal 20 2 7 3 2 2" xfId="9229" xr:uid="{00000000-0005-0000-0000-0000F4830000}"/>
    <cellStyle name="Normal 20 2 7 3 2 2 2" xfId="40970" xr:uid="{00000000-0005-0000-0000-0000F5830000}"/>
    <cellStyle name="Normal 20 2 7 3 2 2 2 2" xfId="57070" xr:uid="{00000000-0005-0000-0000-0000F6830000}"/>
    <cellStyle name="Normal 20 2 7 3 2 2 3" xfId="47503" xr:uid="{00000000-0005-0000-0000-0000F7830000}"/>
    <cellStyle name="Normal 20 2 7 3 2 2 4" xfId="31403" xr:uid="{00000000-0005-0000-0000-0000F8830000}"/>
    <cellStyle name="Normal 20 2 7 3 2 2 5" xfId="21834" xr:uid="{00000000-0005-0000-0000-0000F9830000}"/>
    <cellStyle name="Normal 20 2 7 3 2 3" xfId="12265" xr:uid="{00000000-0005-0000-0000-0000FA830000}"/>
    <cellStyle name="Normal 20 2 7 3 2 3 2" xfId="50539" xr:uid="{00000000-0005-0000-0000-0000FB830000}"/>
    <cellStyle name="Normal 20 2 7 3 2 3 3" xfId="34439" xr:uid="{00000000-0005-0000-0000-0000FC830000}"/>
    <cellStyle name="Normal 20 2 7 3 2 3 4" xfId="24870" xr:uid="{00000000-0005-0000-0000-0000FD830000}"/>
    <cellStyle name="Normal 20 2 7 3 2 4" xfId="6193" xr:uid="{00000000-0005-0000-0000-0000FE830000}"/>
    <cellStyle name="Normal 20 2 7 3 2 4 2" xfId="54034" xr:uid="{00000000-0005-0000-0000-0000FF830000}"/>
    <cellStyle name="Normal 20 2 7 3 2 4 3" xfId="37934" xr:uid="{00000000-0005-0000-0000-000000840000}"/>
    <cellStyle name="Normal 20 2 7 3 2 4 4" xfId="18798" xr:uid="{00000000-0005-0000-0000-000001840000}"/>
    <cellStyle name="Normal 20 2 7 3 2 5" xfId="44467" xr:uid="{00000000-0005-0000-0000-000002840000}"/>
    <cellStyle name="Normal 20 2 7 3 2 6" xfId="28367" xr:uid="{00000000-0005-0000-0000-000003840000}"/>
    <cellStyle name="Normal 20 2 7 3 2 7" xfId="15303" xr:uid="{00000000-0005-0000-0000-000004840000}"/>
    <cellStyle name="Normal 20 2 7 3 3" xfId="1679" xr:uid="{00000000-0005-0000-0000-000005840000}"/>
    <cellStyle name="Normal 20 2 7 3 3 2" xfId="8213" xr:uid="{00000000-0005-0000-0000-000006840000}"/>
    <cellStyle name="Normal 20 2 7 3 3 2 2" xfId="39954" xr:uid="{00000000-0005-0000-0000-000007840000}"/>
    <cellStyle name="Normal 20 2 7 3 3 2 2 2" xfId="56054" xr:uid="{00000000-0005-0000-0000-000008840000}"/>
    <cellStyle name="Normal 20 2 7 3 3 2 3" xfId="46487" xr:uid="{00000000-0005-0000-0000-000009840000}"/>
    <cellStyle name="Normal 20 2 7 3 3 2 4" xfId="30387" xr:uid="{00000000-0005-0000-0000-00000A840000}"/>
    <cellStyle name="Normal 20 2 7 3 3 2 5" xfId="20818" xr:uid="{00000000-0005-0000-0000-00000B840000}"/>
    <cellStyle name="Normal 20 2 7 3 3 3" xfId="11249" xr:uid="{00000000-0005-0000-0000-00000C840000}"/>
    <cellStyle name="Normal 20 2 7 3 3 3 2" xfId="49523" xr:uid="{00000000-0005-0000-0000-00000D840000}"/>
    <cellStyle name="Normal 20 2 7 3 3 3 3" xfId="33423" xr:uid="{00000000-0005-0000-0000-00000E840000}"/>
    <cellStyle name="Normal 20 2 7 3 3 3 4" xfId="23854" xr:uid="{00000000-0005-0000-0000-00000F840000}"/>
    <cellStyle name="Normal 20 2 7 3 3 4" xfId="5177" xr:uid="{00000000-0005-0000-0000-000010840000}"/>
    <cellStyle name="Normal 20 2 7 3 3 4 2" xfId="53018" xr:uid="{00000000-0005-0000-0000-000011840000}"/>
    <cellStyle name="Normal 20 2 7 3 3 4 3" xfId="36918" xr:uid="{00000000-0005-0000-0000-000012840000}"/>
    <cellStyle name="Normal 20 2 7 3 3 4 4" xfId="17782" xr:uid="{00000000-0005-0000-0000-000013840000}"/>
    <cellStyle name="Normal 20 2 7 3 3 5" xfId="43451" xr:uid="{00000000-0005-0000-0000-000014840000}"/>
    <cellStyle name="Normal 20 2 7 3 3 6" xfId="27351" xr:uid="{00000000-0005-0000-0000-000015840000}"/>
    <cellStyle name="Normal 20 2 7 3 3 7" xfId="14287" xr:uid="{00000000-0005-0000-0000-000016840000}"/>
    <cellStyle name="Normal 20 2 7 3 4" xfId="7203" xr:uid="{00000000-0005-0000-0000-000017840000}"/>
    <cellStyle name="Normal 20 2 7 3 4 2" xfId="38944" xr:uid="{00000000-0005-0000-0000-000018840000}"/>
    <cellStyle name="Normal 20 2 7 3 4 2 2" xfId="55044" xr:uid="{00000000-0005-0000-0000-000019840000}"/>
    <cellStyle name="Normal 20 2 7 3 4 3" xfId="45477" xr:uid="{00000000-0005-0000-0000-00001A840000}"/>
    <cellStyle name="Normal 20 2 7 3 4 4" xfId="29377" xr:uid="{00000000-0005-0000-0000-00001B840000}"/>
    <cellStyle name="Normal 20 2 7 3 4 5" xfId="19808" xr:uid="{00000000-0005-0000-0000-00001C840000}"/>
    <cellStyle name="Normal 20 2 7 3 5" xfId="10239" xr:uid="{00000000-0005-0000-0000-00001D840000}"/>
    <cellStyle name="Normal 20 2 7 3 5 2" xfId="48513" xr:uid="{00000000-0005-0000-0000-00001E840000}"/>
    <cellStyle name="Normal 20 2 7 3 5 3" xfId="32413" xr:uid="{00000000-0005-0000-0000-00001F840000}"/>
    <cellStyle name="Normal 20 2 7 3 5 4" xfId="22844" xr:uid="{00000000-0005-0000-0000-000020840000}"/>
    <cellStyle name="Normal 20 2 7 3 6" xfId="4167" xr:uid="{00000000-0005-0000-0000-000021840000}"/>
    <cellStyle name="Normal 20 2 7 3 6 2" xfId="52008" xr:uid="{00000000-0005-0000-0000-000022840000}"/>
    <cellStyle name="Normal 20 2 7 3 6 3" xfId="35908" xr:uid="{00000000-0005-0000-0000-000023840000}"/>
    <cellStyle name="Normal 20 2 7 3 6 4" xfId="16772" xr:uid="{00000000-0005-0000-0000-000024840000}"/>
    <cellStyle name="Normal 20 2 7 3 7" xfId="42441" xr:uid="{00000000-0005-0000-0000-000025840000}"/>
    <cellStyle name="Normal 20 2 7 3 8" xfId="26341" xr:uid="{00000000-0005-0000-0000-000026840000}"/>
    <cellStyle name="Normal 20 2 7 3 9" xfId="13277" xr:uid="{00000000-0005-0000-0000-000027840000}"/>
    <cellStyle name="Normal 20 2 7 4" xfId="2469" xr:uid="{00000000-0005-0000-0000-000028840000}"/>
    <cellStyle name="Normal 20 2 7 4 2" xfId="9001" xr:uid="{00000000-0005-0000-0000-000029840000}"/>
    <cellStyle name="Normal 20 2 7 4 2 2" xfId="40742" xr:uid="{00000000-0005-0000-0000-00002A840000}"/>
    <cellStyle name="Normal 20 2 7 4 2 2 2" xfId="56842" xr:uid="{00000000-0005-0000-0000-00002B840000}"/>
    <cellStyle name="Normal 20 2 7 4 2 3" xfId="47275" xr:uid="{00000000-0005-0000-0000-00002C840000}"/>
    <cellStyle name="Normal 20 2 7 4 2 4" xfId="31175" xr:uid="{00000000-0005-0000-0000-00002D840000}"/>
    <cellStyle name="Normal 20 2 7 4 2 5" xfId="21606" xr:uid="{00000000-0005-0000-0000-00002E840000}"/>
    <cellStyle name="Normal 20 2 7 4 3" xfId="12037" xr:uid="{00000000-0005-0000-0000-00002F840000}"/>
    <cellStyle name="Normal 20 2 7 4 3 2" xfId="50311" xr:uid="{00000000-0005-0000-0000-000030840000}"/>
    <cellStyle name="Normal 20 2 7 4 3 3" xfId="34211" xr:uid="{00000000-0005-0000-0000-000031840000}"/>
    <cellStyle name="Normal 20 2 7 4 3 4" xfId="24642" xr:uid="{00000000-0005-0000-0000-000032840000}"/>
    <cellStyle name="Normal 20 2 7 4 4" xfId="5965" xr:uid="{00000000-0005-0000-0000-000033840000}"/>
    <cellStyle name="Normal 20 2 7 4 4 2" xfId="53806" xr:uid="{00000000-0005-0000-0000-000034840000}"/>
    <cellStyle name="Normal 20 2 7 4 4 3" xfId="37706" xr:uid="{00000000-0005-0000-0000-000035840000}"/>
    <cellStyle name="Normal 20 2 7 4 4 4" xfId="18570" xr:uid="{00000000-0005-0000-0000-000036840000}"/>
    <cellStyle name="Normal 20 2 7 4 5" xfId="44239" xr:uid="{00000000-0005-0000-0000-000037840000}"/>
    <cellStyle name="Normal 20 2 7 4 6" xfId="28139" xr:uid="{00000000-0005-0000-0000-000038840000}"/>
    <cellStyle name="Normal 20 2 7 4 7" xfId="15075" xr:uid="{00000000-0005-0000-0000-000039840000}"/>
    <cellStyle name="Normal 20 2 7 5" xfId="1218" xr:uid="{00000000-0005-0000-0000-00003A840000}"/>
    <cellStyle name="Normal 20 2 7 5 2" xfId="7752" xr:uid="{00000000-0005-0000-0000-00003B840000}"/>
    <cellStyle name="Normal 20 2 7 5 2 2" xfId="39493" xr:uid="{00000000-0005-0000-0000-00003C840000}"/>
    <cellStyle name="Normal 20 2 7 5 2 2 2" xfId="55593" xr:uid="{00000000-0005-0000-0000-00003D840000}"/>
    <cellStyle name="Normal 20 2 7 5 2 3" xfId="46026" xr:uid="{00000000-0005-0000-0000-00003E840000}"/>
    <cellStyle name="Normal 20 2 7 5 2 4" xfId="29926" xr:uid="{00000000-0005-0000-0000-00003F840000}"/>
    <cellStyle name="Normal 20 2 7 5 2 5" xfId="20357" xr:uid="{00000000-0005-0000-0000-000040840000}"/>
    <cellStyle name="Normal 20 2 7 5 3" xfId="10788" xr:uid="{00000000-0005-0000-0000-000041840000}"/>
    <cellStyle name="Normal 20 2 7 5 3 2" xfId="49062" xr:uid="{00000000-0005-0000-0000-000042840000}"/>
    <cellStyle name="Normal 20 2 7 5 3 3" xfId="32962" xr:uid="{00000000-0005-0000-0000-000043840000}"/>
    <cellStyle name="Normal 20 2 7 5 3 4" xfId="23393" xr:uid="{00000000-0005-0000-0000-000044840000}"/>
    <cellStyle name="Normal 20 2 7 5 4" xfId="4716" xr:uid="{00000000-0005-0000-0000-000045840000}"/>
    <cellStyle name="Normal 20 2 7 5 4 2" xfId="52557" xr:uid="{00000000-0005-0000-0000-000046840000}"/>
    <cellStyle name="Normal 20 2 7 5 4 3" xfId="36457" xr:uid="{00000000-0005-0000-0000-000047840000}"/>
    <cellStyle name="Normal 20 2 7 5 4 4" xfId="17321" xr:uid="{00000000-0005-0000-0000-000048840000}"/>
    <cellStyle name="Normal 20 2 7 5 5" xfId="42990" xr:uid="{00000000-0005-0000-0000-000049840000}"/>
    <cellStyle name="Normal 20 2 7 5 6" xfId="26890" xr:uid="{00000000-0005-0000-0000-00004A840000}"/>
    <cellStyle name="Normal 20 2 7 5 7" xfId="13826" xr:uid="{00000000-0005-0000-0000-00004B840000}"/>
    <cellStyle name="Normal 20 2 7 6" xfId="3706" xr:uid="{00000000-0005-0000-0000-00004C840000}"/>
    <cellStyle name="Normal 20 2 7 6 2" xfId="35447" xr:uid="{00000000-0005-0000-0000-00004D840000}"/>
    <cellStyle name="Normal 20 2 7 6 2 2" xfId="51547" xr:uid="{00000000-0005-0000-0000-00004E840000}"/>
    <cellStyle name="Normal 20 2 7 6 3" xfId="41980" xr:uid="{00000000-0005-0000-0000-00004F840000}"/>
    <cellStyle name="Normal 20 2 7 6 4" xfId="25880" xr:uid="{00000000-0005-0000-0000-000050840000}"/>
    <cellStyle name="Normal 20 2 7 6 5" xfId="16311" xr:uid="{00000000-0005-0000-0000-000051840000}"/>
    <cellStyle name="Normal 20 2 7 7" xfId="6742" xr:uid="{00000000-0005-0000-0000-000052840000}"/>
    <cellStyle name="Normal 20 2 7 7 2" xfId="38483" xr:uid="{00000000-0005-0000-0000-000053840000}"/>
    <cellStyle name="Normal 20 2 7 7 2 2" xfId="54583" xr:uid="{00000000-0005-0000-0000-000054840000}"/>
    <cellStyle name="Normal 20 2 7 7 3" xfId="45016" xr:uid="{00000000-0005-0000-0000-000055840000}"/>
    <cellStyle name="Normal 20 2 7 7 4" xfId="28916" xr:uid="{00000000-0005-0000-0000-000056840000}"/>
    <cellStyle name="Normal 20 2 7 7 5" xfId="19347" xr:uid="{00000000-0005-0000-0000-000057840000}"/>
    <cellStyle name="Normal 20 2 7 8" xfId="9778" xr:uid="{00000000-0005-0000-0000-000058840000}"/>
    <cellStyle name="Normal 20 2 7 8 2" xfId="48052" xr:uid="{00000000-0005-0000-0000-000059840000}"/>
    <cellStyle name="Normal 20 2 7 8 3" xfId="31952" xr:uid="{00000000-0005-0000-0000-00005A840000}"/>
    <cellStyle name="Normal 20 2 7 8 4" xfId="22383" xr:uid="{00000000-0005-0000-0000-00005B840000}"/>
    <cellStyle name="Normal 20 2 7 9" xfId="3246" xr:uid="{00000000-0005-0000-0000-00005C840000}"/>
    <cellStyle name="Normal 20 2 7 9 2" xfId="51088" xr:uid="{00000000-0005-0000-0000-00005D840000}"/>
    <cellStyle name="Normal 20 2 7 9 3" xfId="34988" xr:uid="{00000000-0005-0000-0000-00005E840000}"/>
    <cellStyle name="Normal 20 2 7 9 4" xfId="15852" xr:uid="{00000000-0005-0000-0000-00005F840000}"/>
    <cellStyle name="Normal 20 2 8" xfId="455" xr:uid="{00000000-0005-0000-0000-000060840000}"/>
    <cellStyle name="Normal 20 2 8 10" xfId="41538" xr:uid="{00000000-0005-0000-0000-000061840000}"/>
    <cellStyle name="Normal 20 2 8 11" xfId="25438" xr:uid="{00000000-0005-0000-0000-000062840000}"/>
    <cellStyle name="Normal 20 2 8 12" xfId="12833" xr:uid="{00000000-0005-0000-0000-000063840000}"/>
    <cellStyle name="Normal 20 2 8 2" xfId="908" xr:uid="{00000000-0005-0000-0000-000064840000}"/>
    <cellStyle name="Normal 20 2 8 2 10" xfId="13516" xr:uid="{00000000-0005-0000-0000-000065840000}"/>
    <cellStyle name="Normal 20 2 8 2 2" xfId="2936" xr:uid="{00000000-0005-0000-0000-000066840000}"/>
    <cellStyle name="Normal 20 2 8 2 2 2" xfId="9468" xr:uid="{00000000-0005-0000-0000-000067840000}"/>
    <cellStyle name="Normal 20 2 8 2 2 2 2" xfId="41209" xr:uid="{00000000-0005-0000-0000-000068840000}"/>
    <cellStyle name="Normal 20 2 8 2 2 2 2 2" xfId="57309" xr:uid="{00000000-0005-0000-0000-000069840000}"/>
    <cellStyle name="Normal 20 2 8 2 2 2 3" xfId="47742" xr:uid="{00000000-0005-0000-0000-00006A840000}"/>
    <cellStyle name="Normal 20 2 8 2 2 2 4" xfId="31642" xr:uid="{00000000-0005-0000-0000-00006B840000}"/>
    <cellStyle name="Normal 20 2 8 2 2 2 5" xfId="22073" xr:uid="{00000000-0005-0000-0000-00006C840000}"/>
    <cellStyle name="Normal 20 2 8 2 2 3" xfId="12504" xr:uid="{00000000-0005-0000-0000-00006D840000}"/>
    <cellStyle name="Normal 20 2 8 2 2 3 2" xfId="50778" xr:uid="{00000000-0005-0000-0000-00006E840000}"/>
    <cellStyle name="Normal 20 2 8 2 2 3 3" xfId="34678" xr:uid="{00000000-0005-0000-0000-00006F840000}"/>
    <cellStyle name="Normal 20 2 8 2 2 3 4" xfId="25109" xr:uid="{00000000-0005-0000-0000-000070840000}"/>
    <cellStyle name="Normal 20 2 8 2 2 4" xfId="6432" xr:uid="{00000000-0005-0000-0000-000071840000}"/>
    <cellStyle name="Normal 20 2 8 2 2 4 2" xfId="54273" xr:uid="{00000000-0005-0000-0000-000072840000}"/>
    <cellStyle name="Normal 20 2 8 2 2 4 3" xfId="38173" xr:uid="{00000000-0005-0000-0000-000073840000}"/>
    <cellStyle name="Normal 20 2 8 2 2 4 4" xfId="19037" xr:uid="{00000000-0005-0000-0000-000074840000}"/>
    <cellStyle name="Normal 20 2 8 2 2 5" xfId="44706" xr:uid="{00000000-0005-0000-0000-000075840000}"/>
    <cellStyle name="Normal 20 2 8 2 2 6" xfId="28606" xr:uid="{00000000-0005-0000-0000-000076840000}"/>
    <cellStyle name="Normal 20 2 8 2 2 7" xfId="15542" xr:uid="{00000000-0005-0000-0000-000077840000}"/>
    <cellStyle name="Normal 20 2 8 2 3" xfId="1918" xr:uid="{00000000-0005-0000-0000-000078840000}"/>
    <cellStyle name="Normal 20 2 8 2 3 2" xfId="8452" xr:uid="{00000000-0005-0000-0000-000079840000}"/>
    <cellStyle name="Normal 20 2 8 2 3 2 2" xfId="40193" xr:uid="{00000000-0005-0000-0000-00007A840000}"/>
    <cellStyle name="Normal 20 2 8 2 3 2 2 2" xfId="56293" xr:uid="{00000000-0005-0000-0000-00007B840000}"/>
    <cellStyle name="Normal 20 2 8 2 3 2 3" xfId="46726" xr:uid="{00000000-0005-0000-0000-00007C840000}"/>
    <cellStyle name="Normal 20 2 8 2 3 2 4" xfId="30626" xr:uid="{00000000-0005-0000-0000-00007D840000}"/>
    <cellStyle name="Normal 20 2 8 2 3 2 5" xfId="21057" xr:uid="{00000000-0005-0000-0000-00007E840000}"/>
    <cellStyle name="Normal 20 2 8 2 3 3" xfId="11488" xr:uid="{00000000-0005-0000-0000-00007F840000}"/>
    <cellStyle name="Normal 20 2 8 2 3 3 2" xfId="49762" xr:uid="{00000000-0005-0000-0000-000080840000}"/>
    <cellStyle name="Normal 20 2 8 2 3 3 3" xfId="33662" xr:uid="{00000000-0005-0000-0000-000081840000}"/>
    <cellStyle name="Normal 20 2 8 2 3 3 4" xfId="24093" xr:uid="{00000000-0005-0000-0000-000082840000}"/>
    <cellStyle name="Normal 20 2 8 2 3 4" xfId="5416" xr:uid="{00000000-0005-0000-0000-000083840000}"/>
    <cellStyle name="Normal 20 2 8 2 3 4 2" xfId="53257" xr:uid="{00000000-0005-0000-0000-000084840000}"/>
    <cellStyle name="Normal 20 2 8 2 3 4 3" xfId="37157" xr:uid="{00000000-0005-0000-0000-000085840000}"/>
    <cellStyle name="Normal 20 2 8 2 3 4 4" xfId="18021" xr:uid="{00000000-0005-0000-0000-000086840000}"/>
    <cellStyle name="Normal 20 2 8 2 3 5" xfId="43690" xr:uid="{00000000-0005-0000-0000-000087840000}"/>
    <cellStyle name="Normal 20 2 8 2 3 6" xfId="27590" xr:uid="{00000000-0005-0000-0000-000088840000}"/>
    <cellStyle name="Normal 20 2 8 2 3 7" xfId="14526" xr:uid="{00000000-0005-0000-0000-000089840000}"/>
    <cellStyle name="Normal 20 2 8 2 4" xfId="4406" xr:uid="{00000000-0005-0000-0000-00008A840000}"/>
    <cellStyle name="Normal 20 2 8 2 4 2" xfId="36147" xr:uid="{00000000-0005-0000-0000-00008B840000}"/>
    <cellStyle name="Normal 20 2 8 2 4 2 2" xfId="52247" xr:uid="{00000000-0005-0000-0000-00008C840000}"/>
    <cellStyle name="Normal 20 2 8 2 4 3" xfId="42680" xr:uid="{00000000-0005-0000-0000-00008D840000}"/>
    <cellStyle name="Normal 20 2 8 2 4 4" xfId="26580" xr:uid="{00000000-0005-0000-0000-00008E840000}"/>
    <cellStyle name="Normal 20 2 8 2 4 5" xfId="17011" xr:uid="{00000000-0005-0000-0000-00008F840000}"/>
    <cellStyle name="Normal 20 2 8 2 5" xfId="7442" xr:uid="{00000000-0005-0000-0000-000090840000}"/>
    <cellStyle name="Normal 20 2 8 2 5 2" xfId="39183" xr:uid="{00000000-0005-0000-0000-000091840000}"/>
    <cellStyle name="Normal 20 2 8 2 5 2 2" xfId="55283" xr:uid="{00000000-0005-0000-0000-000092840000}"/>
    <cellStyle name="Normal 20 2 8 2 5 3" xfId="45716" xr:uid="{00000000-0005-0000-0000-000093840000}"/>
    <cellStyle name="Normal 20 2 8 2 5 4" xfId="29616" xr:uid="{00000000-0005-0000-0000-000094840000}"/>
    <cellStyle name="Normal 20 2 8 2 5 5" xfId="20047" xr:uid="{00000000-0005-0000-0000-000095840000}"/>
    <cellStyle name="Normal 20 2 8 2 6" xfId="10478" xr:uid="{00000000-0005-0000-0000-000096840000}"/>
    <cellStyle name="Normal 20 2 8 2 6 2" xfId="48752" xr:uid="{00000000-0005-0000-0000-000097840000}"/>
    <cellStyle name="Normal 20 2 8 2 6 3" xfId="32652" xr:uid="{00000000-0005-0000-0000-000098840000}"/>
    <cellStyle name="Normal 20 2 8 2 6 4" xfId="23083" xr:uid="{00000000-0005-0000-0000-000099840000}"/>
    <cellStyle name="Normal 20 2 8 2 7" xfId="3501" xr:uid="{00000000-0005-0000-0000-00009A840000}"/>
    <cellStyle name="Normal 20 2 8 2 7 2" xfId="51342" xr:uid="{00000000-0005-0000-0000-00009B840000}"/>
    <cellStyle name="Normal 20 2 8 2 7 3" xfId="35242" xr:uid="{00000000-0005-0000-0000-00009C840000}"/>
    <cellStyle name="Normal 20 2 8 2 7 4" xfId="16106" xr:uid="{00000000-0005-0000-0000-00009D840000}"/>
    <cellStyle name="Normal 20 2 8 2 8" xfId="41775" xr:uid="{00000000-0005-0000-0000-00009E840000}"/>
    <cellStyle name="Normal 20 2 8 2 9" xfId="25675" xr:uid="{00000000-0005-0000-0000-00009F840000}"/>
    <cellStyle name="Normal 20 2 8 3" xfId="686" xr:uid="{00000000-0005-0000-0000-0000A0840000}"/>
    <cellStyle name="Normal 20 2 8 3 2" xfId="2714" xr:uid="{00000000-0005-0000-0000-0000A1840000}"/>
    <cellStyle name="Normal 20 2 8 3 2 2" xfId="9246" xr:uid="{00000000-0005-0000-0000-0000A2840000}"/>
    <cellStyle name="Normal 20 2 8 3 2 2 2" xfId="40987" xr:uid="{00000000-0005-0000-0000-0000A3840000}"/>
    <cellStyle name="Normal 20 2 8 3 2 2 2 2" xfId="57087" xr:uid="{00000000-0005-0000-0000-0000A4840000}"/>
    <cellStyle name="Normal 20 2 8 3 2 2 3" xfId="47520" xr:uid="{00000000-0005-0000-0000-0000A5840000}"/>
    <cellStyle name="Normal 20 2 8 3 2 2 4" xfId="31420" xr:uid="{00000000-0005-0000-0000-0000A6840000}"/>
    <cellStyle name="Normal 20 2 8 3 2 2 5" xfId="21851" xr:uid="{00000000-0005-0000-0000-0000A7840000}"/>
    <cellStyle name="Normal 20 2 8 3 2 3" xfId="12282" xr:uid="{00000000-0005-0000-0000-0000A8840000}"/>
    <cellStyle name="Normal 20 2 8 3 2 3 2" xfId="50556" xr:uid="{00000000-0005-0000-0000-0000A9840000}"/>
    <cellStyle name="Normal 20 2 8 3 2 3 3" xfId="34456" xr:uid="{00000000-0005-0000-0000-0000AA840000}"/>
    <cellStyle name="Normal 20 2 8 3 2 3 4" xfId="24887" xr:uid="{00000000-0005-0000-0000-0000AB840000}"/>
    <cellStyle name="Normal 20 2 8 3 2 4" xfId="6210" xr:uid="{00000000-0005-0000-0000-0000AC840000}"/>
    <cellStyle name="Normal 20 2 8 3 2 4 2" xfId="54051" xr:uid="{00000000-0005-0000-0000-0000AD840000}"/>
    <cellStyle name="Normal 20 2 8 3 2 4 3" xfId="37951" xr:uid="{00000000-0005-0000-0000-0000AE840000}"/>
    <cellStyle name="Normal 20 2 8 3 2 4 4" xfId="18815" xr:uid="{00000000-0005-0000-0000-0000AF840000}"/>
    <cellStyle name="Normal 20 2 8 3 2 5" xfId="44484" xr:uid="{00000000-0005-0000-0000-0000B0840000}"/>
    <cellStyle name="Normal 20 2 8 3 2 6" xfId="28384" xr:uid="{00000000-0005-0000-0000-0000B1840000}"/>
    <cellStyle name="Normal 20 2 8 3 2 7" xfId="15320" xr:uid="{00000000-0005-0000-0000-0000B2840000}"/>
    <cellStyle name="Normal 20 2 8 3 3" xfId="1696" xr:uid="{00000000-0005-0000-0000-0000B3840000}"/>
    <cellStyle name="Normal 20 2 8 3 3 2" xfId="8230" xr:uid="{00000000-0005-0000-0000-0000B4840000}"/>
    <cellStyle name="Normal 20 2 8 3 3 2 2" xfId="39971" xr:uid="{00000000-0005-0000-0000-0000B5840000}"/>
    <cellStyle name="Normal 20 2 8 3 3 2 2 2" xfId="56071" xr:uid="{00000000-0005-0000-0000-0000B6840000}"/>
    <cellStyle name="Normal 20 2 8 3 3 2 3" xfId="46504" xr:uid="{00000000-0005-0000-0000-0000B7840000}"/>
    <cellStyle name="Normal 20 2 8 3 3 2 4" xfId="30404" xr:uid="{00000000-0005-0000-0000-0000B8840000}"/>
    <cellStyle name="Normal 20 2 8 3 3 2 5" xfId="20835" xr:uid="{00000000-0005-0000-0000-0000B9840000}"/>
    <cellStyle name="Normal 20 2 8 3 3 3" xfId="11266" xr:uid="{00000000-0005-0000-0000-0000BA840000}"/>
    <cellStyle name="Normal 20 2 8 3 3 3 2" xfId="49540" xr:uid="{00000000-0005-0000-0000-0000BB840000}"/>
    <cellStyle name="Normal 20 2 8 3 3 3 3" xfId="33440" xr:uid="{00000000-0005-0000-0000-0000BC840000}"/>
    <cellStyle name="Normal 20 2 8 3 3 3 4" xfId="23871" xr:uid="{00000000-0005-0000-0000-0000BD840000}"/>
    <cellStyle name="Normal 20 2 8 3 3 4" xfId="5194" xr:uid="{00000000-0005-0000-0000-0000BE840000}"/>
    <cellStyle name="Normal 20 2 8 3 3 4 2" xfId="53035" xr:uid="{00000000-0005-0000-0000-0000BF840000}"/>
    <cellStyle name="Normal 20 2 8 3 3 4 3" xfId="36935" xr:uid="{00000000-0005-0000-0000-0000C0840000}"/>
    <cellStyle name="Normal 20 2 8 3 3 4 4" xfId="17799" xr:uid="{00000000-0005-0000-0000-0000C1840000}"/>
    <cellStyle name="Normal 20 2 8 3 3 5" xfId="43468" xr:uid="{00000000-0005-0000-0000-0000C2840000}"/>
    <cellStyle name="Normal 20 2 8 3 3 6" xfId="27368" xr:uid="{00000000-0005-0000-0000-0000C3840000}"/>
    <cellStyle name="Normal 20 2 8 3 3 7" xfId="14304" xr:uid="{00000000-0005-0000-0000-0000C4840000}"/>
    <cellStyle name="Normal 20 2 8 3 4" xfId="7220" xr:uid="{00000000-0005-0000-0000-0000C5840000}"/>
    <cellStyle name="Normal 20 2 8 3 4 2" xfId="38961" xr:uid="{00000000-0005-0000-0000-0000C6840000}"/>
    <cellStyle name="Normal 20 2 8 3 4 2 2" xfId="55061" xr:uid="{00000000-0005-0000-0000-0000C7840000}"/>
    <cellStyle name="Normal 20 2 8 3 4 3" xfId="45494" xr:uid="{00000000-0005-0000-0000-0000C8840000}"/>
    <cellStyle name="Normal 20 2 8 3 4 4" xfId="29394" xr:uid="{00000000-0005-0000-0000-0000C9840000}"/>
    <cellStyle name="Normal 20 2 8 3 4 5" xfId="19825" xr:uid="{00000000-0005-0000-0000-0000CA840000}"/>
    <cellStyle name="Normal 20 2 8 3 5" xfId="10256" xr:uid="{00000000-0005-0000-0000-0000CB840000}"/>
    <cellStyle name="Normal 20 2 8 3 5 2" xfId="48530" xr:uid="{00000000-0005-0000-0000-0000CC840000}"/>
    <cellStyle name="Normal 20 2 8 3 5 3" xfId="32430" xr:uid="{00000000-0005-0000-0000-0000CD840000}"/>
    <cellStyle name="Normal 20 2 8 3 5 4" xfId="22861" xr:uid="{00000000-0005-0000-0000-0000CE840000}"/>
    <cellStyle name="Normal 20 2 8 3 6" xfId="4184" xr:uid="{00000000-0005-0000-0000-0000CF840000}"/>
    <cellStyle name="Normal 20 2 8 3 6 2" xfId="52025" xr:uid="{00000000-0005-0000-0000-0000D0840000}"/>
    <cellStyle name="Normal 20 2 8 3 6 3" xfId="35925" xr:uid="{00000000-0005-0000-0000-0000D1840000}"/>
    <cellStyle name="Normal 20 2 8 3 6 4" xfId="16789" xr:uid="{00000000-0005-0000-0000-0000D2840000}"/>
    <cellStyle name="Normal 20 2 8 3 7" xfId="42458" xr:uid="{00000000-0005-0000-0000-0000D3840000}"/>
    <cellStyle name="Normal 20 2 8 3 8" xfId="26358" xr:uid="{00000000-0005-0000-0000-0000D4840000}"/>
    <cellStyle name="Normal 20 2 8 3 9" xfId="13294" xr:uid="{00000000-0005-0000-0000-0000D5840000}"/>
    <cellStyle name="Normal 20 2 8 4" xfId="2486" xr:uid="{00000000-0005-0000-0000-0000D6840000}"/>
    <cellStyle name="Normal 20 2 8 4 2" xfId="9018" xr:uid="{00000000-0005-0000-0000-0000D7840000}"/>
    <cellStyle name="Normal 20 2 8 4 2 2" xfId="40759" xr:uid="{00000000-0005-0000-0000-0000D8840000}"/>
    <cellStyle name="Normal 20 2 8 4 2 2 2" xfId="56859" xr:uid="{00000000-0005-0000-0000-0000D9840000}"/>
    <cellStyle name="Normal 20 2 8 4 2 3" xfId="47292" xr:uid="{00000000-0005-0000-0000-0000DA840000}"/>
    <cellStyle name="Normal 20 2 8 4 2 4" xfId="31192" xr:uid="{00000000-0005-0000-0000-0000DB840000}"/>
    <cellStyle name="Normal 20 2 8 4 2 5" xfId="21623" xr:uid="{00000000-0005-0000-0000-0000DC840000}"/>
    <cellStyle name="Normal 20 2 8 4 3" xfId="12054" xr:uid="{00000000-0005-0000-0000-0000DD840000}"/>
    <cellStyle name="Normal 20 2 8 4 3 2" xfId="50328" xr:uid="{00000000-0005-0000-0000-0000DE840000}"/>
    <cellStyle name="Normal 20 2 8 4 3 3" xfId="34228" xr:uid="{00000000-0005-0000-0000-0000DF840000}"/>
    <cellStyle name="Normal 20 2 8 4 3 4" xfId="24659" xr:uid="{00000000-0005-0000-0000-0000E0840000}"/>
    <cellStyle name="Normal 20 2 8 4 4" xfId="5982" xr:uid="{00000000-0005-0000-0000-0000E1840000}"/>
    <cellStyle name="Normal 20 2 8 4 4 2" xfId="53823" xr:uid="{00000000-0005-0000-0000-0000E2840000}"/>
    <cellStyle name="Normal 20 2 8 4 4 3" xfId="37723" xr:uid="{00000000-0005-0000-0000-0000E3840000}"/>
    <cellStyle name="Normal 20 2 8 4 4 4" xfId="18587" xr:uid="{00000000-0005-0000-0000-0000E4840000}"/>
    <cellStyle name="Normal 20 2 8 4 5" xfId="44256" xr:uid="{00000000-0005-0000-0000-0000E5840000}"/>
    <cellStyle name="Normal 20 2 8 4 6" xfId="28156" xr:uid="{00000000-0005-0000-0000-0000E6840000}"/>
    <cellStyle name="Normal 20 2 8 4 7" xfId="15092" xr:uid="{00000000-0005-0000-0000-0000E7840000}"/>
    <cellStyle name="Normal 20 2 8 5" xfId="1235" xr:uid="{00000000-0005-0000-0000-0000E8840000}"/>
    <cellStyle name="Normal 20 2 8 5 2" xfId="7769" xr:uid="{00000000-0005-0000-0000-0000E9840000}"/>
    <cellStyle name="Normal 20 2 8 5 2 2" xfId="39510" xr:uid="{00000000-0005-0000-0000-0000EA840000}"/>
    <cellStyle name="Normal 20 2 8 5 2 2 2" xfId="55610" xr:uid="{00000000-0005-0000-0000-0000EB840000}"/>
    <cellStyle name="Normal 20 2 8 5 2 3" xfId="46043" xr:uid="{00000000-0005-0000-0000-0000EC840000}"/>
    <cellStyle name="Normal 20 2 8 5 2 4" xfId="29943" xr:uid="{00000000-0005-0000-0000-0000ED840000}"/>
    <cellStyle name="Normal 20 2 8 5 2 5" xfId="20374" xr:uid="{00000000-0005-0000-0000-0000EE840000}"/>
    <cellStyle name="Normal 20 2 8 5 3" xfId="10805" xr:uid="{00000000-0005-0000-0000-0000EF840000}"/>
    <cellStyle name="Normal 20 2 8 5 3 2" xfId="49079" xr:uid="{00000000-0005-0000-0000-0000F0840000}"/>
    <cellStyle name="Normal 20 2 8 5 3 3" xfId="32979" xr:uid="{00000000-0005-0000-0000-0000F1840000}"/>
    <cellStyle name="Normal 20 2 8 5 3 4" xfId="23410" xr:uid="{00000000-0005-0000-0000-0000F2840000}"/>
    <cellStyle name="Normal 20 2 8 5 4" xfId="4733" xr:uid="{00000000-0005-0000-0000-0000F3840000}"/>
    <cellStyle name="Normal 20 2 8 5 4 2" xfId="52574" xr:uid="{00000000-0005-0000-0000-0000F4840000}"/>
    <cellStyle name="Normal 20 2 8 5 4 3" xfId="36474" xr:uid="{00000000-0005-0000-0000-0000F5840000}"/>
    <cellStyle name="Normal 20 2 8 5 4 4" xfId="17338" xr:uid="{00000000-0005-0000-0000-0000F6840000}"/>
    <cellStyle name="Normal 20 2 8 5 5" xfId="43007" xr:uid="{00000000-0005-0000-0000-0000F7840000}"/>
    <cellStyle name="Normal 20 2 8 5 6" xfId="26907" xr:uid="{00000000-0005-0000-0000-0000F8840000}"/>
    <cellStyle name="Normal 20 2 8 5 7" xfId="13843" xr:uid="{00000000-0005-0000-0000-0000F9840000}"/>
    <cellStyle name="Normal 20 2 8 6" xfId="3723" xr:uid="{00000000-0005-0000-0000-0000FA840000}"/>
    <cellStyle name="Normal 20 2 8 6 2" xfId="35464" xr:uid="{00000000-0005-0000-0000-0000FB840000}"/>
    <cellStyle name="Normal 20 2 8 6 2 2" xfId="51564" xr:uid="{00000000-0005-0000-0000-0000FC840000}"/>
    <cellStyle name="Normal 20 2 8 6 3" xfId="41997" xr:uid="{00000000-0005-0000-0000-0000FD840000}"/>
    <cellStyle name="Normal 20 2 8 6 4" xfId="25897" xr:uid="{00000000-0005-0000-0000-0000FE840000}"/>
    <cellStyle name="Normal 20 2 8 6 5" xfId="16328" xr:uid="{00000000-0005-0000-0000-0000FF840000}"/>
    <cellStyle name="Normal 20 2 8 7" xfId="6759" xr:uid="{00000000-0005-0000-0000-000000850000}"/>
    <cellStyle name="Normal 20 2 8 7 2" xfId="38500" xr:uid="{00000000-0005-0000-0000-000001850000}"/>
    <cellStyle name="Normal 20 2 8 7 2 2" xfId="54600" xr:uid="{00000000-0005-0000-0000-000002850000}"/>
    <cellStyle name="Normal 20 2 8 7 3" xfId="45033" xr:uid="{00000000-0005-0000-0000-000003850000}"/>
    <cellStyle name="Normal 20 2 8 7 4" xfId="28933" xr:uid="{00000000-0005-0000-0000-000004850000}"/>
    <cellStyle name="Normal 20 2 8 7 5" xfId="19364" xr:uid="{00000000-0005-0000-0000-000005850000}"/>
    <cellStyle name="Normal 20 2 8 8" xfId="9795" xr:uid="{00000000-0005-0000-0000-000006850000}"/>
    <cellStyle name="Normal 20 2 8 8 2" xfId="48069" xr:uid="{00000000-0005-0000-0000-000007850000}"/>
    <cellStyle name="Normal 20 2 8 8 3" xfId="31969" xr:uid="{00000000-0005-0000-0000-000008850000}"/>
    <cellStyle name="Normal 20 2 8 8 4" xfId="22400" xr:uid="{00000000-0005-0000-0000-000009850000}"/>
    <cellStyle name="Normal 20 2 8 9" xfId="3263" xr:uid="{00000000-0005-0000-0000-00000A850000}"/>
    <cellStyle name="Normal 20 2 8 9 2" xfId="51105" xr:uid="{00000000-0005-0000-0000-00000B850000}"/>
    <cellStyle name="Normal 20 2 8 9 3" xfId="35005" xr:uid="{00000000-0005-0000-0000-00000C850000}"/>
    <cellStyle name="Normal 20 2 8 9 4" xfId="15869" xr:uid="{00000000-0005-0000-0000-00000D850000}"/>
    <cellStyle name="Normal 20 2 9" xfId="472" xr:uid="{00000000-0005-0000-0000-00000E850000}"/>
    <cellStyle name="Normal 20 2 9 10" xfId="41555" xr:uid="{00000000-0005-0000-0000-00000F850000}"/>
    <cellStyle name="Normal 20 2 9 11" xfId="25455" xr:uid="{00000000-0005-0000-0000-000010850000}"/>
    <cellStyle name="Normal 20 2 9 12" xfId="12850" xr:uid="{00000000-0005-0000-0000-000011850000}"/>
    <cellStyle name="Normal 20 2 9 2" xfId="925" xr:uid="{00000000-0005-0000-0000-000012850000}"/>
    <cellStyle name="Normal 20 2 9 2 10" xfId="13533" xr:uid="{00000000-0005-0000-0000-000013850000}"/>
    <cellStyle name="Normal 20 2 9 2 2" xfId="2953" xr:uid="{00000000-0005-0000-0000-000014850000}"/>
    <cellStyle name="Normal 20 2 9 2 2 2" xfId="9485" xr:uid="{00000000-0005-0000-0000-000015850000}"/>
    <cellStyle name="Normal 20 2 9 2 2 2 2" xfId="41226" xr:uid="{00000000-0005-0000-0000-000016850000}"/>
    <cellStyle name="Normal 20 2 9 2 2 2 2 2" xfId="57326" xr:uid="{00000000-0005-0000-0000-000017850000}"/>
    <cellStyle name="Normal 20 2 9 2 2 2 3" xfId="47759" xr:uid="{00000000-0005-0000-0000-000018850000}"/>
    <cellStyle name="Normal 20 2 9 2 2 2 4" xfId="31659" xr:uid="{00000000-0005-0000-0000-000019850000}"/>
    <cellStyle name="Normal 20 2 9 2 2 2 5" xfId="22090" xr:uid="{00000000-0005-0000-0000-00001A850000}"/>
    <cellStyle name="Normal 20 2 9 2 2 3" xfId="12521" xr:uid="{00000000-0005-0000-0000-00001B850000}"/>
    <cellStyle name="Normal 20 2 9 2 2 3 2" xfId="50795" xr:uid="{00000000-0005-0000-0000-00001C850000}"/>
    <cellStyle name="Normal 20 2 9 2 2 3 3" xfId="34695" xr:uid="{00000000-0005-0000-0000-00001D850000}"/>
    <cellStyle name="Normal 20 2 9 2 2 3 4" xfId="25126" xr:uid="{00000000-0005-0000-0000-00001E850000}"/>
    <cellStyle name="Normal 20 2 9 2 2 4" xfId="6449" xr:uid="{00000000-0005-0000-0000-00001F850000}"/>
    <cellStyle name="Normal 20 2 9 2 2 4 2" xfId="54290" xr:uid="{00000000-0005-0000-0000-000020850000}"/>
    <cellStyle name="Normal 20 2 9 2 2 4 3" xfId="38190" xr:uid="{00000000-0005-0000-0000-000021850000}"/>
    <cellStyle name="Normal 20 2 9 2 2 4 4" xfId="19054" xr:uid="{00000000-0005-0000-0000-000022850000}"/>
    <cellStyle name="Normal 20 2 9 2 2 5" xfId="44723" xr:uid="{00000000-0005-0000-0000-000023850000}"/>
    <cellStyle name="Normal 20 2 9 2 2 6" xfId="28623" xr:uid="{00000000-0005-0000-0000-000024850000}"/>
    <cellStyle name="Normal 20 2 9 2 2 7" xfId="15559" xr:uid="{00000000-0005-0000-0000-000025850000}"/>
    <cellStyle name="Normal 20 2 9 2 3" xfId="1935" xr:uid="{00000000-0005-0000-0000-000026850000}"/>
    <cellStyle name="Normal 20 2 9 2 3 2" xfId="8469" xr:uid="{00000000-0005-0000-0000-000027850000}"/>
    <cellStyle name="Normal 20 2 9 2 3 2 2" xfId="40210" xr:uid="{00000000-0005-0000-0000-000028850000}"/>
    <cellStyle name="Normal 20 2 9 2 3 2 2 2" xfId="56310" xr:uid="{00000000-0005-0000-0000-000029850000}"/>
    <cellStyle name="Normal 20 2 9 2 3 2 3" xfId="46743" xr:uid="{00000000-0005-0000-0000-00002A850000}"/>
    <cellStyle name="Normal 20 2 9 2 3 2 4" xfId="30643" xr:uid="{00000000-0005-0000-0000-00002B850000}"/>
    <cellStyle name="Normal 20 2 9 2 3 2 5" xfId="21074" xr:uid="{00000000-0005-0000-0000-00002C850000}"/>
    <cellStyle name="Normal 20 2 9 2 3 3" xfId="11505" xr:uid="{00000000-0005-0000-0000-00002D850000}"/>
    <cellStyle name="Normal 20 2 9 2 3 3 2" xfId="49779" xr:uid="{00000000-0005-0000-0000-00002E850000}"/>
    <cellStyle name="Normal 20 2 9 2 3 3 3" xfId="33679" xr:uid="{00000000-0005-0000-0000-00002F850000}"/>
    <cellStyle name="Normal 20 2 9 2 3 3 4" xfId="24110" xr:uid="{00000000-0005-0000-0000-000030850000}"/>
    <cellStyle name="Normal 20 2 9 2 3 4" xfId="5433" xr:uid="{00000000-0005-0000-0000-000031850000}"/>
    <cellStyle name="Normal 20 2 9 2 3 4 2" xfId="53274" xr:uid="{00000000-0005-0000-0000-000032850000}"/>
    <cellStyle name="Normal 20 2 9 2 3 4 3" xfId="37174" xr:uid="{00000000-0005-0000-0000-000033850000}"/>
    <cellStyle name="Normal 20 2 9 2 3 4 4" xfId="18038" xr:uid="{00000000-0005-0000-0000-000034850000}"/>
    <cellStyle name="Normal 20 2 9 2 3 5" xfId="43707" xr:uid="{00000000-0005-0000-0000-000035850000}"/>
    <cellStyle name="Normal 20 2 9 2 3 6" xfId="27607" xr:uid="{00000000-0005-0000-0000-000036850000}"/>
    <cellStyle name="Normal 20 2 9 2 3 7" xfId="14543" xr:uid="{00000000-0005-0000-0000-000037850000}"/>
    <cellStyle name="Normal 20 2 9 2 4" xfId="4423" xr:uid="{00000000-0005-0000-0000-000038850000}"/>
    <cellStyle name="Normal 20 2 9 2 4 2" xfId="36164" xr:uid="{00000000-0005-0000-0000-000039850000}"/>
    <cellStyle name="Normal 20 2 9 2 4 2 2" xfId="52264" xr:uid="{00000000-0005-0000-0000-00003A850000}"/>
    <cellStyle name="Normal 20 2 9 2 4 3" xfId="42697" xr:uid="{00000000-0005-0000-0000-00003B850000}"/>
    <cellStyle name="Normal 20 2 9 2 4 4" xfId="26597" xr:uid="{00000000-0005-0000-0000-00003C850000}"/>
    <cellStyle name="Normal 20 2 9 2 4 5" xfId="17028" xr:uid="{00000000-0005-0000-0000-00003D850000}"/>
    <cellStyle name="Normal 20 2 9 2 5" xfId="7459" xr:uid="{00000000-0005-0000-0000-00003E850000}"/>
    <cellStyle name="Normal 20 2 9 2 5 2" xfId="39200" xr:uid="{00000000-0005-0000-0000-00003F850000}"/>
    <cellStyle name="Normal 20 2 9 2 5 2 2" xfId="55300" xr:uid="{00000000-0005-0000-0000-000040850000}"/>
    <cellStyle name="Normal 20 2 9 2 5 3" xfId="45733" xr:uid="{00000000-0005-0000-0000-000041850000}"/>
    <cellStyle name="Normal 20 2 9 2 5 4" xfId="29633" xr:uid="{00000000-0005-0000-0000-000042850000}"/>
    <cellStyle name="Normal 20 2 9 2 5 5" xfId="20064" xr:uid="{00000000-0005-0000-0000-000043850000}"/>
    <cellStyle name="Normal 20 2 9 2 6" xfId="10495" xr:uid="{00000000-0005-0000-0000-000044850000}"/>
    <cellStyle name="Normal 20 2 9 2 6 2" xfId="48769" xr:uid="{00000000-0005-0000-0000-000045850000}"/>
    <cellStyle name="Normal 20 2 9 2 6 3" xfId="32669" xr:uid="{00000000-0005-0000-0000-000046850000}"/>
    <cellStyle name="Normal 20 2 9 2 6 4" xfId="23100" xr:uid="{00000000-0005-0000-0000-000047850000}"/>
    <cellStyle name="Normal 20 2 9 2 7" xfId="3518" xr:uid="{00000000-0005-0000-0000-000048850000}"/>
    <cellStyle name="Normal 20 2 9 2 7 2" xfId="51359" xr:uid="{00000000-0005-0000-0000-000049850000}"/>
    <cellStyle name="Normal 20 2 9 2 7 3" xfId="35259" xr:uid="{00000000-0005-0000-0000-00004A850000}"/>
    <cellStyle name="Normal 20 2 9 2 7 4" xfId="16123" xr:uid="{00000000-0005-0000-0000-00004B850000}"/>
    <cellStyle name="Normal 20 2 9 2 8" xfId="41792" xr:uid="{00000000-0005-0000-0000-00004C850000}"/>
    <cellStyle name="Normal 20 2 9 2 9" xfId="25692" xr:uid="{00000000-0005-0000-0000-00004D850000}"/>
    <cellStyle name="Normal 20 2 9 3" xfId="703" xr:uid="{00000000-0005-0000-0000-00004E850000}"/>
    <cellStyle name="Normal 20 2 9 3 2" xfId="2731" xr:uid="{00000000-0005-0000-0000-00004F850000}"/>
    <cellStyle name="Normal 20 2 9 3 2 2" xfId="9263" xr:uid="{00000000-0005-0000-0000-000050850000}"/>
    <cellStyle name="Normal 20 2 9 3 2 2 2" xfId="41004" xr:uid="{00000000-0005-0000-0000-000051850000}"/>
    <cellStyle name="Normal 20 2 9 3 2 2 2 2" xfId="57104" xr:uid="{00000000-0005-0000-0000-000052850000}"/>
    <cellStyle name="Normal 20 2 9 3 2 2 3" xfId="47537" xr:uid="{00000000-0005-0000-0000-000053850000}"/>
    <cellStyle name="Normal 20 2 9 3 2 2 4" xfId="31437" xr:uid="{00000000-0005-0000-0000-000054850000}"/>
    <cellStyle name="Normal 20 2 9 3 2 2 5" xfId="21868" xr:uid="{00000000-0005-0000-0000-000055850000}"/>
    <cellStyle name="Normal 20 2 9 3 2 3" xfId="12299" xr:uid="{00000000-0005-0000-0000-000056850000}"/>
    <cellStyle name="Normal 20 2 9 3 2 3 2" xfId="50573" xr:uid="{00000000-0005-0000-0000-000057850000}"/>
    <cellStyle name="Normal 20 2 9 3 2 3 3" xfId="34473" xr:uid="{00000000-0005-0000-0000-000058850000}"/>
    <cellStyle name="Normal 20 2 9 3 2 3 4" xfId="24904" xr:uid="{00000000-0005-0000-0000-000059850000}"/>
    <cellStyle name="Normal 20 2 9 3 2 4" xfId="6227" xr:uid="{00000000-0005-0000-0000-00005A850000}"/>
    <cellStyle name="Normal 20 2 9 3 2 4 2" xfId="54068" xr:uid="{00000000-0005-0000-0000-00005B850000}"/>
    <cellStyle name="Normal 20 2 9 3 2 4 3" xfId="37968" xr:uid="{00000000-0005-0000-0000-00005C850000}"/>
    <cellStyle name="Normal 20 2 9 3 2 4 4" xfId="18832" xr:uid="{00000000-0005-0000-0000-00005D850000}"/>
    <cellStyle name="Normal 20 2 9 3 2 5" xfId="44501" xr:uid="{00000000-0005-0000-0000-00005E850000}"/>
    <cellStyle name="Normal 20 2 9 3 2 6" xfId="28401" xr:uid="{00000000-0005-0000-0000-00005F850000}"/>
    <cellStyle name="Normal 20 2 9 3 2 7" xfId="15337" xr:uid="{00000000-0005-0000-0000-000060850000}"/>
    <cellStyle name="Normal 20 2 9 3 3" xfId="1713" xr:uid="{00000000-0005-0000-0000-000061850000}"/>
    <cellStyle name="Normal 20 2 9 3 3 2" xfId="8247" xr:uid="{00000000-0005-0000-0000-000062850000}"/>
    <cellStyle name="Normal 20 2 9 3 3 2 2" xfId="39988" xr:uid="{00000000-0005-0000-0000-000063850000}"/>
    <cellStyle name="Normal 20 2 9 3 3 2 2 2" xfId="56088" xr:uid="{00000000-0005-0000-0000-000064850000}"/>
    <cellStyle name="Normal 20 2 9 3 3 2 3" xfId="46521" xr:uid="{00000000-0005-0000-0000-000065850000}"/>
    <cellStyle name="Normal 20 2 9 3 3 2 4" xfId="30421" xr:uid="{00000000-0005-0000-0000-000066850000}"/>
    <cellStyle name="Normal 20 2 9 3 3 2 5" xfId="20852" xr:uid="{00000000-0005-0000-0000-000067850000}"/>
    <cellStyle name="Normal 20 2 9 3 3 3" xfId="11283" xr:uid="{00000000-0005-0000-0000-000068850000}"/>
    <cellStyle name="Normal 20 2 9 3 3 3 2" xfId="49557" xr:uid="{00000000-0005-0000-0000-000069850000}"/>
    <cellStyle name="Normal 20 2 9 3 3 3 3" xfId="33457" xr:uid="{00000000-0005-0000-0000-00006A850000}"/>
    <cellStyle name="Normal 20 2 9 3 3 3 4" xfId="23888" xr:uid="{00000000-0005-0000-0000-00006B850000}"/>
    <cellStyle name="Normal 20 2 9 3 3 4" xfId="5211" xr:uid="{00000000-0005-0000-0000-00006C850000}"/>
    <cellStyle name="Normal 20 2 9 3 3 4 2" xfId="53052" xr:uid="{00000000-0005-0000-0000-00006D850000}"/>
    <cellStyle name="Normal 20 2 9 3 3 4 3" xfId="36952" xr:uid="{00000000-0005-0000-0000-00006E850000}"/>
    <cellStyle name="Normal 20 2 9 3 3 4 4" xfId="17816" xr:uid="{00000000-0005-0000-0000-00006F850000}"/>
    <cellStyle name="Normal 20 2 9 3 3 5" xfId="43485" xr:uid="{00000000-0005-0000-0000-000070850000}"/>
    <cellStyle name="Normal 20 2 9 3 3 6" xfId="27385" xr:uid="{00000000-0005-0000-0000-000071850000}"/>
    <cellStyle name="Normal 20 2 9 3 3 7" xfId="14321" xr:uid="{00000000-0005-0000-0000-000072850000}"/>
    <cellStyle name="Normal 20 2 9 3 4" xfId="7237" xr:uid="{00000000-0005-0000-0000-000073850000}"/>
    <cellStyle name="Normal 20 2 9 3 4 2" xfId="38978" xr:uid="{00000000-0005-0000-0000-000074850000}"/>
    <cellStyle name="Normal 20 2 9 3 4 2 2" xfId="55078" xr:uid="{00000000-0005-0000-0000-000075850000}"/>
    <cellStyle name="Normal 20 2 9 3 4 3" xfId="45511" xr:uid="{00000000-0005-0000-0000-000076850000}"/>
    <cellStyle name="Normal 20 2 9 3 4 4" xfId="29411" xr:uid="{00000000-0005-0000-0000-000077850000}"/>
    <cellStyle name="Normal 20 2 9 3 4 5" xfId="19842" xr:uid="{00000000-0005-0000-0000-000078850000}"/>
    <cellStyle name="Normal 20 2 9 3 5" xfId="10273" xr:uid="{00000000-0005-0000-0000-000079850000}"/>
    <cellStyle name="Normal 20 2 9 3 5 2" xfId="48547" xr:uid="{00000000-0005-0000-0000-00007A850000}"/>
    <cellStyle name="Normal 20 2 9 3 5 3" xfId="32447" xr:uid="{00000000-0005-0000-0000-00007B850000}"/>
    <cellStyle name="Normal 20 2 9 3 5 4" xfId="22878" xr:uid="{00000000-0005-0000-0000-00007C850000}"/>
    <cellStyle name="Normal 20 2 9 3 6" xfId="4201" xr:uid="{00000000-0005-0000-0000-00007D850000}"/>
    <cellStyle name="Normal 20 2 9 3 6 2" xfId="52042" xr:uid="{00000000-0005-0000-0000-00007E850000}"/>
    <cellStyle name="Normal 20 2 9 3 6 3" xfId="35942" xr:uid="{00000000-0005-0000-0000-00007F850000}"/>
    <cellStyle name="Normal 20 2 9 3 6 4" xfId="16806" xr:uid="{00000000-0005-0000-0000-000080850000}"/>
    <cellStyle name="Normal 20 2 9 3 7" xfId="42475" xr:uid="{00000000-0005-0000-0000-000081850000}"/>
    <cellStyle name="Normal 20 2 9 3 8" xfId="26375" xr:uid="{00000000-0005-0000-0000-000082850000}"/>
    <cellStyle name="Normal 20 2 9 3 9" xfId="13311" xr:uid="{00000000-0005-0000-0000-000083850000}"/>
    <cellStyle name="Normal 20 2 9 4" xfId="2503" xr:uid="{00000000-0005-0000-0000-000084850000}"/>
    <cellStyle name="Normal 20 2 9 4 2" xfId="9035" xr:uid="{00000000-0005-0000-0000-000085850000}"/>
    <cellStyle name="Normal 20 2 9 4 2 2" xfId="40776" xr:uid="{00000000-0005-0000-0000-000086850000}"/>
    <cellStyle name="Normal 20 2 9 4 2 2 2" xfId="56876" xr:uid="{00000000-0005-0000-0000-000087850000}"/>
    <cellStyle name="Normal 20 2 9 4 2 3" xfId="47309" xr:uid="{00000000-0005-0000-0000-000088850000}"/>
    <cellStyle name="Normal 20 2 9 4 2 4" xfId="31209" xr:uid="{00000000-0005-0000-0000-000089850000}"/>
    <cellStyle name="Normal 20 2 9 4 2 5" xfId="21640" xr:uid="{00000000-0005-0000-0000-00008A850000}"/>
    <cellStyle name="Normal 20 2 9 4 3" xfId="12071" xr:uid="{00000000-0005-0000-0000-00008B850000}"/>
    <cellStyle name="Normal 20 2 9 4 3 2" xfId="50345" xr:uid="{00000000-0005-0000-0000-00008C850000}"/>
    <cellStyle name="Normal 20 2 9 4 3 3" xfId="34245" xr:uid="{00000000-0005-0000-0000-00008D850000}"/>
    <cellStyle name="Normal 20 2 9 4 3 4" xfId="24676" xr:uid="{00000000-0005-0000-0000-00008E850000}"/>
    <cellStyle name="Normal 20 2 9 4 4" xfId="5999" xr:uid="{00000000-0005-0000-0000-00008F850000}"/>
    <cellStyle name="Normal 20 2 9 4 4 2" xfId="53840" xr:uid="{00000000-0005-0000-0000-000090850000}"/>
    <cellStyle name="Normal 20 2 9 4 4 3" xfId="37740" xr:uid="{00000000-0005-0000-0000-000091850000}"/>
    <cellStyle name="Normal 20 2 9 4 4 4" xfId="18604" xr:uid="{00000000-0005-0000-0000-000092850000}"/>
    <cellStyle name="Normal 20 2 9 4 5" xfId="44273" xr:uid="{00000000-0005-0000-0000-000093850000}"/>
    <cellStyle name="Normal 20 2 9 4 6" xfId="28173" xr:uid="{00000000-0005-0000-0000-000094850000}"/>
    <cellStyle name="Normal 20 2 9 4 7" xfId="15109" xr:uid="{00000000-0005-0000-0000-000095850000}"/>
    <cellStyle name="Normal 20 2 9 5" xfId="1252" xr:uid="{00000000-0005-0000-0000-000096850000}"/>
    <cellStyle name="Normal 20 2 9 5 2" xfId="7786" xr:uid="{00000000-0005-0000-0000-000097850000}"/>
    <cellStyle name="Normal 20 2 9 5 2 2" xfId="39527" xr:uid="{00000000-0005-0000-0000-000098850000}"/>
    <cellStyle name="Normal 20 2 9 5 2 2 2" xfId="55627" xr:uid="{00000000-0005-0000-0000-000099850000}"/>
    <cellStyle name="Normal 20 2 9 5 2 3" xfId="46060" xr:uid="{00000000-0005-0000-0000-00009A850000}"/>
    <cellStyle name="Normal 20 2 9 5 2 4" xfId="29960" xr:uid="{00000000-0005-0000-0000-00009B850000}"/>
    <cellStyle name="Normal 20 2 9 5 2 5" xfId="20391" xr:uid="{00000000-0005-0000-0000-00009C850000}"/>
    <cellStyle name="Normal 20 2 9 5 3" xfId="10822" xr:uid="{00000000-0005-0000-0000-00009D850000}"/>
    <cellStyle name="Normal 20 2 9 5 3 2" xfId="49096" xr:uid="{00000000-0005-0000-0000-00009E850000}"/>
    <cellStyle name="Normal 20 2 9 5 3 3" xfId="32996" xr:uid="{00000000-0005-0000-0000-00009F850000}"/>
    <cellStyle name="Normal 20 2 9 5 3 4" xfId="23427" xr:uid="{00000000-0005-0000-0000-0000A0850000}"/>
    <cellStyle name="Normal 20 2 9 5 4" xfId="4750" xr:uid="{00000000-0005-0000-0000-0000A1850000}"/>
    <cellStyle name="Normal 20 2 9 5 4 2" xfId="52591" xr:uid="{00000000-0005-0000-0000-0000A2850000}"/>
    <cellStyle name="Normal 20 2 9 5 4 3" xfId="36491" xr:uid="{00000000-0005-0000-0000-0000A3850000}"/>
    <cellStyle name="Normal 20 2 9 5 4 4" xfId="17355" xr:uid="{00000000-0005-0000-0000-0000A4850000}"/>
    <cellStyle name="Normal 20 2 9 5 5" xfId="43024" xr:uid="{00000000-0005-0000-0000-0000A5850000}"/>
    <cellStyle name="Normal 20 2 9 5 6" xfId="26924" xr:uid="{00000000-0005-0000-0000-0000A6850000}"/>
    <cellStyle name="Normal 20 2 9 5 7" xfId="13860" xr:uid="{00000000-0005-0000-0000-0000A7850000}"/>
    <cellStyle name="Normal 20 2 9 6" xfId="3740" xr:uid="{00000000-0005-0000-0000-0000A8850000}"/>
    <cellStyle name="Normal 20 2 9 6 2" xfId="35481" xr:uid="{00000000-0005-0000-0000-0000A9850000}"/>
    <cellStyle name="Normal 20 2 9 6 2 2" xfId="51581" xr:uid="{00000000-0005-0000-0000-0000AA850000}"/>
    <cellStyle name="Normal 20 2 9 6 3" xfId="42014" xr:uid="{00000000-0005-0000-0000-0000AB850000}"/>
    <cellStyle name="Normal 20 2 9 6 4" xfId="25914" xr:uid="{00000000-0005-0000-0000-0000AC850000}"/>
    <cellStyle name="Normal 20 2 9 6 5" xfId="16345" xr:uid="{00000000-0005-0000-0000-0000AD850000}"/>
    <cellStyle name="Normal 20 2 9 7" xfId="6776" xr:uid="{00000000-0005-0000-0000-0000AE850000}"/>
    <cellStyle name="Normal 20 2 9 7 2" xfId="38517" xr:uid="{00000000-0005-0000-0000-0000AF850000}"/>
    <cellStyle name="Normal 20 2 9 7 2 2" xfId="54617" xr:uid="{00000000-0005-0000-0000-0000B0850000}"/>
    <cellStyle name="Normal 20 2 9 7 3" xfId="45050" xr:uid="{00000000-0005-0000-0000-0000B1850000}"/>
    <cellStyle name="Normal 20 2 9 7 4" xfId="28950" xr:uid="{00000000-0005-0000-0000-0000B2850000}"/>
    <cellStyle name="Normal 20 2 9 7 5" xfId="19381" xr:uid="{00000000-0005-0000-0000-0000B3850000}"/>
    <cellStyle name="Normal 20 2 9 8" xfId="9812" xr:uid="{00000000-0005-0000-0000-0000B4850000}"/>
    <cellStyle name="Normal 20 2 9 8 2" xfId="48086" xr:uid="{00000000-0005-0000-0000-0000B5850000}"/>
    <cellStyle name="Normal 20 2 9 8 3" xfId="31986" xr:uid="{00000000-0005-0000-0000-0000B6850000}"/>
    <cellStyle name="Normal 20 2 9 8 4" xfId="22417" xr:uid="{00000000-0005-0000-0000-0000B7850000}"/>
    <cellStyle name="Normal 20 2 9 9" xfId="3280" xr:uid="{00000000-0005-0000-0000-0000B8850000}"/>
    <cellStyle name="Normal 20 2 9 9 2" xfId="51122" xr:uid="{00000000-0005-0000-0000-0000B9850000}"/>
    <cellStyle name="Normal 20 2 9 9 3" xfId="35022" xr:uid="{00000000-0005-0000-0000-0000BA850000}"/>
    <cellStyle name="Normal 20 2 9 9 4" xfId="15886" xr:uid="{00000000-0005-0000-0000-0000BB850000}"/>
    <cellStyle name="Normal 20 20" xfId="9621" xr:uid="{00000000-0005-0000-0000-0000BC850000}"/>
    <cellStyle name="Normal 20 20 2" xfId="47895" xr:uid="{00000000-0005-0000-0000-0000BD850000}"/>
    <cellStyle name="Normal 20 20 3" xfId="31795" xr:uid="{00000000-0005-0000-0000-0000BE850000}"/>
    <cellStyle name="Normal 20 20 4" xfId="22226" xr:uid="{00000000-0005-0000-0000-0000BF850000}"/>
    <cellStyle name="Normal 20 21" xfId="3089" xr:uid="{00000000-0005-0000-0000-0000C0850000}"/>
    <cellStyle name="Normal 20 21 2" xfId="50931" xr:uid="{00000000-0005-0000-0000-0000C1850000}"/>
    <cellStyle name="Normal 20 21 3" xfId="34831" xr:uid="{00000000-0005-0000-0000-0000C2850000}"/>
    <cellStyle name="Normal 20 21 4" xfId="15695" xr:uid="{00000000-0005-0000-0000-0000C3850000}"/>
    <cellStyle name="Normal 20 22" xfId="41364" xr:uid="{00000000-0005-0000-0000-0000C4850000}"/>
    <cellStyle name="Normal 20 23" xfId="25264" xr:uid="{00000000-0005-0000-0000-0000C5850000}"/>
    <cellStyle name="Normal 20 24" xfId="12659" xr:uid="{00000000-0005-0000-0000-0000C6850000}"/>
    <cellStyle name="Normal 20 3" xfId="66" xr:uid="{00000000-0005-0000-0000-0000C7850000}"/>
    <cellStyle name="Normal 20 3 10" xfId="3567" xr:uid="{00000000-0005-0000-0000-0000C8850000}"/>
    <cellStyle name="Normal 20 3 10 2" xfId="35308" xr:uid="{00000000-0005-0000-0000-0000C9850000}"/>
    <cellStyle name="Normal 20 3 10 2 2" xfId="51408" xr:uid="{00000000-0005-0000-0000-0000CA850000}"/>
    <cellStyle name="Normal 20 3 10 3" xfId="41841" xr:uid="{00000000-0005-0000-0000-0000CB850000}"/>
    <cellStyle name="Normal 20 3 10 4" xfId="25741" xr:uid="{00000000-0005-0000-0000-0000CC850000}"/>
    <cellStyle name="Normal 20 3 10 5" xfId="16172" xr:uid="{00000000-0005-0000-0000-0000CD850000}"/>
    <cellStyle name="Normal 20 3 11" xfId="6603" xr:uid="{00000000-0005-0000-0000-0000CE850000}"/>
    <cellStyle name="Normal 20 3 11 2" xfId="38344" xr:uid="{00000000-0005-0000-0000-0000CF850000}"/>
    <cellStyle name="Normal 20 3 11 2 2" xfId="54444" xr:uid="{00000000-0005-0000-0000-0000D0850000}"/>
    <cellStyle name="Normal 20 3 11 3" xfId="44877" xr:uid="{00000000-0005-0000-0000-0000D1850000}"/>
    <cellStyle name="Normal 20 3 11 4" xfId="28777" xr:uid="{00000000-0005-0000-0000-0000D2850000}"/>
    <cellStyle name="Normal 20 3 11 5" xfId="19208" xr:uid="{00000000-0005-0000-0000-0000D3850000}"/>
    <cellStyle name="Normal 20 3 12" xfId="9639" xr:uid="{00000000-0005-0000-0000-0000D4850000}"/>
    <cellStyle name="Normal 20 3 12 2" xfId="47913" xr:uid="{00000000-0005-0000-0000-0000D5850000}"/>
    <cellStyle name="Normal 20 3 12 3" xfId="31813" xr:uid="{00000000-0005-0000-0000-0000D6850000}"/>
    <cellStyle name="Normal 20 3 12 4" xfId="22244" xr:uid="{00000000-0005-0000-0000-0000D7850000}"/>
    <cellStyle name="Normal 20 3 13" xfId="3107" xr:uid="{00000000-0005-0000-0000-0000D8850000}"/>
    <cellStyle name="Normal 20 3 13 2" xfId="50949" xr:uid="{00000000-0005-0000-0000-0000D9850000}"/>
    <cellStyle name="Normal 20 3 13 3" xfId="34849" xr:uid="{00000000-0005-0000-0000-0000DA850000}"/>
    <cellStyle name="Normal 20 3 13 4" xfId="15713" xr:uid="{00000000-0005-0000-0000-0000DB850000}"/>
    <cellStyle name="Normal 20 3 14" xfId="41382" xr:uid="{00000000-0005-0000-0000-0000DC850000}"/>
    <cellStyle name="Normal 20 3 15" xfId="25282" xr:uid="{00000000-0005-0000-0000-0000DD850000}"/>
    <cellStyle name="Normal 20 3 16" xfId="12677" xr:uid="{00000000-0005-0000-0000-0000DE850000}"/>
    <cellStyle name="Normal 20 3 2" xfId="137" xr:uid="{00000000-0005-0000-0000-0000DF850000}"/>
    <cellStyle name="Normal 20 3 2 10" xfId="9692" xr:uid="{00000000-0005-0000-0000-0000E0850000}"/>
    <cellStyle name="Normal 20 3 2 10 2" xfId="47966" xr:uid="{00000000-0005-0000-0000-0000E1850000}"/>
    <cellStyle name="Normal 20 3 2 10 3" xfId="31866" xr:uid="{00000000-0005-0000-0000-0000E2850000}"/>
    <cellStyle name="Normal 20 3 2 10 4" xfId="22297" xr:uid="{00000000-0005-0000-0000-0000E3850000}"/>
    <cellStyle name="Normal 20 3 2 11" xfId="3160" xr:uid="{00000000-0005-0000-0000-0000E4850000}"/>
    <cellStyle name="Normal 20 3 2 11 2" xfId="51002" xr:uid="{00000000-0005-0000-0000-0000E5850000}"/>
    <cellStyle name="Normal 20 3 2 11 3" xfId="34902" xr:uid="{00000000-0005-0000-0000-0000E6850000}"/>
    <cellStyle name="Normal 20 3 2 11 4" xfId="15766" xr:uid="{00000000-0005-0000-0000-0000E7850000}"/>
    <cellStyle name="Normal 20 3 2 12" xfId="41435" xr:uid="{00000000-0005-0000-0000-0000E8850000}"/>
    <cellStyle name="Normal 20 3 2 13" xfId="25335" xr:uid="{00000000-0005-0000-0000-0000E9850000}"/>
    <cellStyle name="Normal 20 3 2 14" xfId="12730" xr:uid="{00000000-0005-0000-0000-0000EA850000}"/>
    <cellStyle name="Normal 20 3 2 2" xfId="212" xr:uid="{00000000-0005-0000-0000-0000EB850000}"/>
    <cellStyle name="Normal 20 3 2 2 10" xfId="41672" xr:uid="{00000000-0005-0000-0000-0000EC850000}"/>
    <cellStyle name="Normal 20 3 2 2 11" xfId="25572" xr:uid="{00000000-0005-0000-0000-0000ED850000}"/>
    <cellStyle name="Normal 20 3 2 2 12" xfId="13041" xr:uid="{00000000-0005-0000-0000-0000EE850000}"/>
    <cellStyle name="Normal 20 3 2 2 2" xfId="389" xr:uid="{00000000-0005-0000-0000-0000EF850000}"/>
    <cellStyle name="Normal 20 3 2 2 2 2" xfId="2408" xr:uid="{00000000-0005-0000-0000-0000F0850000}"/>
    <cellStyle name="Normal 20 3 2 2 2 2 2" xfId="8942" xr:uid="{00000000-0005-0000-0000-0000F1850000}"/>
    <cellStyle name="Normal 20 3 2 2 2 2 2 2" xfId="40683" xr:uid="{00000000-0005-0000-0000-0000F2850000}"/>
    <cellStyle name="Normal 20 3 2 2 2 2 2 2 2" xfId="56783" xr:uid="{00000000-0005-0000-0000-0000F3850000}"/>
    <cellStyle name="Normal 20 3 2 2 2 2 2 3" xfId="47216" xr:uid="{00000000-0005-0000-0000-0000F4850000}"/>
    <cellStyle name="Normal 20 3 2 2 2 2 2 4" xfId="31116" xr:uid="{00000000-0005-0000-0000-0000F5850000}"/>
    <cellStyle name="Normal 20 3 2 2 2 2 2 5" xfId="21547" xr:uid="{00000000-0005-0000-0000-0000F6850000}"/>
    <cellStyle name="Normal 20 3 2 2 2 2 3" xfId="11978" xr:uid="{00000000-0005-0000-0000-0000F7850000}"/>
    <cellStyle name="Normal 20 3 2 2 2 2 3 2" xfId="50252" xr:uid="{00000000-0005-0000-0000-0000F8850000}"/>
    <cellStyle name="Normal 20 3 2 2 2 2 3 3" xfId="34152" xr:uid="{00000000-0005-0000-0000-0000F9850000}"/>
    <cellStyle name="Normal 20 3 2 2 2 2 3 4" xfId="24583" xr:uid="{00000000-0005-0000-0000-0000FA850000}"/>
    <cellStyle name="Normal 20 3 2 2 2 2 4" xfId="5906" xr:uid="{00000000-0005-0000-0000-0000FB850000}"/>
    <cellStyle name="Normal 20 3 2 2 2 2 4 2" xfId="53747" xr:uid="{00000000-0005-0000-0000-0000FC850000}"/>
    <cellStyle name="Normal 20 3 2 2 2 2 4 3" xfId="37647" xr:uid="{00000000-0005-0000-0000-0000FD850000}"/>
    <cellStyle name="Normal 20 3 2 2 2 2 4 4" xfId="18511" xr:uid="{00000000-0005-0000-0000-0000FE850000}"/>
    <cellStyle name="Normal 20 3 2 2 2 2 5" xfId="44180" xr:uid="{00000000-0005-0000-0000-0000FF850000}"/>
    <cellStyle name="Normal 20 3 2 2 2 2 6" xfId="28080" xr:uid="{00000000-0005-0000-0000-000000860000}"/>
    <cellStyle name="Normal 20 3 2 2 2 2 7" xfId="15016" xr:uid="{00000000-0005-0000-0000-000001860000}"/>
    <cellStyle name="Normal 20 3 2 2 2 3" xfId="1620" xr:uid="{00000000-0005-0000-0000-000002860000}"/>
    <cellStyle name="Normal 20 3 2 2 2 3 2" xfId="8154" xr:uid="{00000000-0005-0000-0000-000003860000}"/>
    <cellStyle name="Normal 20 3 2 2 2 3 2 2" xfId="39895" xr:uid="{00000000-0005-0000-0000-000004860000}"/>
    <cellStyle name="Normal 20 3 2 2 2 3 2 2 2" xfId="55995" xr:uid="{00000000-0005-0000-0000-000005860000}"/>
    <cellStyle name="Normal 20 3 2 2 2 3 2 3" xfId="46428" xr:uid="{00000000-0005-0000-0000-000006860000}"/>
    <cellStyle name="Normal 20 3 2 2 2 3 2 4" xfId="30328" xr:uid="{00000000-0005-0000-0000-000007860000}"/>
    <cellStyle name="Normal 20 3 2 2 2 3 2 5" xfId="20759" xr:uid="{00000000-0005-0000-0000-000008860000}"/>
    <cellStyle name="Normal 20 3 2 2 2 3 3" xfId="11190" xr:uid="{00000000-0005-0000-0000-000009860000}"/>
    <cellStyle name="Normal 20 3 2 2 2 3 3 2" xfId="49464" xr:uid="{00000000-0005-0000-0000-00000A860000}"/>
    <cellStyle name="Normal 20 3 2 2 2 3 3 3" xfId="33364" xr:uid="{00000000-0005-0000-0000-00000B860000}"/>
    <cellStyle name="Normal 20 3 2 2 2 3 3 4" xfId="23795" xr:uid="{00000000-0005-0000-0000-00000C860000}"/>
    <cellStyle name="Normal 20 3 2 2 2 3 4" xfId="5118" xr:uid="{00000000-0005-0000-0000-00000D860000}"/>
    <cellStyle name="Normal 20 3 2 2 2 3 4 2" xfId="52959" xr:uid="{00000000-0005-0000-0000-00000E860000}"/>
    <cellStyle name="Normal 20 3 2 2 2 3 4 3" xfId="36859" xr:uid="{00000000-0005-0000-0000-00000F860000}"/>
    <cellStyle name="Normal 20 3 2 2 2 3 4 4" xfId="17723" xr:uid="{00000000-0005-0000-0000-000010860000}"/>
    <cellStyle name="Normal 20 3 2 2 2 3 5" xfId="43392" xr:uid="{00000000-0005-0000-0000-000011860000}"/>
    <cellStyle name="Normal 20 3 2 2 2 3 6" xfId="27292" xr:uid="{00000000-0005-0000-0000-000012860000}"/>
    <cellStyle name="Normal 20 3 2 2 2 3 7" xfId="14228" xr:uid="{00000000-0005-0000-0000-000013860000}"/>
    <cellStyle name="Normal 20 3 2 2 2 4" xfId="7144" xr:uid="{00000000-0005-0000-0000-000014860000}"/>
    <cellStyle name="Normal 20 3 2 2 2 4 2" xfId="38885" xr:uid="{00000000-0005-0000-0000-000015860000}"/>
    <cellStyle name="Normal 20 3 2 2 2 4 2 2" xfId="54985" xr:uid="{00000000-0005-0000-0000-000016860000}"/>
    <cellStyle name="Normal 20 3 2 2 2 4 3" xfId="45418" xr:uid="{00000000-0005-0000-0000-000017860000}"/>
    <cellStyle name="Normal 20 3 2 2 2 4 4" xfId="29318" xr:uid="{00000000-0005-0000-0000-000018860000}"/>
    <cellStyle name="Normal 20 3 2 2 2 4 5" xfId="19749" xr:uid="{00000000-0005-0000-0000-000019860000}"/>
    <cellStyle name="Normal 20 3 2 2 2 5" xfId="10180" xr:uid="{00000000-0005-0000-0000-00001A860000}"/>
    <cellStyle name="Normal 20 3 2 2 2 5 2" xfId="48454" xr:uid="{00000000-0005-0000-0000-00001B860000}"/>
    <cellStyle name="Normal 20 3 2 2 2 5 3" xfId="32354" xr:uid="{00000000-0005-0000-0000-00001C860000}"/>
    <cellStyle name="Normal 20 3 2 2 2 5 4" xfId="22785" xr:uid="{00000000-0005-0000-0000-00001D860000}"/>
    <cellStyle name="Normal 20 3 2 2 2 6" xfId="4108" xr:uid="{00000000-0005-0000-0000-00001E860000}"/>
    <cellStyle name="Normal 20 3 2 2 2 6 2" xfId="51949" xr:uid="{00000000-0005-0000-0000-00001F860000}"/>
    <cellStyle name="Normal 20 3 2 2 2 6 3" xfId="35849" xr:uid="{00000000-0005-0000-0000-000020860000}"/>
    <cellStyle name="Normal 20 3 2 2 2 6 4" xfId="16713" xr:uid="{00000000-0005-0000-0000-000021860000}"/>
    <cellStyle name="Normal 20 3 2 2 2 7" xfId="42382" xr:uid="{00000000-0005-0000-0000-000022860000}"/>
    <cellStyle name="Normal 20 3 2 2 2 8" xfId="26282" xr:uid="{00000000-0005-0000-0000-000023860000}"/>
    <cellStyle name="Normal 20 3 2 2 2 9" xfId="13218" xr:uid="{00000000-0005-0000-0000-000024860000}"/>
    <cellStyle name="Normal 20 3 2 2 3" xfId="1027" xr:uid="{00000000-0005-0000-0000-000025860000}"/>
    <cellStyle name="Normal 20 3 2 2 3 2" xfId="3055" xr:uid="{00000000-0005-0000-0000-000026860000}"/>
    <cellStyle name="Normal 20 3 2 2 3 2 2" xfId="9587" xr:uid="{00000000-0005-0000-0000-000027860000}"/>
    <cellStyle name="Normal 20 3 2 2 3 2 2 2" xfId="41328" xr:uid="{00000000-0005-0000-0000-000028860000}"/>
    <cellStyle name="Normal 20 3 2 2 3 2 2 2 2" xfId="57428" xr:uid="{00000000-0005-0000-0000-000029860000}"/>
    <cellStyle name="Normal 20 3 2 2 3 2 2 3" xfId="47861" xr:uid="{00000000-0005-0000-0000-00002A860000}"/>
    <cellStyle name="Normal 20 3 2 2 3 2 2 4" xfId="31761" xr:uid="{00000000-0005-0000-0000-00002B860000}"/>
    <cellStyle name="Normal 20 3 2 2 3 2 2 5" xfId="22192" xr:uid="{00000000-0005-0000-0000-00002C860000}"/>
    <cellStyle name="Normal 20 3 2 2 3 2 3" xfId="12623" xr:uid="{00000000-0005-0000-0000-00002D860000}"/>
    <cellStyle name="Normal 20 3 2 2 3 2 3 2" xfId="50897" xr:uid="{00000000-0005-0000-0000-00002E860000}"/>
    <cellStyle name="Normal 20 3 2 2 3 2 3 3" xfId="34797" xr:uid="{00000000-0005-0000-0000-00002F860000}"/>
    <cellStyle name="Normal 20 3 2 2 3 2 3 4" xfId="25228" xr:uid="{00000000-0005-0000-0000-000030860000}"/>
    <cellStyle name="Normal 20 3 2 2 3 2 4" xfId="6551" xr:uid="{00000000-0005-0000-0000-000031860000}"/>
    <cellStyle name="Normal 20 3 2 2 3 2 4 2" xfId="54392" xr:uid="{00000000-0005-0000-0000-000032860000}"/>
    <cellStyle name="Normal 20 3 2 2 3 2 4 3" xfId="38292" xr:uid="{00000000-0005-0000-0000-000033860000}"/>
    <cellStyle name="Normal 20 3 2 2 3 2 4 4" xfId="19156" xr:uid="{00000000-0005-0000-0000-000034860000}"/>
    <cellStyle name="Normal 20 3 2 2 3 2 5" xfId="44825" xr:uid="{00000000-0005-0000-0000-000035860000}"/>
    <cellStyle name="Normal 20 3 2 2 3 2 6" xfId="28725" xr:uid="{00000000-0005-0000-0000-000036860000}"/>
    <cellStyle name="Normal 20 3 2 2 3 2 7" xfId="15661" xr:uid="{00000000-0005-0000-0000-000037860000}"/>
    <cellStyle name="Normal 20 3 2 2 3 3" xfId="2037" xr:uid="{00000000-0005-0000-0000-000038860000}"/>
    <cellStyle name="Normal 20 3 2 2 3 3 2" xfId="8571" xr:uid="{00000000-0005-0000-0000-000039860000}"/>
    <cellStyle name="Normal 20 3 2 2 3 3 2 2" xfId="40312" xr:uid="{00000000-0005-0000-0000-00003A860000}"/>
    <cellStyle name="Normal 20 3 2 2 3 3 2 2 2" xfId="56412" xr:uid="{00000000-0005-0000-0000-00003B860000}"/>
    <cellStyle name="Normal 20 3 2 2 3 3 2 3" xfId="46845" xr:uid="{00000000-0005-0000-0000-00003C860000}"/>
    <cellStyle name="Normal 20 3 2 2 3 3 2 4" xfId="30745" xr:uid="{00000000-0005-0000-0000-00003D860000}"/>
    <cellStyle name="Normal 20 3 2 2 3 3 2 5" xfId="21176" xr:uid="{00000000-0005-0000-0000-00003E860000}"/>
    <cellStyle name="Normal 20 3 2 2 3 3 3" xfId="11607" xr:uid="{00000000-0005-0000-0000-00003F860000}"/>
    <cellStyle name="Normal 20 3 2 2 3 3 3 2" xfId="49881" xr:uid="{00000000-0005-0000-0000-000040860000}"/>
    <cellStyle name="Normal 20 3 2 2 3 3 3 3" xfId="33781" xr:uid="{00000000-0005-0000-0000-000041860000}"/>
    <cellStyle name="Normal 20 3 2 2 3 3 3 4" xfId="24212" xr:uid="{00000000-0005-0000-0000-000042860000}"/>
    <cellStyle name="Normal 20 3 2 2 3 3 4" xfId="5535" xr:uid="{00000000-0005-0000-0000-000043860000}"/>
    <cellStyle name="Normal 20 3 2 2 3 3 4 2" xfId="53376" xr:uid="{00000000-0005-0000-0000-000044860000}"/>
    <cellStyle name="Normal 20 3 2 2 3 3 4 3" xfId="37276" xr:uid="{00000000-0005-0000-0000-000045860000}"/>
    <cellStyle name="Normal 20 3 2 2 3 3 4 4" xfId="18140" xr:uid="{00000000-0005-0000-0000-000046860000}"/>
    <cellStyle name="Normal 20 3 2 2 3 3 5" xfId="43809" xr:uid="{00000000-0005-0000-0000-000047860000}"/>
    <cellStyle name="Normal 20 3 2 2 3 3 6" xfId="27709" xr:uid="{00000000-0005-0000-0000-000048860000}"/>
    <cellStyle name="Normal 20 3 2 2 3 3 7" xfId="14645" xr:uid="{00000000-0005-0000-0000-000049860000}"/>
    <cellStyle name="Normal 20 3 2 2 3 4" xfId="7561" xr:uid="{00000000-0005-0000-0000-00004A860000}"/>
    <cellStyle name="Normal 20 3 2 2 3 4 2" xfId="39302" xr:uid="{00000000-0005-0000-0000-00004B860000}"/>
    <cellStyle name="Normal 20 3 2 2 3 4 2 2" xfId="55402" xr:uid="{00000000-0005-0000-0000-00004C860000}"/>
    <cellStyle name="Normal 20 3 2 2 3 4 3" xfId="45835" xr:uid="{00000000-0005-0000-0000-00004D860000}"/>
    <cellStyle name="Normal 20 3 2 2 3 4 4" xfId="29735" xr:uid="{00000000-0005-0000-0000-00004E860000}"/>
    <cellStyle name="Normal 20 3 2 2 3 4 5" xfId="20166" xr:uid="{00000000-0005-0000-0000-00004F860000}"/>
    <cellStyle name="Normal 20 3 2 2 3 5" xfId="10597" xr:uid="{00000000-0005-0000-0000-000050860000}"/>
    <cellStyle name="Normal 20 3 2 2 3 5 2" xfId="48871" xr:uid="{00000000-0005-0000-0000-000051860000}"/>
    <cellStyle name="Normal 20 3 2 2 3 5 3" xfId="32771" xr:uid="{00000000-0005-0000-0000-000052860000}"/>
    <cellStyle name="Normal 20 3 2 2 3 5 4" xfId="23202" xr:uid="{00000000-0005-0000-0000-000053860000}"/>
    <cellStyle name="Normal 20 3 2 2 3 6" xfId="4525" xr:uid="{00000000-0005-0000-0000-000054860000}"/>
    <cellStyle name="Normal 20 3 2 2 3 6 2" xfId="52366" xr:uid="{00000000-0005-0000-0000-000055860000}"/>
    <cellStyle name="Normal 20 3 2 2 3 6 3" xfId="36266" xr:uid="{00000000-0005-0000-0000-000056860000}"/>
    <cellStyle name="Normal 20 3 2 2 3 6 4" xfId="17130" xr:uid="{00000000-0005-0000-0000-000057860000}"/>
    <cellStyle name="Normal 20 3 2 2 3 7" xfId="42799" xr:uid="{00000000-0005-0000-0000-000058860000}"/>
    <cellStyle name="Normal 20 3 2 2 3 8" xfId="26699" xr:uid="{00000000-0005-0000-0000-000059860000}"/>
    <cellStyle name="Normal 20 3 2 2 3 9" xfId="13635" xr:uid="{00000000-0005-0000-0000-00005A860000}"/>
    <cellStyle name="Normal 20 3 2 2 4" xfId="2231" xr:uid="{00000000-0005-0000-0000-00005B860000}"/>
    <cellStyle name="Normal 20 3 2 2 4 2" xfId="8765" xr:uid="{00000000-0005-0000-0000-00005C860000}"/>
    <cellStyle name="Normal 20 3 2 2 4 2 2" xfId="40506" xr:uid="{00000000-0005-0000-0000-00005D860000}"/>
    <cellStyle name="Normal 20 3 2 2 4 2 2 2" xfId="56606" xr:uid="{00000000-0005-0000-0000-00005E860000}"/>
    <cellStyle name="Normal 20 3 2 2 4 2 3" xfId="47039" xr:uid="{00000000-0005-0000-0000-00005F860000}"/>
    <cellStyle name="Normal 20 3 2 2 4 2 4" xfId="30939" xr:uid="{00000000-0005-0000-0000-000060860000}"/>
    <cellStyle name="Normal 20 3 2 2 4 2 5" xfId="21370" xr:uid="{00000000-0005-0000-0000-000061860000}"/>
    <cellStyle name="Normal 20 3 2 2 4 3" xfId="11801" xr:uid="{00000000-0005-0000-0000-000062860000}"/>
    <cellStyle name="Normal 20 3 2 2 4 3 2" xfId="50075" xr:uid="{00000000-0005-0000-0000-000063860000}"/>
    <cellStyle name="Normal 20 3 2 2 4 3 3" xfId="33975" xr:uid="{00000000-0005-0000-0000-000064860000}"/>
    <cellStyle name="Normal 20 3 2 2 4 3 4" xfId="24406" xr:uid="{00000000-0005-0000-0000-000065860000}"/>
    <cellStyle name="Normal 20 3 2 2 4 4" xfId="5729" xr:uid="{00000000-0005-0000-0000-000066860000}"/>
    <cellStyle name="Normal 20 3 2 2 4 4 2" xfId="53570" xr:uid="{00000000-0005-0000-0000-000067860000}"/>
    <cellStyle name="Normal 20 3 2 2 4 4 3" xfId="37470" xr:uid="{00000000-0005-0000-0000-000068860000}"/>
    <cellStyle name="Normal 20 3 2 2 4 4 4" xfId="18334" xr:uid="{00000000-0005-0000-0000-000069860000}"/>
    <cellStyle name="Normal 20 3 2 2 4 5" xfId="44003" xr:uid="{00000000-0005-0000-0000-00006A860000}"/>
    <cellStyle name="Normal 20 3 2 2 4 6" xfId="27903" xr:uid="{00000000-0005-0000-0000-00006B860000}"/>
    <cellStyle name="Normal 20 3 2 2 4 7" xfId="14839" xr:uid="{00000000-0005-0000-0000-00006C860000}"/>
    <cellStyle name="Normal 20 3 2 2 5" xfId="1443" xr:uid="{00000000-0005-0000-0000-00006D860000}"/>
    <cellStyle name="Normal 20 3 2 2 5 2" xfId="7977" xr:uid="{00000000-0005-0000-0000-00006E860000}"/>
    <cellStyle name="Normal 20 3 2 2 5 2 2" xfId="39718" xr:uid="{00000000-0005-0000-0000-00006F860000}"/>
    <cellStyle name="Normal 20 3 2 2 5 2 2 2" xfId="55818" xr:uid="{00000000-0005-0000-0000-000070860000}"/>
    <cellStyle name="Normal 20 3 2 2 5 2 3" xfId="46251" xr:uid="{00000000-0005-0000-0000-000071860000}"/>
    <cellStyle name="Normal 20 3 2 2 5 2 4" xfId="30151" xr:uid="{00000000-0005-0000-0000-000072860000}"/>
    <cellStyle name="Normal 20 3 2 2 5 2 5" xfId="20582" xr:uid="{00000000-0005-0000-0000-000073860000}"/>
    <cellStyle name="Normal 20 3 2 2 5 3" xfId="11013" xr:uid="{00000000-0005-0000-0000-000074860000}"/>
    <cellStyle name="Normal 20 3 2 2 5 3 2" xfId="49287" xr:uid="{00000000-0005-0000-0000-000075860000}"/>
    <cellStyle name="Normal 20 3 2 2 5 3 3" xfId="33187" xr:uid="{00000000-0005-0000-0000-000076860000}"/>
    <cellStyle name="Normal 20 3 2 2 5 3 4" xfId="23618" xr:uid="{00000000-0005-0000-0000-000077860000}"/>
    <cellStyle name="Normal 20 3 2 2 5 4" xfId="4941" xr:uid="{00000000-0005-0000-0000-000078860000}"/>
    <cellStyle name="Normal 20 3 2 2 5 4 2" xfId="52782" xr:uid="{00000000-0005-0000-0000-000079860000}"/>
    <cellStyle name="Normal 20 3 2 2 5 4 3" xfId="36682" xr:uid="{00000000-0005-0000-0000-00007A860000}"/>
    <cellStyle name="Normal 20 3 2 2 5 4 4" xfId="17546" xr:uid="{00000000-0005-0000-0000-00007B860000}"/>
    <cellStyle name="Normal 20 3 2 2 5 5" xfId="43215" xr:uid="{00000000-0005-0000-0000-00007C860000}"/>
    <cellStyle name="Normal 20 3 2 2 5 6" xfId="27115" xr:uid="{00000000-0005-0000-0000-00007D860000}"/>
    <cellStyle name="Normal 20 3 2 2 5 7" xfId="14051" xr:uid="{00000000-0005-0000-0000-00007E860000}"/>
    <cellStyle name="Normal 20 3 2 2 6" xfId="3931" xr:uid="{00000000-0005-0000-0000-00007F860000}"/>
    <cellStyle name="Normal 20 3 2 2 6 2" xfId="35672" xr:uid="{00000000-0005-0000-0000-000080860000}"/>
    <cellStyle name="Normal 20 3 2 2 6 2 2" xfId="51772" xr:uid="{00000000-0005-0000-0000-000081860000}"/>
    <cellStyle name="Normal 20 3 2 2 6 3" xfId="42205" xr:uid="{00000000-0005-0000-0000-000082860000}"/>
    <cellStyle name="Normal 20 3 2 2 6 4" xfId="26105" xr:uid="{00000000-0005-0000-0000-000083860000}"/>
    <cellStyle name="Normal 20 3 2 2 6 5" xfId="16536" xr:uid="{00000000-0005-0000-0000-000084860000}"/>
    <cellStyle name="Normal 20 3 2 2 7" xfId="6967" xr:uid="{00000000-0005-0000-0000-000085860000}"/>
    <cellStyle name="Normal 20 3 2 2 7 2" xfId="38708" xr:uid="{00000000-0005-0000-0000-000086860000}"/>
    <cellStyle name="Normal 20 3 2 2 7 2 2" xfId="54808" xr:uid="{00000000-0005-0000-0000-000087860000}"/>
    <cellStyle name="Normal 20 3 2 2 7 3" xfId="45241" xr:uid="{00000000-0005-0000-0000-000088860000}"/>
    <cellStyle name="Normal 20 3 2 2 7 4" xfId="29141" xr:uid="{00000000-0005-0000-0000-000089860000}"/>
    <cellStyle name="Normal 20 3 2 2 7 5" xfId="19572" xr:uid="{00000000-0005-0000-0000-00008A860000}"/>
    <cellStyle name="Normal 20 3 2 2 8" xfId="10003" xr:uid="{00000000-0005-0000-0000-00008B860000}"/>
    <cellStyle name="Normal 20 3 2 2 8 2" xfId="48277" xr:uid="{00000000-0005-0000-0000-00008C860000}"/>
    <cellStyle name="Normal 20 3 2 2 8 3" xfId="32177" xr:uid="{00000000-0005-0000-0000-00008D860000}"/>
    <cellStyle name="Normal 20 3 2 2 8 4" xfId="22608" xr:uid="{00000000-0005-0000-0000-00008E860000}"/>
    <cellStyle name="Normal 20 3 2 2 9" xfId="3398" xr:uid="{00000000-0005-0000-0000-00008F860000}"/>
    <cellStyle name="Normal 20 3 2 2 9 2" xfId="51239" xr:uid="{00000000-0005-0000-0000-000090860000}"/>
    <cellStyle name="Normal 20 3 2 2 9 3" xfId="35139" xr:uid="{00000000-0005-0000-0000-000091860000}"/>
    <cellStyle name="Normal 20 3 2 2 9 4" xfId="16003" xr:uid="{00000000-0005-0000-0000-000092860000}"/>
    <cellStyle name="Normal 20 3 2 3" xfId="318" xr:uid="{00000000-0005-0000-0000-000093860000}"/>
    <cellStyle name="Normal 20 3 2 3 2" xfId="2337" xr:uid="{00000000-0005-0000-0000-000094860000}"/>
    <cellStyle name="Normal 20 3 2 3 2 2" xfId="8871" xr:uid="{00000000-0005-0000-0000-000095860000}"/>
    <cellStyle name="Normal 20 3 2 3 2 2 2" xfId="40612" xr:uid="{00000000-0005-0000-0000-000096860000}"/>
    <cellStyle name="Normal 20 3 2 3 2 2 2 2" xfId="56712" xr:uid="{00000000-0005-0000-0000-000097860000}"/>
    <cellStyle name="Normal 20 3 2 3 2 2 3" xfId="47145" xr:uid="{00000000-0005-0000-0000-000098860000}"/>
    <cellStyle name="Normal 20 3 2 3 2 2 4" xfId="31045" xr:uid="{00000000-0005-0000-0000-000099860000}"/>
    <cellStyle name="Normal 20 3 2 3 2 2 5" xfId="21476" xr:uid="{00000000-0005-0000-0000-00009A860000}"/>
    <cellStyle name="Normal 20 3 2 3 2 3" xfId="11907" xr:uid="{00000000-0005-0000-0000-00009B860000}"/>
    <cellStyle name="Normal 20 3 2 3 2 3 2" xfId="50181" xr:uid="{00000000-0005-0000-0000-00009C860000}"/>
    <cellStyle name="Normal 20 3 2 3 2 3 3" xfId="34081" xr:uid="{00000000-0005-0000-0000-00009D860000}"/>
    <cellStyle name="Normal 20 3 2 3 2 3 4" xfId="24512" xr:uid="{00000000-0005-0000-0000-00009E860000}"/>
    <cellStyle name="Normal 20 3 2 3 2 4" xfId="5835" xr:uid="{00000000-0005-0000-0000-00009F860000}"/>
    <cellStyle name="Normal 20 3 2 3 2 4 2" xfId="53676" xr:uid="{00000000-0005-0000-0000-0000A0860000}"/>
    <cellStyle name="Normal 20 3 2 3 2 4 3" xfId="37576" xr:uid="{00000000-0005-0000-0000-0000A1860000}"/>
    <cellStyle name="Normal 20 3 2 3 2 4 4" xfId="18440" xr:uid="{00000000-0005-0000-0000-0000A2860000}"/>
    <cellStyle name="Normal 20 3 2 3 2 5" xfId="44109" xr:uid="{00000000-0005-0000-0000-0000A3860000}"/>
    <cellStyle name="Normal 20 3 2 3 2 6" xfId="28009" xr:uid="{00000000-0005-0000-0000-0000A4860000}"/>
    <cellStyle name="Normal 20 3 2 3 2 7" xfId="14945" xr:uid="{00000000-0005-0000-0000-0000A5860000}"/>
    <cellStyle name="Normal 20 3 2 3 3" xfId="1549" xr:uid="{00000000-0005-0000-0000-0000A6860000}"/>
    <cellStyle name="Normal 20 3 2 3 3 2" xfId="8083" xr:uid="{00000000-0005-0000-0000-0000A7860000}"/>
    <cellStyle name="Normal 20 3 2 3 3 2 2" xfId="39824" xr:uid="{00000000-0005-0000-0000-0000A8860000}"/>
    <cellStyle name="Normal 20 3 2 3 3 2 2 2" xfId="55924" xr:uid="{00000000-0005-0000-0000-0000A9860000}"/>
    <cellStyle name="Normal 20 3 2 3 3 2 3" xfId="46357" xr:uid="{00000000-0005-0000-0000-0000AA860000}"/>
    <cellStyle name="Normal 20 3 2 3 3 2 4" xfId="30257" xr:uid="{00000000-0005-0000-0000-0000AB860000}"/>
    <cellStyle name="Normal 20 3 2 3 3 2 5" xfId="20688" xr:uid="{00000000-0005-0000-0000-0000AC860000}"/>
    <cellStyle name="Normal 20 3 2 3 3 3" xfId="11119" xr:uid="{00000000-0005-0000-0000-0000AD860000}"/>
    <cellStyle name="Normal 20 3 2 3 3 3 2" xfId="49393" xr:uid="{00000000-0005-0000-0000-0000AE860000}"/>
    <cellStyle name="Normal 20 3 2 3 3 3 3" xfId="33293" xr:uid="{00000000-0005-0000-0000-0000AF860000}"/>
    <cellStyle name="Normal 20 3 2 3 3 3 4" xfId="23724" xr:uid="{00000000-0005-0000-0000-0000B0860000}"/>
    <cellStyle name="Normal 20 3 2 3 3 4" xfId="5047" xr:uid="{00000000-0005-0000-0000-0000B1860000}"/>
    <cellStyle name="Normal 20 3 2 3 3 4 2" xfId="52888" xr:uid="{00000000-0005-0000-0000-0000B2860000}"/>
    <cellStyle name="Normal 20 3 2 3 3 4 3" xfId="36788" xr:uid="{00000000-0005-0000-0000-0000B3860000}"/>
    <cellStyle name="Normal 20 3 2 3 3 4 4" xfId="17652" xr:uid="{00000000-0005-0000-0000-0000B4860000}"/>
    <cellStyle name="Normal 20 3 2 3 3 5" xfId="43321" xr:uid="{00000000-0005-0000-0000-0000B5860000}"/>
    <cellStyle name="Normal 20 3 2 3 3 6" xfId="27221" xr:uid="{00000000-0005-0000-0000-0000B6860000}"/>
    <cellStyle name="Normal 20 3 2 3 3 7" xfId="14157" xr:uid="{00000000-0005-0000-0000-0000B7860000}"/>
    <cellStyle name="Normal 20 3 2 3 4" xfId="7073" xr:uid="{00000000-0005-0000-0000-0000B8860000}"/>
    <cellStyle name="Normal 20 3 2 3 4 2" xfId="38814" xr:uid="{00000000-0005-0000-0000-0000B9860000}"/>
    <cellStyle name="Normal 20 3 2 3 4 2 2" xfId="54914" xr:uid="{00000000-0005-0000-0000-0000BA860000}"/>
    <cellStyle name="Normal 20 3 2 3 4 3" xfId="45347" xr:uid="{00000000-0005-0000-0000-0000BB860000}"/>
    <cellStyle name="Normal 20 3 2 3 4 4" xfId="29247" xr:uid="{00000000-0005-0000-0000-0000BC860000}"/>
    <cellStyle name="Normal 20 3 2 3 4 5" xfId="19678" xr:uid="{00000000-0005-0000-0000-0000BD860000}"/>
    <cellStyle name="Normal 20 3 2 3 5" xfId="10109" xr:uid="{00000000-0005-0000-0000-0000BE860000}"/>
    <cellStyle name="Normal 20 3 2 3 5 2" xfId="48383" xr:uid="{00000000-0005-0000-0000-0000BF860000}"/>
    <cellStyle name="Normal 20 3 2 3 5 3" xfId="32283" xr:uid="{00000000-0005-0000-0000-0000C0860000}"/>
    <cellStyle name="Normal 20 3 2 3 5 4" xfId="22714" xr:uid="{00000000-0005-0000-0000-0000C1860000}"/>
    <cellStyle name="Normal 20 3 2 3 6" xfId="4037" xr:uid="{00000000-0005-0000-0000-0000C2860000}"/>
    <cellStyle name="Normal 20 3 2 3 6 2" xfId="51878" xr:uid="{00000000-0005-0000-0000-0000C3860000}"/>
    <cellStyle name="Normal 20 3 2 3 6 3" xfId="35778" xr:uid="{00000000-0005-0000-0000-0000C4860000}"/>
    <cellStyle name="Normal 20 3 2 3 6 4" xfId="16642" xr:uid="{00000000-0005-0000-0000-0000C5860000}"/>
    <cellStyle name="Normal 20 3 2 3 7" xfId="42311" xr:uid="{00000000-0005-0000-0000-0000C6860000}"/>
    <cellStyle name="Normal 20 3 2 3 8" xfId="26211" xr:uid="{00000000-0005-0000-0000-0000C7860000}"/>
    <cellStyle name="Normal 20 3 2 3 9" xfId="13147" xr:uid="{00000000-0005-0000-0000-0000C8860000}"/>
    <cellStyle name="Normal 20 3 2 4" xfId="575" xr:uid="{00000000-0005-0000-0000-0000C9860000}"/>
    <cellStyle name="Normal 20 3 2 4 2" xfId="2604" xr:uid="{00000000-0005-0000-0000-0000CA860000}"/>
    <cellStyle name="Normal 20 3 2 4 2 2" xfId="9136" xr:uid="{00000000-0005-0000-0000-0000CB860000}"/>
    <cellStyle name="Normal 20 3 2 4 2 2 2" xfId="40877" xr:uid="{00000000-0005-0000-0000-0000CC860000}"/>
    <cellStyle name="Normal 20 3 2 4 2 2 2 2" xfId="56977" xr:uid="{00000000-0005-0000-0000-0000CD860000}"/>
    <cellStyle name="Normal 20 3 2 4 2 2 3" xfId="47410" xr:uid="{00000000-0005-0000-0000-0000CE860000}"/>
    <cellStyle name="Normal 20 3 2 4 2 2 4" xfId="31310" xr:uid="{00000000-0005-0000-0000-0000CF860000}"/>
    <cellStyle name="Normal 20 3 2 4 2 2 5" xfId="21741" xr:uid="{00000000-0005-0000-0000-0000D0860000}"/>
    <cellStyle name="Normal 20 3 2 4 2 3" xfId="12172" xr:uid="{00000000-0005-0000-0000-0000D1860000}"/>
    <cellStyle name="Normal 20 3 2 4 2 3 2" xfId="50446" xr:uid="{00000000-0005-0000-0000-0000D2860000}"/>
    <cellStyle name="Normal 20 3 2 4 2 3 3" xfId="34346" xr:uid="{00000000-0005-0000-0000-0000D3860000}"/>
    <cellStyle name="Normal 20 3 2 4 2 3 4" xfId="24777" xr:uid="{00000000-0005-0000-0000-0000D4860000}"/>
    <cellStyle name="Normal 20 3 2 4 2 4" xfId="6100" xr:uid="{00000000-0005-0000-0000-0000D5860000}"/>
    <cellStyle name="Normal 20 3 2 4 2 4 2" xfId="53941" xr:uid="{00000000-0005-0000-0000-0000D6860000}"/>
    <cellStyle name="Normal 20 3 2 4 2 4 3" xfId="37841" xr:uid="{00000000-0005-0000-0000-0000D7860000}"/>
    <cellStyle name="Normal 20 3 2 4 2 4 4" xfId="18705" xr:uid="{00000000-0005-0000-0000-0000D8860000}"/>
    <cellStyle name="Normal 20 3 2 4 2 5" xfId="44374" xr:uid="{00000000-0005-0000-0000-0000D9860000}"/>
    <cellStyle name="Normal 20 3 2 4 2 6" xfId="28274" xr:uid="{00000000-0005-0000-0000-0000DA860000}"/>
    <cellStyle name="Normal 20 3 2 4 2 7" xfId="15210" xr:uid="{00000000-0005-0000-0000-0000DB860000}"/>
    <cellStyle name="Normal 20 3 2 4 3" xfId="1372" xr:uid="{00000000-0005-0000-0000-0000DC860000}"/>
    <cellStyle name="Normal 20 3 2 4 3 2" xfId="7906" xr:uid="{00000000-0005-0000-0000-0000DD860000}"/>
    <cellStyle name="Normal 20 3 2 4 3 2 2" xfId="39647" xr:uid="{00000000-0005-0000-0000-0000DE860000}"/>
    <cellStyle name="Normal 20 3 2 4 3 2 2 2" xfId="55747" xr:uid="{00000000-0005-0000-0000-0000DF860000}"/>
    <cellStyle name="Normal 20 3 2 4 3 2 3" xfId="46180" xr:uid="{00000000-0005-0000-0000-0000E0860000}"/>
    <cellStyle name="Normal 20 3 2 4 3 2 4" xfId="30080" xr:uid="{00000000-0005-0000-0000-0000E1860000}"/>
    <cellStyle name="Normal 20 3 2 4 3 2 5" xfId="20511" xr:uid="{00000000-0005-0000-0000-0000E2860000}"/>
    <cellStyle name="Normal 20 3 2 4 3 3" xfId="10942" xr:uid="{00000000-0005-0000-0000-0000E3860000}"/>
    <cellStyle name="Normal 20 3 2 4 3 3 2" xfId="49216" xr:uid="{00000000-0005-0000-0000-0000E4860000}"/>
    <cellStyle name="Normal 20 3 2 4 3 3 3" xfId="33116" xr:uid="{00000000-0005-0000-0000-0000E5860000}"/>
    <cellStyle name="Normal 20 3 2 4 3 3 4" xfId="23547" xr:uid="{00000000-0005-0000-0000-0000E6860000}"/>
    <cellStyle name="Normal 20 3 2 4 3 4" xfId="4870" xr:uid="{00000000-0005-0000-0000-0000E7860000}"/>
    <cellStyle name="Normal 20 3 2 4 3 4 2" xfId="52711" xr:uid="{00000000-0005-0000-0000-0000E8860000}"/>
    <cellStyle name="Normal 20 3 2 4 3 4 3" xfId="36611" xr:uid="{00000000-0005-0000-0000-0000E9860000}"/>
    <cellStyle name="Normal 20 3 2 4 3 4 4" xfId="17475" xr:uid="{00000000-0005-0000-0000-0000EA860000}"/>
    <cellStyle name="Normal 20 3 2 4 3 5" xfId="43144" xr:uid="{00000000-0005-0000-0000-0000EB860000}"/>
    <cellStyle name="Normal 20 3 2 4 3 6" xfId="27044" xr:uid="{00000000-0005-0000-0000-0000EC860000}"/>
    <cellStyle name="Normal 20 3 2 4 3 7" xfId="13980" xr:uid="{00000000-0005-0000-0000-0000ED860000}"/>
    <cellStyle name="Normal 20 3 2 4 4" xfId="6896" xr:uid="{00000000-0005-0000-0000-0000EE860000}"/>
    <cellStyle name="Normal 20 3 2 4 4 2" xfId="38637" xr:uid="{00000000-0005-0000-0000-0000EF860000}"/>
    <cellStyle name="Normal 20 3 2 4 4 2 2" xfId="54737" xr:uid="{00000000-0005-0000-0000-0000F0860000}"/>
    <cellStyle name="Normal 20 3 2 4 4 3" xfId="45170" xr:uid="{00000000-0005-0000-0000-0000F1860000}"/>
    <cellStyle name="Normal 20 3 2 4 4 4" xfId="29070" xr:uid="{00000000-0005-0000-0000-0000F2860000}"/>
    <cellStyle name="Normal 20 3 2 4 4 5" xfId="19501" xr:uid="{00000000-0005-0000-0000-0000F3860000}"/>
    <cellStyle name="Normal 20 3 2 4 5" xfId="9932" xr:uid="{00000000-0005-0000-0000-0000F4860000}"/>
    <cellStyle name="Normal 20 3 2 4 5 2" xfId="48206" xr:uid="{00000000-0005-0000-0000-0000F5860000}"/>
    <cellStyle name="Normal 20 3 2 4 5 3" xfId="32106" xr:uid="{00000000-0005-0000-0000-0000F6860000}"/>
    <cellStyle name="Normal 20 3 2 4 5 4" xfId="22537" xr:uid="{00000000-0005-0000-0000-0000F7860000}"/>
    <cellStyle name="Normal 20 3 2 4 6" xfId="3860" xr:uid="{00000000-0005-0000-0000-0000F8860000}"/>
    <cellStyle name="Normal 20 3 2 4 6 2" xfId="51701" xr:uid="{00000000-0005-0000-0000-0000F9860000}"/>
    <cellStyle name="Normal 20 3 2 4 6 3" xfId="35601" xr:uid="{00000000-0005-0000-0000-0000FA860000}"/>
    <cellStyle name="Normal 20 3 2 4 6 4" xfId="16465" xr:uid="{00000000-0005-0000-0000-0000FB860000}"/>
    <cellStyle name="Normal 20 3 2 4 7" xfId="42134" xr:uid="{00000000-0005-0000-0000-0000FC860000}"/>
    <cellStyle name="Normal 20 3 2 4 8" xfId="26034" xr:uid="{00000000-0005-0000-0000-0000FD860000}"/>
    <cellStyle name="Normal 20 3 2 4 9" xfId="12970" xr:uid="{00000000-0005-0000-0000-0000FE860000}"/>
    <cellStyle name="Normal 20 3 2 5" xfId="805" xr:uid="{00000000-0005-0000-0000-0000FF860000}"/>
    <cellStyle name="Normal 20 3 2 5 2" xfId="2833" xr:uid="{00000000-0005-0000-0000-000000870000}"/>
    <cellStyle name="Normal 20 3 2 5 2 2" xfId="9365" xr:uid="{00000000-0005-0000-0000-000001870000}"/>
    <cellStyle name="Normal 20 3 2 5 2 2 2" xfId="41106" xr:uid="{00000000-0005-0000-0000-000002870000}"/>
    <cellStyle name="Normal 20 3 2 5 2 2 2 2" xfId="57206" xr:uid="{00000000-0005-0000-0000-000003870000}"/>
    <cellStyle name="Normal 20 3 2 5 2 2 3" xfId="47639" xr:uid="{00000000-0005-0000-0000-000004870000}"/>
    <cellStyle name="Normal 20 3 2 5 2 2 4" xfId="31539" xr:uid="{00000000-0005-0000-0000-000005870000}"/>
    <cellStyle name="Normal 20 3 2 5 2 2 5" xfId="21970" xr:uid="{00000000-0005-0000-0000-000006870000}"/>
    <cellStyle name="Normal 20 3 2 5 2 3" xfId="12401" xr:uid="{00000000-0005-0000-0000-000007870000}"/>
    <cellStyle name="Normal 20 3 2 5 2 3 2" xfId="50675" xr:uid="{00000000-0005-0000-0000-000008870000}"/>
    <cellStyle name="Normal 20 3 2 5 2 3 3" xfId="34575" xr:uid="{00000000-0005-0000-0000-000009870000}"/>
    <cellStyle name="Normal 20 3 2 5 2 3 4" xfId="25006" xr:uid="{00000000-0005-0000-0000-00000A870000}"/>
    <cellStyle name="Normal 20 3 2 5 2 4" xfId="6329" xr:uid="{00000000-0005-0000-0000-00000B870000}"/>
    <cellStyle name="Normal 20 3 2 5 2 4 2" xfId="54170" xr:uid="{00000000-0005-0000-0000-00000C870000}"/>
    <cellStyle name="Normal 20 3 2 5 2 4 3" xfId="38070" xr:uid="{00000000-0005-0000-0000-00000D870000}"/>
    <cellStyle name="Normal 20 3 2 5 2 4 4" xfId="18934" xr:uid="{00000000-0005-0000-0000-00000E870000}"/>
    <cellStyle name="Normal 20 3 2 5 2 5" xfId="44603" xr:uid="{00000000-0005-0000-0000-00000F870000}"/>
    <cellStyle name="Normal 20 3 2 5 2 6" xfId="28503" xr:uid="{00000000-0005-0000-0000-000010870000}"/>
    <cellStyle name="Normal 20 3 2 5 2 7" xfId="15439" xr:uid="{00000000-0005-0000-0000-000011870000}"/>
    <cellStyle name="Normal 20 3 2 5 3" xfId="1815" xr:uid="{00000000-0005-0000-0000-000012870000}"/>
    <cellStyle name="Normal 20 3 2 5 3 2" xfId="8349" xr:uid="{00000000-0005-0000-0000-000013870000}"/>
    <cellStyle name="Normal 20 3 2 5 3 2 2" xfId="40090" xr:uid="{00000000-0005-0000-0000-000014870000}"/>
    <cellStyle name="Normal 20 3 2 5 3 2 2 2" xfId="56190" xr:uid="{00000000-0005-0000-0000-000015870000}"/>
    <cellStyle name="Normal 20 3 2 5 3 2 3" xfId="46623" xr:uid="{00000000-0005-0000-0000-000016870000}"/>
    <cellStyle name="Normal 20 3 2 5 3 2 4" xfId="30523" xr:uid="{00000000-0005-0000-0000-000017870000}"/>
    <cellStyle name="Normal 20 3 2 5 3 2 5" xfId="20954" xr:uid="{00000000-0005-0000-0000-000018870000}"/>
    <cellStyle name="Normal 20 3 2 5 3 3" xfId="11385" xr:uid="{00000000-0005-0000-0000-000019870000}"/>
    <cellStyle name="Normal 20 3 2 5 3 3 2" xfId="49659" xr:uid="{00000000-0005-0000-0000-00001A870000}"/>
    <cellStyle name="Normal 20 3 2 5 3 3 3" xfId="33559" xr:uid="{00000000-0005-0000-0000-00001B870000}"/>
    <cellStyle name="Normal 20 3 2 5 3 3 4" xfId="23990" xr:uid="{00000000-0005-0000-0000-00001C870000}"/>
    <cellStyle name="Normal 20 3 2 5 3 4" xfId="5313" xr:uid="{00000000-0005-0000-0000-00001D870000}"/>
    <cellStyle name="Normal 20 3 2 5 3 4 2" xfId="53154" xr:uid="{00000000-0005-0000-0000-00001E870000}"/>
    <cellStyle name="Normal 20 3 2 5 3 4 3" xfId="37054" xr:uid="{00000000-0005-0000-0000-00001F870000}"/>
    <cellStyle name="Normal 20 3 2 5 3 4 4" xfId="17918" xr:uid="{00000000-0005-0000-0000-000020870000}"/>
    <cellStyle name="Normal 20 3 2 5 3 5" xfId="43587" xr:uid="{00000000-0005-0000-0000-000021870000}"/>
    <cellStyle name="Normal 20 3 2 5 3 6" xfId="27487" xr:uid="{00000000-0005-0000-0000-000022870000}"/>
    <cellStyle name="Normal 20 3 2 5 3 7" xfId="14423" xr:uid="{00000000-0005-0000-0000-000023870000}"/>
    <cellStyle name="Normal 20 3 2 5 4" xfId="7339" xr:uid="{00000000-0005-0000-0000-000024870000}"/>
    <cellStyle name="Normal 20 3 2 5 4 2" xfId="39080" xr:uid="{00000000-0005-0000-0000-000025870000}"/>
    <cellStyle name="Normal 20 3 2 5 4 2 2" xfId="55180" xr:uid="{00000000-0005-0000-0000-000026870000}"/>
    <cellStyle name="Normal 20 3 2 5 4 3" xfId="45613" xr:uid="{00000000-0005-0000-0000-000027870000}"/>
    <cellStyle name="Normal 20 3 2 5 4 4" xfId="29513" xr:uid="{00000000-0005-0000-0000-000028870000}"/>
    <cellStyle name="Normal 20 3 2 5 4 5" xfId="19944" xr:uid="{00000000-0005-0000-0000-000029870000}"/>
    <cellStyle name="Normal 20 3 2 5 5" xfId="10375" xr:uid="{00000000-0005-0000-0000-00002A870000}"/>
    <cellStyle name="Normal 20 3 2 5 5 2" xfId="48649" xr:uid="{00000000-0005-0000-0000-00002B870000}"/>
    <cellStyle name="Normal 20 3 2 5 5 3" xfId="32549" xr:uid="{00000000-0005-0000-0000-00002C870000}"/>
    <cellStyle name="Normal 20 3 2 5 5 4" xfId="22980" xr:uid="{00000000-0005-0000-0000-00002D870000}"/>
    <cellStyle name="Normal 20 3 2 5 6" xfId="4303" xr:uid="{00000000-0005-0000-0000-00002E870000}"/>
    <cellStyle name="Normal 20 3 2 5 6 2" xfId="52144" xr:uid="{00000000-0005-0000-0000-00002F870000}"/>
    <cellStyle name="Normal 20 3 2 5 6 3" xfId="36044" xr:uid="{00000000-0005-0000-0000-000030870000}"/>
    <cellStyle name="Normal 20 3 2 5 6 4" xfId="16908" xr:uid="{00000000-0005-0000-0000-000031870000}"/>
    <cellStyle name="Normal 20 3 2 5 7" xfId="42577" xr:uid="{00000000-0005-0000-0000-000032870000}"/>
    <cellStyle name="Normal 20 3 2 5 8" xfId="26477" xr:uid="{00000000-0005-0000-0000-000033870000}"/>
    <cellStyle name="Normal 20 3 2 5 9" xfId="13413" xr:uid="{00000000-0005-0000-0000-000034870000}"/>
    <cellStyle name="Normal 20 3 2 6" xfId="2160" xr:uid="{00000000-0005-0000-0000-000035870000}"/>
    <cellStyle name="Normal 20 3 2 6 2" xfId="8694" xr:uid="{00000000-0005-0000-0000-000036870000}"/>
    <cellStyle name="Normal 20 3 2 6 2 2" xfId="40435" xr:uid="{00000000-0005-0000-0000-000037870000}"/>
    <cellStyle name="Normal 20 3 2 6 2 2 2" xfId="56535" xr:uid="{00000000-0005-0000-0000-000038870000}"/>
    <cellStyle name="Normal 20 3 2 6 2 3" xfId="46968" xr:uid="{00000000-0005-0000-0000-000039870000}"/>
    <cellStyle name="Normal 20 3 2 6 2 4" xfId="30868" xr:uid="{00000000-0005-0000-0000-00003A870000}"/>
    <cellStyle name="Normal 20 3 2 6 2 5" xfId="21299" xr:uid="{00000000-0005-0000-0000-00003B870000}"/>
    <cellStyle name="Normal 20 3 2 6 3" xfId="11730" xr:uid="{00000000-0005-0000-0000-00003C870000}"/>
    <cellStyle name="Normal 20 3 2 6 3 2" xfId="50004" xr:uid="{00000000-0005-0000-0000-00003D870000}"/>
    <cellStyle name="Normal 20 3 2 6 3 3" xfId="33904" xr:uid="{00000000-0005-0000-0000-00003E870000}"/>
    <cellStyle name="Normal 20 3 2 6 3 4" xfId="24335" xr:uid="{00000000-0005-0000-0000-00003F870000}"/>
    <cellStyle name="Normal 20 3 2 6 4" xfId="5658" xr:uid="{00000000-0005-0000-0000-000040870000}"/>
    <cellStyle name="Normal 20 3 2 6 4 2" xfId="53499" xr:uid="{00000000-0005-0000-0000-000041870000}"/>
    <cellStyle name="Normal 20 3 2 6 4 3" xfId="37399" xr:uid="{00000000-0005-0000-0000-000042870000}"/>
    <cellStyle name="Normal 20 3 2 6 4 4" xfId="18263" xr:uid="{00000000-0005-0000-0000-000043870000}"/>
    <cellStyle name="Normal 20 3 2 6 5" xfId="43932" xr:uid="{00000000-0005-0000-0000-000044870000}"/>
    <cellStyle name="Normal 20 3 2 6 6" xfId="27832" xr:uid="{00000000-0005-0000-0000-000045870000}"/>
    <cellStyle name="Normal 20 3 2 6 7" xfId="14768" xr:uid="{00000000-0005-0000-0000-000046870000}"/>
    <cellStyle name="Normal 20 3 2 7" xfId="1132" xr:uid="{00000000-0005-0000-0000-000047870000}"/>
    <cellStyle name="Normal 20 3 2 7 2" xfId="7666" xr:uid="{00000000-0005-0000-0000-000048870000}"/>
    <cellStyle name="Normal 20 3 2 7 2 2" xfId="39407" xr:uid="{00000000-0005-0000-0000-000049870000}"/>
    <cellStyle name="Normal 20 3 2 7 2 2 2" xfId="55507" xr:uid="{00000000-0005-0000-0000-00004A870000}"/>
    <cellStyle name="Normal 20 3 2 7 2 3" xfId="45940" xr:uid="{00000000-0005-0000-0000-00004B870000}"/>
    <cellStyle name="Normal 20 3 2 7 2 4" xfId="29840" xr:uid="{00000000-0005-0000-0000-00004C870000}"/>
    <cellStyle name="Normal 20 3 2 7 2 5" xfId="20271" xr:uid="{00000000-0005-0000-0000-00004D870000}"/>
    <cellStyle name="Normal 20 3 2 7 3" xfId="10702" xr:uid="{00000000-0005-0000-0000-00004E870000}"/>
    <cellStyle name="Normal 20 3 2 7 3 2" xfId="48976" xr:uid="{00000000-0005-0000-0000-00004F870000}"/>
    <cellStyle name="Normal 20 3 2 7 3 3" xfId="32876" xr:uid="{00000000-0005-0000-0000-000050870000}"/>
    <cellStyle name="Normal 20 3 2 7 3 4" xfId="23307" xr:uid="{00000000-0005-0000-0000-000051870000}"/>
    <cellStyle name="Normal 20 3 2 7 4" xfId="4630" xr:uid="{00000000-0005-0000-0000-000052870000}"/>
    <cellStyle name="Normal 20 3 2 7 4 2" xfId="52471" xr:uid="{00000000-0005-0000-0000-000053870000}"/>
    <cellStyle name="Normal 20 3 2 7 4 3" xfId="36371" xr:uid="{00000000-0005-0000-0000-000054870000}"/>
    <cellStyle name="Normal 20 3 2 7 4 4" xfId="17235" xr:uid="{00000000-0005-0000-0000-000055870000}"/>
    <cellStyle name="Normal 20 3 2 7 5" xfId="42904" xr:uid="{00000000-0005-0000-0000-000056870000}"/>
    <cellStyle name="Normal 20 3 2 7 6" xfId="26804" xr:uid="{00000000-0005-0000-0000-000057870000}"/>
    <cellStyle name="Normal 20 3 2 7 7" xfId="13740" xr:uid="{00000000-0005-0000-0000-000058870000}"/>
    <cellStyle name="Normal 20 3 2 8" xfId="3620" xr:uid="{00000000-0005-0000-0000-000059870000}"/>
    <cellStyle name="Normal 20 3 2 8 2" xfId="35361" xr:uid="{00000000-0005-0000-0000-00005A870000}"/>
    <cellStyle name="Normal 20 3 2 8 2 2" xfId="51461" xr:uid="{00000000-0005-0000-0000-00005B870000}"/>
    <cellStyle name="Normal 20 3 2 8 3" xfId="41894" xr:uid="{00000000-0005-0000-0000-00005C870000}"/>
    <cellStyle name="Normal 20 3 2 8 4" xfId="25794" xr:uid="{00000000-0005-0000-0000-00005D870000}"/>
    <cellStyle name="Normal 20 3 2 8 5" xfId="16225" xr:uid="{00000000-0005-0000-0000-00005E870000}"/>
    <cellStyle name="Normal 20 3 2 9" xfId="6656" xr:uid="{00000000-0005-0000-0000-00005F870000}"/>
    <cellStyle name="Normal 20 3 2 9 2" xfId="38397" xr:uid="{00000000-0005-0000-0000-000060870000}"/>
    <cellStyle name="Normal 20 3 2 9 2 2" xfId="54497" xr:uid="{00000000-0005-0000-0000-000061870000}"/>
    <cellStyle name="Normal 20 3 2 9 3" xfId="44930" xr:uid="{00000000-0005-0000-0000-000062870000}"/>
    <cellStyle name="Normal 20 3 2 9 4" xfId="28830" xr:uid="{00000000-0005-0000-0000-000063870000}"/>
    <cellStyle name="Normal 20 3 2 9 5" xfId="19261" xr:uid="{00000000-0005-0000-0000-000064870000}"/>
    <cellStyle name="Normal 20 3 3" xfId="101" xr:uid="{00000000-0005-0000-0000-000065870000}"/>
    <cellStyle name="Normal 20 3 3 10" xfId="41619" xr:uid="{00000000-0005-0000-0000-000066870000}"/>
    <cellStyle name="Normal 20 3 3 11" xfId="25519" xr:uid="{00000000-0005-0000-0000-000067870000}"/>
    <cellStyle name="Normal 20 3 3 12" xfId="12934" xr:uid="{00000000-0005-0000-0000-000068870000}"/>
    <cellStyle name="Normal 20 3 3 2" xfId="282" xr:uid="{00000000-0005-0000-0000-000069870000}"/>
    <cellStyle name="Normal 20 3 3 2 2" xfId="2301" xr:uid="{00000000-0005-0000-0000-00006A870000}"/>
    <cellStyle name="Normal 20 3 3 2 2 2" xfId="8835" xr:uid="{00000000-0005-0000-0000-00006B870000}"/>
    <cellStyle name="Normal 20 3 3 2 2 2 2" xfId="40576" xr:uid="{00000000-0005-0000-0000-00006C870000}"/>
    <cellStyle name="Normal 20 3 3 2 2 2 2 2" xfId="56676" xr:uid="{00000000-0005-0000-0000-00006D870000}"/>
    <cellStyle name="Normal 20 3 3 2 2 2 3" xfId="47109" xr:uid="{00000000-0005-0000-0000-00006E870000}"/>
    <cellStyle name="Normal 20 3 3 2 2 2 4" xfId="31009" xr:uid="{00000000-0005-0000-0000-00006F870000}"/>
    <cellStyle name="Normal 20 3 3 2 2 2 5" xfId="21440" xr:uid="{00000000-0005-0000-0000-000070870000}"/>
    <cellStyle name="Normal 20 3 3 2 2 3" xfId="11871" xr:uid="{00000000-0005-0000-0000-000071870000}"/>
    <cellStyle name="Normal 20 3 3 2 2 3 2" xfId="50145" xr:uid="{00000000-0005-0000-0000-000072870000}"/>
    <cellStyle name="Normal 20 3 3 2 2 3 3" xfId="34045" xr:uid="{00000000-0005-0000-0000-000073870000}"/>
    <cellStyle name="Normal 20 3 3 2 2 3 4" xfId="24476" xr:uid="{00000000-0005-0000-0000-000074870000}"/>
    <cellStyle name="Normal 20 3 3 2 2 4" xfId="5799" xr:uid="{00000000-0005-0000-0000-000075870000}"/>
    <cellStyle name="Normal 20 3 3 2 2 4 2" xfId="53640" xr:uid="{00000000-0005-0000-0000-000076870000}"/>
    <cellStyle name="Normal 20 3 3 2 2 4 3" xfId="37540" xr:uid="{00000000-0005-0000-0000-000077870000}"/>
    <cellStyle name="Normal 20 3 3 2 2 4 4" xfId="18404" xr:uid="{00000000-0005-0000-0000-000078870000}"/>
    <cellStyle name="Normal 20 3 3 2 2 5" xfId="44073" xr:uid="{00000000-0005-0000-0000-000079870000}"/>
    <cellStyle name="Normal 20 3 3 2 2 6" xfId="27973" xr:uid="{00000000-0005-0000-0000-00007A870000}"/>
    <cellStyle name="Normal 20 3 3 2 2 7" xfId="14909" xr:uid="{00000000-0005-0000-0000-00007B870000}"/>
    <cellStyle name="Normal 20 3 3 2 3" xfId="1513" xr:uid="{00000000-0005-0000-0000-00007C870000}"/>
    <cellStyle name="Normal 20 3 3 2 3 2" xfId="8047" xr:uid="{00000000-0005-0000-0000-00007D870000}"/>
    <cellStyle name="Normal 20 3 3 2 3 2 2" xfId="39788" xr:uid="{00000000-0005-0000-0000-00007E870000}"/>
    <cellStyle name="Normal 20 3 3 2 3 2 2 2" xfId="55888" xr:uid="{00000000-0005-0000-0000-00007F870000}"/>
    <cellStyle name="Normal 20 3 3 2 3 2 3" xfId="46321" xr:uid="{00000000-0005-0000-0000-000080870000}"/>
    <cellStyle name="Normal 20 3 3 2 3 2 4" xfId="30221" xr:uid="{00000000-0005-0000-0000-000081870000}"/>
    <cellStyle name="Normal 20 3 3 2 3 2 5" xfId="20652" xr:uid="{00000000-0005-0000-0000-000082870000}"/>
    <cellStyle name="Normal 20 3 3 2 3 3" xfId="11083" xr:uid="{00000000-0005-0000-0000-000083870000}"/>
    <cellStyle name="Normal 20 3 3 2 3 3 2" xfId="49357" xr:uid="{00000000-0005-0000-0000-000084870000}"/>
    <cellStyle name="Normal 20 3 3 2 3 3 3" xfId="33257" xr:uid="{00000000-0005-0000-0000-000085870000}"/>
    <cellStyle name="Normal 20 3 3 2 3 3 4" xfId="23688" xr:uid="{00000000-0005-0000-0000-000086870000}"/>
    <cellStyle name="Normal 20 3 3 2 3 4" xfId="5011" xr:uid="{00000000-0005-0000-0000-000087870000}"/>
    <cellStyle name="Normal 20 3 3 2 3 4 2" xfId="52852" xr:uid="{00000000-0005-0000-0000-000088870000}"/>
    <cellStyle name="Normal 20 3 3 2 3 4 3" xfId="36752" xr:uid="{00000000-0005-0000-0000-000089870000}"/>
    <cellStyle name="Normal 20 3 3 2 3 4 4" xfId="17616" xr:uid="{00000000-0005-0000-0000-00008A870000}"/>
    <cellStyle name="Normal 20 3 3 2 3 5" xfId="43285" xr:uid="{00000000-0005-0000-0000-00008B870000}"/>
    <cellStyle name="Normal 20 3 3 2 3 6" xfId="27185" xr:uid="{00000000-0005-0000-0000-00008C870000}"/>
    <cellStyle name="Normal 20 3 3 2 3 7" xfId="14121" xr:uid="{00000000-0005-0000-0000-00008D870000}"/>
    <cellStyle name="Normal 20 3 3 2 4" xfId="7037" xr:uid="{00000000-0005-0000-0000-00008E870000}"/>
    <cellStyle name="Normal 20 3 3 2 4 2" xfId="38778" xr:uid="{00000000-0005-0000-0000-00008F870000}"/>
    <cellStyle name="Normal 20 3 3 2 4 2 2" xfId="54878" xr:uid="{00000000-0005-0000-0000-000090870000}"/>
    <cellStyle name="Normal 20 3 3 2 4 3" xfId="45311" xr:uid="{00000000-0005-0000-0000-000091870000}"/>
    <cellStyle name="Normal 20 3 3 2 4 4" xfId="29211" xr:uid="{00000000-0005-0000-0000-000092870000}"/>
    <cellStyle name="Normal 20 3 3 2 4 5" xfId="19642" xr:uid="{00000000-0005-0000-0000-000093870000}"/>
    <cellStyle name="Normal 20 3 3 2 5" xfId="10073" xr:uid="{00000000-0005-0000-0000-000094870000}"/>
    <cellStyle name="Normal 20 3 3 2 5 2" xfId="48347" xr:uid="{00000000-0005-0000-0000-000095870000}"/>
    <cellStyle name="Normal 20 3 3 2 5 3" xfId="32247" xr:uid="{00000000-0005-0000-0000-000096870000}"/>
    <cellStyle name="Normal 20 3 3 2 5 4" xfId="22678" xr:uid="{00000000-0005-0000-0000-000097870000}"/>
    <cellStyle name="Normal 20 3 3 2 6" xfId="4001" xr:uid="{00000000-0005-0000-0000-000098870000}"/>
    <cellStyle name="Normal 20 3 3 2 6 2" xfId="51842" xr:uid="{00000000-0005-0000-0000-000099870000}"/>
    <cellStyle name="Normal 20 3 3 2 6 3" xfId="35742" xr:uid="{00000000-0005-0000-0000-00009A870000}"/>
    <cellStyle name="Normal 20 3 3 2 6 4" xfId="16606" xr:uid="{00000000-0005-0000-0000-00009B870000}"/>
    <cellStyle name="Normal 20 3 3 2 7" xfId="42275" xr:uid="{00000000-0005-0000-0000-00009C870000}"/>
    <cellStyle name="Normal 20 3 3 2 8" xfId="26175" xr:uid="{00000000-0005-0000-0000-00009D870000}"/>
    <cellStyle name="Normal 20 3 3 2 9" xfId="13111" xr:uid="{00000000-0005-0000-0000-00009E870000}"/>
    <cellStyle name="Normal 20 3 3 3" xfId="974" xr:uid="{00000000-0005-0000-0000-00009F870000}"/>
    <cellStyle name="Normal 20 3 3 3 2" xfId="3002" xr:uid="{00000000-0005-0000-0000-0000A0870000}"/>
    <cellStyle name="Normal 20 3 3 3 2 2" xfId="9534" xr:uid="{00000000-0005-0000-0000-0000A1870000}"/>
    <cellStyle name="Normal 20 3 3 3 2 2 2" xfId="41275" xr:uid="{00000000-0005-0000-0000-0000A2870000}"/>
    <cellStyle name="Normal 20 3 3 3 2 2 2 2" xfId="57375" xr:uid="{00000000-0005-0000-0000-0000A3870000}"/>
    <cellStyle name="Normal 20 3 3 3 2 2 3" xfId="47808" xr:uid="{00000000-0005-0000-0000-0000A4870000}"/>
    <cellStyle name="Normal 20 3 3 3 2 2 4" xfId="31708" xr:uid="{00000000-0005-0000-0000-0000A5870000}"/>
    <cellStyle name="Normal 20 3 3 3 2 2 5" xfId="22139" xr:uid="{00000000-0005-0000-0000-0000A6870000}"/>
    <cellStyle name="Normal 20 3 3 3 2 3" xfId="12570" xr:uid="{00000000-0005-0000-0000-0000A7870000}"/>
    <cellStyle name="Normal 20 3 3 3 2 3 2" xfId="50844" xr:uid="{00000000-0005-0000-0000-0000A8870000}"/>
    <cellStyle name="Normal 20 3 3 3 2 3 3" xfId="34744" xr:uid="{00000000-0005-0000-0000-0000A9870000}"/>
    <cellStyle name="Normal 20 3 3 3 2 3 4" xfId="25175" xr:uid="{00000000-0005-0000-0000-0000AA870000}"/>
    <cellStyle name="Normal 20 3 3 3 2 4" xfId="6498" xr:uid="{00000000-0005-0000-0000-0000AB870000}"/>
    <cellStyle name="Normal 20 3 3 3 2 4 2" xfId="54339" xr:uid="{00000000-0005-0000-0000-0000AC870000}"/>
    <cellStyle name="Normal 20 3 3 3 2 4 3" xfId="38239" xr:uid="{00000000-0005-0000-0000-0000AD870000}"/>
    <cellStyle name="Normal 20 3 3 3 2 4 4" xfId="19103" xr:uid="{00000000-0005-0000-0000-0000AE870000}"/>
    <cellStyle name="Normal 20 3 3 3 2 5" xfId="44772" xr:uid="{00000000-0005-0000-0000-0000AF870000}"/>
    <cellStyle name="Normal 20 3 3 3 2 6" xfId="28672" xr:uid="{00000000-0005-0000-0000-0000B0870000}"/>
    <cellStyle name="Normal 20 3 3 3 2 7" xfId="15608" xr:uid="{00000000-0005-0000-0000-0000B1870000}"/>
    <cellStyle name="Normal 20 3 3 3 3" xfId="1984" xr:uid="{00000000-0005-0000-0000-0000B2870000}"/>
    <cellStyle name="Normal 20 3 3 3 3 2" xfId="8518" xr:uid="{00000000-0005-0000-0000-0000B3870000}"/>
    <cellStyle name="Normal 20 3 3 3 3 2 2" xfId="40259" xr:uid="{00000000-0005-0000-0000-0000B4870000}"/>
    <cellStyle name="Normal 20 3 3 3 3 2 2 2" xfId="56359" xr:uid="{00000000-0005-0000-0000-0000B5870000}"/>
    <cellStyle name="Normal 20 3 3 3 3 2 3" xfId="46792" xr:uid="{00000000-0005-0000-0000-0000B6870000}"/>
    <cellStyle name="Normal 20 3 3 3 3 2 4" xfId="30692" xr:uid="{00000000-0005-0000-0000-0000B7870000}"/>
    <cellStyle name="Normal 20 3 3 3 3 2 5" xfId="21123" xr:uid="{00000000-0005-0000-0000-0000B8870000}"/>
    <cellStyle name="Normal 20 3 3 3 3 3" xfId="11554" xr:uid="{00000000-0005-0000-0000-0000B9870000}"/>
    <cellStyle name="Normal 20 3 3 3 3 3 2" xfId="49828" xr:uid="{00000000-0005-0000-0000-0000BA870000}"/>
    <cellStyle name="Normal 20 3 3 3 3 3 3" xfId="33728" xr:uid="{00000000-0005-0000-0000-0000BB870000}"/>
    <cellStyle name="Normal 20 3 3 3 3 3 4" xfId="24159" xr:uid="{00000000-0005-0000-0000-0000BC870000}"/>
    <cellStyle name="Normal 20 3 3 3 3 4" xfId="5482" xr:uid="{00000000-0005-0000-0000-0000BD870000}"/>
    <cellStyle name="Normal 20 3 3 3 3 4 2" xfId="53323" xr:uid="{00000000-0005-0000-0000-0000BE870000}"/>
    <cellStyle name="Normal 20 3 3 3 3 4 3" xfId="37223" xr:uid="{00000000-0005-0000-0000-0000BF870000}"/>
    <cellStyle name="Normal 20 3 3 3 3 4 4" xfId="18087" xr:uid="{00000000-0005-0000-0000-0000C0870000}"/>
    <cellStyle name="Normal 20 3 3 3 3 5" xfId="43756" xr:uid="{00000000-0005-0000-0000-0000C1870000}"/>
    <cellStyle name="Normal 20 3 3 3 3 6" xfId="27656" xr:uid="{00000000-0005-0000-0000-0000C2870000}"/>
    <cellStyle name="Normal 20 3 3 3 3 7" xfId="14592" xr:uid="{00000000-0005-0000-0000-0000C3870000}"/>
    <cellStyle name="Normal 20 3 3 3 4" xfId="7508" xr:uid="{00000000-0005-0000-0000-0000C4870000}"/>
    <cellStyle name="Normal 20 3 3 3 4 2" xfId="39249" xr:uid="{00000000-0005-0000-0000-0000C5870000}"/>
    <cellStyle name="Normal 20 3 3 3 4 2 2" xfId="55349" xr:uid="{00000000-0005-0000-0000-0000C6870000}"/>
    <cellStyle name="Normal 20 3 3 3 4 3" xfId="45782" xr:uid="{00000000-0005-0000-0000-0000C7870000}"/>
    <cellStyle name="Normal 20 3 3 3 4 4" xfId="29682" xr:uid="{00000000-0005-0000-0000-0000C8870000}"/>
    <cellStyle name="Normal 20 3 3 3 4 5" xfId="20113" xr:uid="{00000000-0005-0000-0000-0000C9870000}"/>
    <cellStyle name="Normal 20 3 3 3 5" xfId="10544" xr:uid="{00000000-0005-0000-0000-0000CA870000}"/>
    <cellStyle name="Normal 20 3 3 3 5 2" xfId="48818" xr:uid="{00000000-0005-0000-0000-0000CB870000}"/>
    <cellStyle name="Normal 20 3 3 3 5 3" xfId="32718" xr:uid="{00000000-0005-0000-0000-0000CC870000}"/>
    <cellStyle name="Normal 20 3 3 3 5 4" xfId="23149" xr:uid="{00000000-0005-0000-0000-0000CD870000}"/>
    <cellStyle name="Normal 20 3 3 3 6" xfId="4472" xr:uid="{00000000-0005-0000-0000-0000CE870000}"/>
    <cellStyle name="Normal 20 3 3 3 6 2" xfId="52313" xr:uid="{00000000-0005-0000-0000-0000CF870000}"/>
    <cellStyle name="Normal 20 3 3 3 6 3" xfId="36213" xr:uid="{00000000-0005-0000-0000-0000D0870000}"/>
    <cellStyle name="Normal 20 3 3 3 6 4" xfId="17077" xr:uid="{00000000-0005-0000-0000-0000D1870000}"/>
    <cellStyle name="Normal 20 3 3 3 7" xfId="42746" xr:uid="{00000000-0005-0000-0000-0000D2870000}"/>
    <cellStyle name="Normal 20 3 3 3 8" xfId="26646" xr:uid="{00000000-0005-0000-0000-0000D3870000}"/>
    <cellStyle name="Normal 20 3 3 3 9" xfId="13582" xr:uid="{00000000-0005-0000-0000-0000D4870000}"/>
    <cellStyle name="Normal 20 3 3 4" xfId="2124" xr:uid="{00000000-0005-0000-0000-0000D5870000}"/>
    <cellStyle name="Normal 20 3 3 4 2" xfId="8658" xr:uid="{00000000-0005-0000-0000-0000D6870000}"/>
    <cellStyle name="Normal 20 3 3 4 2 2" xfId="40399" xr:uid="{00000000-0005-0000-0000-0000D7870000}"/>
    <cellStyle name="Normal 20 3 3 4 2 2 2" xfId="56499" xr:uid="{00000000-0005-0000-0000-0000D8870000}"/>
    <cellStyle name="Normal 20 3 3 4 2 3" xfId="46932" xr:uid="{00000000-0005-0000-0000-0000D9870000}"/>
    <cellStyle name="Normal 20 3 3 4 2 4" xfId="30832" xr:uid="{00000000-0005-0000-0000-0000DA870000}"/>
    <cellStyle name="Normal 20 3 3 4 2 5" xfId="21263" xr:uid="{00000000-0005-0000-0000-0000DB870000}"/>
    <cellStyle name="Normal 20 3 3 4 3" xfId="11694" xr:uid="{00000000-0005-0000-0000-0000DC870000}"/>
    <cellStyle name="Normal 20 3 3 4 3 2" xfId="49968" xr:uid="{00000000-0005-0000-0000-0000DD870000}"/>
    <cellStyle name="Normal 20 3 3 4 3 3" xfId="33868" xr:uid="{00000000-0005-0000-0000-0000DE870000}"/>
    <cellStyle name="Normal 20 3 3 4 3 4" xfId="24299" xr:uid="{00000000-0005-0000-0000-0000DF870000}"/>
    <cellStyle name="Normal 20 3 3 4 4" xfId="5622" xr:uid="{00000000-0005-0000-0000-0000E0870000}"/>
    <cellStyle name="Normal 20 3 3 4 4 2" xfId="53463" xr:uid="{00000000-0005-0000-0000-0000E1870000}"/>
    <cellStyle name="Normal 20 3 3 4 4 3" xfId="37363" xr:uid="{00000000-0005-0000-0000-0000E2870000}"/>
    <cellStyle name="Normal 20 3 3 4 4 4" xfId="18227" xr:uid="{00000000-0005-0000-0000-0000E3870000}"/>
    <cellStyle name="Normal 20 3 3 4 5" xfId="43896" xr:uid="{00000000-0005-0000-0000-0000E4870000}"/>
    <cellStyle name="Normal 20 3 3 4 6" xfId="27796" xr:uid="{00000000-0005-0000-0000-0000E5870000}"/>
    <cellStyle name="Normal 20 3 3 4 7" xfId="14732" xr:uid="{00000000-0005-0000-0000-0000E6870000}"/>
    <cellStyle name="Normal 20 3 3 5" xfId="1336" xr:uid="{00000000-0005-0000-0000-0000E7870000}"/>
    <cellStyle name="Normal 20 3 3 5 2" xfId="7870" xr:uid="{00000000-0005-0000-0000-0000E8870000}"/>
    <cellStyle name="Normal 20 3 3 5 2 2" xfId="39611" xr:uid="{00000000-0005-0000-0000-0000E9870000}"/>
    <cellStyle name="Normal 20 3 3 5 2 2 2" xfId="55711" xr:uid="{00000000-0005-0000-0000-0000EA870000}"/>
    <cellStyle name="Normal 20 3 3 5 2 3" xfId="46144" xr:uid="{00000000-0005-0000-0000-0000EB870000}"/>
    <cellStyle name="Normal 20 3 3 5 2 4" xfId="30044" xr:uid="{00000000-0005-0000-0000-0000EC870000}"/>
    <cellStyle name="Normal 20 3 3 5 2 5" xfId="20475" xr:uid="{00000000-0005-0000-0000-0000ED870000}"/>
    <cellStyle name="Normal 20 3 3 5 3" xfId="10906" xr:uid="{00000000-0005-0000-0000-0000EE870000}"/>
    <cellStyle name="Normal 20 3 3 5 3 2" xfId="49180" xr:uid="{00000000-0005-0000-0000-0000EF870000}"/>
    <cellStyle name="Normal 20 3 3 5 3 3" xfId="33080" xr:uid="{00000000-0005-0000-0000-0000F0870000}"/>
    <cellStyle name="Normal 20 3 3 5 3 4" xfId="23511" xr:uid="{00000000-0005-0000-0000-0000F1870000}"/>
    <cellStyle name="Normal 20 3 3 5 4" xfId="4834" xr:uid="{00000000-0005-0000-0000-0000F2870000}"/>
    <cellStyle name="Normal 20 3 3 5 4 2" xfId="52675" xr:uid="{00000000-0005-0000-0000-0000F3870000}"/>
    <cellStyle name="Normal 20 3 3 5 4 3" xfId="36575" xr:uid="{00000000-0005-0000-0000-0000F4870000}"/>
    <cellStyle name="Normal 20 3 3 5 4 4" xfId="17439" xr:uid="{00000000-0005-0000-0000-0000F5870000}"/>
    <cellStyle name="Normal 20 3 3 5 5" xfId="43108" xr:uid="{00000000-0005-0000-0000-0000F6870000}"/>
    <cellStyle name="Normal 20 3 3 5 6" xfId="27008" xr:uid="{00000000-0005-0000-0000-0000F7870000}"/>
    <cellStyle name="Normal 20 3 3 5 7" xfId="13944" xr:uid="{00000000-0005-0000-0000-0000F8870000}"/>
    <cellStyle name="Normal 20 3 3 6" xfId="3824" xr:uid="{00000000-0005-0000-0000-0000F9870000}"/>
    <cellStyle name="Normal 20 3 3 6 2" xfId="35565" xr:uid="{00000000-0005-0000-0000-0000FA870000}"/>
    <cellStyle name="Normal 20 3 3 6 2 2" xfId="51665" xr:uid="{00000000-0005-0000-0000-0000FB870000}"/>
    <cellStyle name="Normal 20 3 3 6 3" xfId="42098" xr:uid="{00000000-0005-0000-0000-0000FC870000}"/>
    <cellStyle name="Normal 20 3 3 6 4" xfId="25998" xr:uid="{00000000-0005-0000-0000-0000FD870000}"/>
    <cellStyle name="Normal 20 3 3 6 5" xfId="16429" xr:uid="{00000000-0005-0000-0000-0000FE870000}"/>
    <cellStyle name="Normal 20 3 3 7" xfId="6860" xr:uid="{00000000-0005-0000-0000-0000FF870000}"/>
    <cellStyle name="Normal 20 3 3 7 2" xfId="38601" xr:uid="{00000000-0005-0000-0000-000000880000}"/>
    <cellStyle name="Normal 20 3 3 7 2 2" xfId="54701" xr:uid="{00000000-0005-0000-0000-000001880000}"/>
    <cellStyle name="Normal 20 3 3 7 3" xfId="45134" xr:uid="{00000000-0005-0000-0000-000002880000}"/>
    <cellStyle name="Normal 20 3 3 7 4" xfId="29034" xr:uid="{00000000-0005-0000-0000-000003880000}"/>
    <cellStyle name="Normal 20 3 3 7 5" xfId="19465" xr:uid="{00000000-0005-0000-0000-000004880000}"/>
    <cellStyle name="Normal 20 3 3 8" xfId="9896" xr:uid="{00000000-0005-0000-0000-000005880000}"/>
    <cellStyle name="Normal 20 3 3 8 2" xfId="48170" xr:uid="{00000000-0005-0000-0000-000006880000}"/>
    <cellStyle name="Normal 20 3 3 8 3" xfId="32070" xr:uid="{00000000-0005-0000-0000-000007880000}"/>
    <cellStyle name="Normal 20 3 3 8 4" xfId="22501" xr:uid="{00000000-0005-0000-0000-000008880000}"/>
    <cellStyle name="Normal 20 3 3 9" xfId="3345" xr:uid="{00000000-0005-0000-0000-000009880000}"/>
    <cellStyle name="Normal 20 3 3 9 2" xfId="51186" xr:uid="{00000000-0005-0000-0000-00000A880000}"/>
    <cellStyle name="Normal 20 3 3 9 3" xfId="35086" xr:uid="{00000000-0005-0000-0000-00000B880000}"/>
    <cellStyle name="Normal 20 3 3 9 4" xfId="15950" xr:uid="{00000000-0005-0000-0000-00000C880000}"/>
    <cellStyle name="Normal 20 3 4" xfId="176" xr:uid="{00000000-0005-0000-0000-00000D880000}"/>
    <cellStyle name="Normal 20 3 4 10" xfId="26069" xr:uid="{00000000-0005-0000-0000-00000E880000}"/>
    <cellStyle name="Normal 20 3 4 11" xfId="13005" xr:uid="{00000000-0005-0000-0000-00000F880000}"/>
    <cellStyle name="Normal 20 3 4 2" xfId="353" xr:uid="{00000000-0005-0000-0000-000010880000}"/>
    <cellStyle name="Normal 20 3 4 2 2" xfId="2372" xr:uid="{00000000-0005-0000-0000-000011880000}"/>
    <cellStyle name="Normal 20 3 4 2 2 2" xfId="8906" xr:uid="{00000000-0005-0000-0000-000012880000}"/>
    <cellStyle name="Normal 20 3 4 2 2 2 2" xfId="40647" xr:uid="{00000000-0005-0000-0000-000013880000}"/>
    <cellStyle name="Normal 20 3 4 2 2 2 2 2" xfId="56747" xr:uid="{00000000-0005-0000-0000-000014880000}"/>
    <cellStyle name="Normal 20 3 4 2 2 2 3" xfId="47180" xr:uid="{00000000-0005-0000-0000-000015880000}"/>
    <cellStyle name="Normal 20 3 4 2 2 2 4" xfId="31080" xr:uid="{00000000-0005-0000-0000-000016880000}"/>
    <cellStyle name="Normal 20 3 4 2 2 2 5" xfId="21511" xr:uid="{00000000-0005-0000-0000-000017880000}"/>
    <cellStyle name="Normal 20 3 4 2 2 3" xfId="11942" xr:uid="{00000000-0005-0000-0000-000018880000}"/>
    <cellStyle name="Normal 20 3 4 2 2 3 2" xfId="50216" xr:uid="{00000000-0005-0000-0000-000019880000}"/>
    <cellStyle name="Normal 20 3 4 2 2 3 3" xfId="34116" xr:uid="{00000000-0005-0000-0000-00001A880000}"/>
    <cellStyle name="Normal 20 3 4 2 2 3 4" xfId="24547" xr:uid="{00000000-0005-0000-0000-00001B880000}"/>
    <cellStyle name="Normal 20 3 4 2 2 4" xfId="5870" xr:uid="{00000000-0005-0000-0000-00001C880000}"/>
    <cellStyle name="Normal 20 3 4 2 2 4 2" xfId="53711" xr:uid="{00000000-0005-0000-0000-00001D880000}"/>
    <cellStyle name="Normal 20 3 4 2 2 4 3" xfId="37611" xr:uid="{00000000-0005-0000-0000-00001E880000}"/>
    <cellStyle name="Normal 20 3 4 2 2 4 4" xfId="18475" xr:uid="{00000000-0005-0000-0000-00001F880000}"/>
    <cellStyle name="Normal 20 3 4 2 2 5" xfId="44144" xr:uid="{00000000-0005-0000-0000-000020880000}"/>
    <cellStyle name="Normal 20 3 4 2 2 6" xfId="28044" xr:uid="{00000000-0005-0000-0000-000021880000}"/>
    <cellStyle name="Normal 20 3 4 2 2 7" xfId="14980" xr:uid="{00000000-0005-0000-0000-000022880000}"/>
    <cellStyle name="Normal 20 3 4 2 3" xfId="1584" xr:uid="{00000000-0005-0000-0000-000023880000}"/>
    <cellStyle name="Normal 20 3 4 2 3 2" xfId="8118" xr:uid="{00000000-0005-0000-0000-000024880000}"/>
    <cellStyle name="Normal 20 3 4 2 3 2 2" xfId="39859" xr:uid="{00000000-0005-0000-0000-000025880000}"/>
    <cellStyle name="Normal 20 3 4 2 3 2 2 2" xfId="55959" xr:uid="{00000000-0005-0000-0000-000026880000}"/>
    <cellStyle name="Normal 20 3 4 2 3 2 3" xfId="46392" xr:uid="{00000000-0005-0000-0000-000027880000}"/>
    <cellStyle name="Normal 20 3 4 2 3 2 4" xfId="30292" xr:uid="{00000000-0005-0000-0000-000028880000}"/>
    <cellStyle name="Normal 20 3 4 2 3 2 5" xfId="20723" xr:uid="{00000000-0005-0000-0000-000029880000}"/>
    <cellStyle name="Normal 20 3 4 2 3 3" xfId="11154" xr:uid="{00000000-0005-0000-0000-00002A880000}"/>
    <cellStyle name="Normal 20 3 4 2 3 3 2" xfId="49428" xr:uid="{00000000-0005-0000-0000-00002B880000}"/>
    <cellStyle name="Normal 20 3 4 2 3 3 3" xfId="33328" xr:uid="{00000000-0005-0000-0000-00002C880000}"/>
    <cellStyle name="Normal 20 3 4 2 3 3 4" xfId="23759" xr:uid="{00000000-0005-0000-0000-00002D880000}"/>
    <cellStyle name="Normal 20 3 4 2 3 4" xfId="5082" xr:uid="{00000000-0005-0000-0000-00002E880000}"/>
    <cellStyle name="Normal 20 3 4 2 3 4 2" xfId="52923" xr:uid="{00000000-0005-0000-0000-00002F880000}"/>
    <cellStyle name="Normal 20 3 4 2 3 4 3" xfId="36823" xr:uid="{00000000-0005-0000-0000-000030880000}"/>
    <cellStyle name="Normal 20 3 4 2 3 4 4" xfId="17687" xr:uid="{00000000-0005-0000-0000-000031880000}"/>
    <cellStyle name="Normal 20 3 4 2 3 5" xfId="43356" xr:uid="{00000000-0005-0000-0000-000032880000}"/>
    <cellStyle name="Normal 20 3 4 2 3 6" xfId="27256" xr:uid="{00000000-0005-0000-0000-000033880000}"/>
    <cellStyle name="Normal 20 3 4 2 3 7" xfId="14192" xr:uid="{00000000-0005-0000-0000-000034880000}"/>
    <cellStyle name="Normal 20 3 4 2 4" xfId="7108" xr:uid="{00000000-0005-0000-0000-000035880000}"/>
    <cellStyle name="Normal 20 3 4 2 4 2" xfId="38849" xr:uid="{00000000-0005-0000-0000-000036880000}"/>
    <cellStyle name="Normal 20 3 4 2 4 2 2" xfId="54949" xr:uid="{00000000-0005-0000-0000-000037880000}"/>
    <cellStyle name="Normal 20 3 4 2 4 3" xfId="45382" xr:uid="{00000000-0005-0000-0000-000038880000}"/>
    <cellStyle name="Normal 20 3 4 2 4 4" xfId="29282" xr:uid="{00000000-0005-0000-0000-000039880000}"/>
    <cellStyle name="Normal 20 3 4 2 4 5" xfId="19713" xr:uid="{00000000-0005-0000-0000-00003A880000}"/>
    <cellStyle name="Normal 20 3 4 2 5" xfId="10144" xr:uid="{00000000-0005-0000-0000-00003B880000}"/>
    <cellStyle name="Normal 20 3 4 2 5 2" xfId="48418" xr:uid="{00000000-0005-0000-0000-00003C880000}"/>
    <cellStyle name="Normal 20 3 4 2 5 3" xfId="32318" xr:uid="{00000000-0005-0000-0000-00003D880000}"/>
    <cellStyle name="Normal 20 3 4 2 5 4" xfId="22749" xr:uid="{00000000-0005-0000-0000-00003E880000}"/>
    <cellStyle name="Normal 20 3 4 2 6" xfId="4072" xr:uid="{00000000-0005-0000-0000-00003F880000}"/>
    <cellStyle name="Normal 20 3 4 2 6 2" xfId="51913" xr:uid="{00000000-0005-0000-0000-000040880000}"/>
    <cellStyle name="Normal 20 3 4 2 6 3" xfId="35813" xr:uid="{00000000-0005-0000-0000-000041880000}"/>
    <cellStyle name="Normal 20 3 4 2 6 4" xfId="16677" xr:uid="{00000000-0005-0000-0000-000042880000}"/>
    <cellStyle name="Normal 20 3 4 2 7" xfId="42346" xr:uid="{00000000-0005-0000-0000-000043880000}"/>
    <cellStyle name="Normal 20 3 4 2 8" xfId="26246" xr:uid="{00000000-0005-0000-0000-000044880000}"/>
    <cellStyle name="Normal 20 3 4 2 9" xfId="13182" xr:uid="{00000000-0005-0000-0000-000045880000}"/>
    <cellStyle name="Normal 20 3 4 3" xfId="993" xr:uid="{00000000-0005-0000-0000-000046880000}"/>
    <cellStyle name="Normal 20 3 4 3 2" xfId="3021" xr:uid="{00000000-0005-0000-0000-000047880000}"/>
    <cellStyle name="Normal 20 3 4 3 2 2" xfId="9553" xr:uid="{00000000-0005-0000-0000-000048880000}"/>
    <cellStyle name="Normal 20 3 4 3 2 2 2" xfId="41294" xr:uid="{00000000-0005-0000-0000-000049880000}"/>
    <cellStyle name="Normal 20 3 4 3 2 2 2 2" xfId="57394" xr:uid="{00000000-0005-0000-0000-00004A880000}"/>
    <cellStyle name="Normal 20 3 4 3 2 2 3" xfId="47827" xr:uid="{00000000-0005-0000-0000-00004B880000}"/>
    <cellStyle name="Normal 20 3 4 3 2 2 4" xfId="31727" xr:uid="{00000000-0005-0000-0000-00004C880000}"/>
    <cellStyle name="Normal 20 3 4 3 2 2 5" xfId="22158" xr:uid="{00000000-0005-0000-0000-00004D880000}"/>
    <cellStyle name="Normal 20 3 4 3 2 3" xfId="12589" xr:uid="{00000000-0005-0000-0000-00004E880000}"/>
    <cellStyle name="Normal 20 3 4 3 2 3 2" xfId="50863" xr:uid="{00000000-0005-0000-0000-00004F880000}"/>
    <cellStyle name="Normal 20 3 4 3 2 3 3" xfId="34763" xr:uid="{00000000-0005-0000-0000-000050880000}"/>
    <cellStyle name="Normal 20 3 4 3 2 3 4" xfId="25194" xr:uid="{00000000-0005-0000-0000-000051880000}"/>
    <cellStyle name="Normal 20 3 4 3 2 4" xfId="6517" xr:uid="{00000000-0005-0000-0000-000052880000}"/>
    <cellStyle name="Normal 20 3 4 3 2 4 2" xfId="54358" xr:uid="{00000000-0005-0000-0000-000053880000}"/>
    <cellStyle name="Normal 20 3 4 3 2 4 3" xfId="38258" xr:uid="{00000000-0005-0000-0000-000054880000}"/>
    <cellStyle name="Normal 20 3 4 3 2 4 4" xfId="19122" xr:uid="{00000000-0005-0000-0000-000055880000}"/>
    <cellStyle name="Normal 20 3 4 3 2 5" xfId="44791" xr:uid="{00000000-0005-0000-0000-000056880000}"/>
    <cellStyle name="Normal 20 3 4 3 2 6" xfId="28691" xr:uid="{00000000-0005-0000-0000-000057880000}"/>
    <cellStyle name="Normal 20 3 4 3 2 7" xfId="15627" xr:uid="{00000000-0005-0000-0000-000058880000}"/>
    <cellStyle name="Normal 20 3 4 3 3" xfId="2003" xr:uid="{00000000-0005-0000-0000-000059880000}"/>
    <cellStyle name="Normal 20 3 4 3 3 2" xfId="8537" xr:uid="{00000000-0005-0000-0000-00005A880000}"/>
    <cellStyle name="Normal 20 3 4 3 3 2 2" xfId="40278" xr:uid="{00000000-0005-0000-0000-00005B880000}"/>
    <cellStyle name="Normal 20 3 4 3 3 2 2 2" xfId="56378" xr:uid="{00000000-0005-0000-0000-00005C880000}"/>
    <cellStyle name="Normal 20 3 4 3 3 2 3" xfId="46811" xr:uid="{00000000-0005-0000-0000-00005D880000}"/>
    <cellStyle name="Normal 20 3 4 3 3 2 4" xfId="30711" xr:uid="{00000000-0005-0000-0000-00005E880000}"/>
    <cellStyle name="Normal 20 3 4 3 3 2 5" xfId="21142" xr:uid="{00000000-0005-0000-0000-00005F880000}"/>
    <cellStyle name="Normal 20 3 4 3 3 3" xfId="11573" xr:uid="{00000000-0005-0000-0000-000060880000}"/>
    <cellStyle name="Normal 20 3 4 3 3 3 2" xfId="49847" xr:uid="{00000000-0005-0000-0000-000061880000}"/>
    <cellStyle name="Normal 20 3 4 3 3 3 3" xfId="33747" xr:uid="{00000000-0005-0000-0000-000062880000}"/>
    <cellStyle name="Normal 20 3 4 3 3 3 4" xfId="24178" xr:uid="{00000000-0005-0000-0000-000063880000}"/>
    <cellStyle name="Normal 20 3 4 3 3 4" xfId="5501" xr:uid="{00000000-0005-0000-0000-000064880000}"/>
    <cellStyle name="Normal 20 3 4 3 3 4 2" xfId="53342" xr:uid="{00000000-0005-0000-0000-000065880000}"/>
    <cellStyle name="Normal 20 3 4 3 3 4 3" xfId="37242" xr:uid="{00000000-0005-0000-0000-000066880000}"/>
    <cellStyle name="Normal 20 3 4 3 3 4 4" xfId="18106" xr:uid="{00000000-0005-0000-0000-000067880000}"/>
    <cellStyle name="Normal 20 3 4 3 3 5" xfId="43775" xr:uid="{00000000-0005-0000-0000-000068880000}"/>
    <cellStyle name="Normal 20 3 4 3 3 6" xfId="27675" xr:uid="{00000000-0005-0000-0000-000069880000}"/>
    <cellStyle name="Normal 20 3 4 3 3 7" xfId="14611" xr:uid="{00000000-0005-0000-0000-00006A880000}"/>
    <cellStyle name="Normal 20 3 4 3 4" xfId="7527" xr:uid="{00000000-0005-0000-0000-00006B880000}"/>
    <cellStyle name="Normal 20 3 4 3 4 2" xfId="39268" xr:uid="{00000000-0005-0000-0000-00006C880000}"/>
    <cellStyle name="Normal 20 3 4 3 4 2 2" xfId="55368" xr:uid="{00000000-0005-0000-0000-00006D880000}"/>
    <cellStyle name="Normal 20 3 4 3 4 3" xfId="45801" xr:uid="{00000000-0005-0000-0000-00006E880000}"/>
    <cellStyle name="Normal 20 3 4 3 4 4" xfId="29701" xr:uid="{00000000-0005-0000-0000-00006F880000}"/>
    <cellStyle name="Normal 20 3 4 3 4 5" xfId="20132" xr:uid="{00000000-0005-0000-0000-000070880000}"/>
    <cellStyle name="Normal 20 3 4 3 5" xfId="10563" xr:uid="{00000000-0005-0000-0000-000071880000}"/>
    <cellStyle name="Normal 20 3 4 3 5 2" xfId="48837" xr:uid="{00000000-0005-0000-0000-000072880000}"/>
    <cellStyle name="Normal 20 3 4 3 5 3" xfId="32737" xr:uid="{00000000-0005-0000-0000-000073880000}"/>
    <cellStyle name="Normal 20 3 4 3 5 4" xfId="23168" xr:uid="{00000000-0005-0000-0000-000074880000}"/>
    <cellStyle name="Normal 20 3 4 3 6" xfId="4491" xr:uid="{00000000-0005-0000-0000-000075880000}"/>
    <cellStyle name="Normal 20 3 4 3 6 2" xfId="52332" xr:uid="{00000000-0005-0000-0000-000076880000}"/>
    <cellStyle name="Normal 20 3 4 3 6 3" xfId="36232" xr:uid="{00000000-0005-0000-0000-000077880000}"/>
    <cellStyle name="Normal 20 3 4 3 6 4" xfId="17096" xr:uid="{00000000-0005-0000-0000-000078880000}"/>
    <cellStyle name="Normal 20 3 4 3 7" xfId="42765" xr:uid="{00000000-0005-0000-0000-000079880000}"/>
    <cellStyle name="Normal 20 3 4 3 8" xfId="26665" xr:uid="{00000000-0005-0000-0000-00007A880000}"/>
    <cellStyle name="Normal 20 3 4 3 9" xfId="13601" xr:uid="{00000000-0005-0000-0000-00007B880000}"/>
    <cellStyle name="Normal 20 3 4 4" xfId="2195" xr:uid="{00000000-0005-0000-0000-00007C880000}"/>
    <cellStyle name="Normal 20 3 4 4 2" xfId="8729" xr:uid="{00000000-0005-0000-0000-00007D880000}"/>
    <cellStyle name="Normal 20 3 4 4 2 2" xfId="40470" xr:uid="{00000000-0005-0000-0000-00007E880000}"/>
    <cellStyle name="Normal 20 3 4 4 2 2 2" xfId="56570" xr:uid="{00000000-0005-0000-0000-00007F880000}"/>
    <cellStyle name="Normal 20 3 4 4 2 3" xfId="47003" xr:uid="{00000000-0005-0000-0000-000080880000}"/>
    <cellStyle name="Normal 20 3 4 4 2 4" xfId="30903" xr:uid="{00000000-0005-0000-0000-000081880000}"/>
    <cellStyle name="Normal 20 3 4 4 2 5" xfId="21334" xr:uid="{00000000-0005-0000-0000-000082880000}"/>
    <cellStyle name="Normal 20 3 4 4 3" xfId="11765" xr:uid="{00000000-0005-0000-0000-000083880000}"/>
    <cellStyle name="Normal 20 3 4 4 3 2" xfId="50039" xr:uid="{00000000-0005-0000-0000-000084880000}"/>
    <cellStyle name="Normal 20 3 4 4 3 3" xfId="33939" xr:uid="{00000000-0005-0000-0000-000085880000}"/>
    <cellStyle name="Normal 20 3 4 4 3 4" xfId="24370" xr:uid="{00000000-0005-0000-0000-000086880000}"/>
    <cellStyle name="Normal 20 3 4 4 4" xfId="5693" xr:uid="{00000000-0005-0000-0000-000087880000}"/>
    <cellStyle name="Normal 20 3 4 4 4 2" xfId="53534" xr:uid="{00000000-0005-0000-0000-000088880000}"/>
    <cellStyle name="Normal 20 3 4 4 4 3" xfId="37434" xr:uid="{00000000-0005-0000-0000-000089880000}"/>
    <cellStyle name="Normal 20 3 4 4 4 4" xfId="18298" xr:uid="{00000000-0005-0000-0000-00008A880000}"/>
    <cellStyle name="Normal 20 3 4 4 5" xfId="43967" xr:uid="{00000000-0005-0000-0000-00008B880000}"/>
    <cellStyle name="Normal 20 3 4 4 6" xfId="27867" xr:uid="{00000000-0005-0000-0000-00008C880000}"/>
    <cellStyle name="Normal 20 3 4 4 7" xfId="14803" xr:uid="{00000000-0005-0000-0000-00008D880000}"/>
    <cellStyle name="Normal 20 3 4 5" xfId="1407" xr:uid="{00000000-0005-0000-0000-00008E880000}"/>
    <cellStyle name="Normal 20 3 4 5 2" xfId="7941" xr:uid="{00000000-0005-0000-0000-00008F880000}"/>
    <cellStyle name="Normal 20 3 4 5 2 2" xfId="39682" xr:uid="{00000000-0005-0000-0000-000090880000}"/>
    <cellStyle name="Normal 20 3 4 5 2 2 2" xfId="55782" xr:uid="{00000000-0005-0000-0000-000091880000}"/>
    <cellStyle name="Normal 20 3 4 5 2 3" xfId="46215" xr:uid="{00000000-0005-0000-0000-000092880000}"/>
    <cellStyle name="Normal 20 3 4 5 2 4" xfId="30115" xr:uid="{00000000-0005-0000-0000-000093880000}"/>
    <cellStyle name="Normal 20 3 4 5 2 5" xfId="20546" xr:uid="{00000000-0005-0000-0000-000094880000}"/>
    <cellStyle name="Normal 20 3 4 5 3" xfId="10977" xr:uid="{00000000-0005-0000-0000-000095880000}"/>
    <cellStyle name="Normal 20 3 4 5 3 2" xfId="49251" xr:uid="{00000000-0005-0000-0000-000096880000}"/>
    <cellStyle name="Normal 20 3 4 5 3 3" xfId="33151" xr:uid="{00000000-0005-0000-0000-000097880000}"/>
    <cellStyle name="Normal 20 3 4 5 3 4" xfId="23582" xr:uid="{00000000-0005-0000-0000-000098880000}"/>
    <cellStyle name="Normal 20 3 4 5 4" xfId="4905" xr:uid="{00000000-0005-0000-0000-000099880000}"/>
    <cellStyle name="Normal 20 3 4 5 4 2" xfId="52746" xr:uid="{00000000-0005-0000-0000-00009A880000}"/>
    <cellStyle name="Normal 20 3 4 5 4 3" xfId="36646" xr:uid="{00000000-0005-0000-0000-00009B880000}"/>
    <cellStyle name="Normal 20 3 4 5 4 4" xfId="17510" xr:uid="{00000000-0005-0000-0000-00009C880000}"/>
    <cellStyle name="Normal 20 3 4 5 5" xfId="43179" xr:uid="{00000000-0005-0000-0000-00009D880000}"/>
    <cellStyle name="Normal 20 3 4 5 6" xfId="27079" xr:uid="{00000000-0005-0000-0000-00009E880000}"/>
    <cellStyle name="Normal 20 3 4 5 7" xfId="14015" xr:uid="{00000000-0005-0000-0000-00009F880000}"/>
    <cellStyle name="Normal 20 3 4 6" xfId="6931" xr:uid="{00000000-0005-0000-0000-0000A0880000}"/>
    <cellStyle name="Normal 20 3 4 6 2" xfId="38672" xr:uid="{00000000-0005-0000-0000-0000A1880000}"/>
    <cellStyle name="Normal 20 3 4 6 2 2" xfId="54772" xr:uid="{00000000-0005-0000-0000-0000A2880000}"/>
    <cellStyle name="Normal 20 3 4 6 3" xfId="45205" xr:uid="{00000000-0005-0000-0000-0000A3880000}"/>
    <cellStyle name="Normal 20 3 4 6 4" xfId="29105" xr:uid="{00000000-0005-0000-0000-0000A4880000}"/>
    <cellStyle name="Normal 20 3 4 6 5" xfId="19536" xr:uid="{00000000-0005-0000-0000-0000A5880000}"/>
    <cellStyle name="Normal 20 3 4 7" xfId="9967" xr:uid="{00000000-0005-0000-0000-0000A6880000}"/>
    <cellStyle name="Normal 20 3 4 7 2" xfId="48241" xr:uid="{00000000-0005-0000-0000-0000A7880000}"/>
    <cellStyle name="Normal 20 3 4 7 3" xfId="32141" xr:uid="{00000000-0005-0000-0000-0000A8880000}"/>
    <cellStyle name="Normal 20 3 4 7 4" xfId="22572" xr:uid="{00000000-0005-0000-0000-0000A9880000}"/>
    <cellStyle name="Normal 20 3 4 8" xfId="3895" xr:uid="{00000000-0005-0000-0000-0000AA880000}"/>
    <cellStyle name="Normal 20 3 4 8 2" xfId="51736" xr:uid="{00000000-0005-0000-0000-0000AB880000}"/>
    <cellStyle name="Normal 20 3 4 8 3" xfId="35636" xr:uid="{00000000-0005-0000-0000-0000AC880000}"/>
    <cellStyle name="Normal 20 3 4 8 4" xfId="16500" xr:uid="{00000000-0005-0000-0000-0000AD880000}"/>
    <cellStyle name="Normal 20 3 4 9" xfId="42169" xr:uid="{00000000-0005-0000-0000-0000AE880000}"/>
    <cellStyle name="Normal 20 3 5" xfId="247" xr:uid="{00000000-0005-0000-0000-0000AF880000}"/>
    <cellStyle name="Normal 20 3 5 2" xfId="2266" xr:uid="{00000000-0005-0000-0000-0000B0880000}"/>
    <cellStyle name="Normal 20 3 5 2 2" xfId="8800" xr:uid="{00000000-0005-0000-0000-0000B1880000}"/>
    <cellStyle name="Normal 20 3 5 2 2 2" xfId="40541" xr:uid="{00000000-0005-0000-0000-0000B2880000}"/>
    <cellStyle name="Normal 20 3 5 2 2 2 2" xfId="56641" xr:uid="{00000000-0005-0000-0000-0000B3880000}"/>
    <cellStyle name="Normal 20 3 5 2 2 3" xfId="47074" xr:uid="{00000000-0005-0000-0000-0000B4880000}"/>
    <cellStyle name="Normal 20 3 5 2 2 4" xfId="30974" xr:uid="{00000000-0005-0000-0000-0000B5880000}"/>
    <cellStyle name="Normal 20 3 5 2 2 5" xfId="21405" xr:uid="{00000000-0005-0000-0000-0000B6880000}"/>
    <cellStyle name="Normal 20 3 5 2 3" xfId="11836" xr:uid="{00000000-0005-0000-0000-0000B7880000}"/>
    <cellStyle name="Normal 20 3 5 2 3 2" xfId="50110" xr:uid="{00000000-0005-0000-0000-0000B8880000}"/>
    <cellStyle name="Normal 20 3 5 2 3 3" xfId="34010" xr:uid="{00000000-0005-0000-0000-0000B9880000}"/>
    <cellStyle name="Normal 20 3 5 2 3 4" xfId="24441" xr:uid="{00000000-0005-0000-0000-0000BA880000}"/>
    <cellStyle name="Normal 20 3 5 2 4" xfId="5764" xr:uid="{00000000-0005-0000-0000-0000BB880000}"/>
    <cellStyle name="Normal 20 3 5 2 4 2" xfId="53605" xr:uid="{00000000-0005-0000-0000-0000BC880000}"/>
    <cellStyle name="Normal 20 3 5 2 4 3" xfId="37505" xr:uid="{00000000-0005-0000-0000-0000BD880000}"/>
    <cellStyle name="Normal 20 3 5 2 4 4" xfId="18369" xr:uid="{00000000-0005-0000-0000-0000BE880000}"/>
    <cellStyle name="Normal 20 3 5 2 5" xfId="44038" xr:uid="{00000000-0005-0000-0000-0000BF880000}"/>
    <cellStyle name="Normal 20 3 5 2 6" xfId="27938" xr:uid="{00000000-0005-0000-0000-0000C0880000}"/>
    <cellStyle name="Normal 20 3 5 2 7" xfId="14874" xr:uid="{00000000-0005-0000-0000-0000C1880000}"/>
    <cellStyle name="Normal 20 3 5 3" xfId="1478" xr:uid="{00000000-0005-0000-0000-0000C2880000}"/>
    <cellStyle name="Normal 20 3 5 3 2" xfId="8012" xr:uid="{00000000-0005-0000-0000-0000C3880000}"/>
    <cellStyle name="Normal 20 3 5 3 2 2" xfId="39753" xr:uid="{00000000-0005-0000-0000-0000C4880000}"/>
    <cellStyle name="Normal 20 3 5 3 2 2 2" xfId="55853" xr:uid="{00000000-0005-0000-0000-0000C5880000}"/>
    <cellStyle name="Normal 20 3 5 3 2 3" xfId="46286" xr:uid="{00000000-0005-0000-0000-0000C6880000}"/>
    <cellStyle name="Normal 20 3 5 3 2 4" xfId="30186" xr:uid="{00000000-0005-0000-0000-0000C7880000}"/>
    <cellStyle name="Normal 20 3 5 3 2 5" xfId="20617" xr:uid="{00000000-0005-0000-0000-0000C8880000}"/>
    <cellStyle name="Normal 20 3 5 3 3" xfId="11048" xr:uid="{00000000-0005-0000-0000-0000C9880000}"/>
    <cellStyle name="Normal 20 3 5 3 3 2" xfId="49322" xr:uid="{00000000-0005-0000-0000-0000CA880000}"/>
    <cellStyle name="Normal 20 3 5 3 3 3" xfId="33222" xr:uid="{00000000-0005-0000-0000-0000CB880000}"/>
    <cellStyle name="Normal 20 3 5 3 3 4" xfId="23653" xr:uid="{00000000-0005-0000-0000-0000CC880000}"/>
    <cellStyle name="Normal 20 3 5 3 4" xfId="4976" xr:uid="{00000000-0005-0000-0000-0000CD880000}"/>
    <cellStyle name="Normal 20 3 5 3 4 2" xfId="52817" xr:uid="{00000000-0005-0000-0000-0000CE880000}"/>
    <cellStyle name="Normal 20 3 5 3 4 3" xfId="36717" xr:uid="{00000000-0005-0000-0000-0000CF880000}"/>
    <cellStyle name="Normal 20 3 5 3 4 4" xfId="17581" xr:uid="{00000000-0005-0000-0000-0000D0880000}"/>
    <cellStyle name="Normal 20 3 5 3 5" xfId="43250" xr:uid="{00000000-0005-0000-0000-0000D1880000}"/>
    <cellStyle name="Normal 20 3 5 3 6" xfId="27150" xr:uid="{00000000-0005-0000-0000-0000D2880000}"/>
    <cellStyle name="Normal 20 3 5 3 7" xfId="14086" xr:uid="{00000000-0005-0000-0000-0000D3880000}"/>
    <cellStyle name="Normal 20 3 5 4" xfId="7002" xr:uid="{00000000-0005-0000-0000-0000D4880000}"/>
    <cellStyle name="Normal 20 3 5 4 2" xfId="38743" xr:uid="{00000000-0005-0000-0000-0000D5880000}"/>
    <cellStyle name="Normal 20 3 5 4 2 2" xfId="54843" xr:uid="{00000000-0005-0000-0000-0000D6880000}"/>
    <cellStyle name="Normal 20 3 5 4 3" xfId="45276" xr:uid="{00000000-0005-0000-0000-0000D7880000}"/>
    <cellStyle name="Normal 20 3 5 4 4" xfId="29176" xr:uid="{00000000-0005-0000-0000-0000D8880000}"/>
    <cellStyle name="Normal 20 3 5 4 5" xfId="19607" xr:uid="{00000000-0005-0000-0000-0000D9880000}"/>
    <cellStyle name="Normal 20 3 5 5" xfId="10038" xr:uid="{00000000-0005-0000-0000-0000DA880000}"/>
    <cellStyle name="Normal 20 3 5 5 2" xfId="48312" xr:uid="{00000000-0005-0000-0000-0000DB880000}"/>
    <cellStyle name="Normal 20 3 5 5 3" xfId="32212" xr:uid="{00000000-0005-0000-0000-0000DC880000}"/>
    <cellStyle name="Normal 20 3 5 5 4" xfId="22643" xr:uid="{00000000-0005-0000-0000-0000DD880000}"/>
    <cellStyle name="Normal 20 3 5 6" xfId="3966" xr:uid="{00000000-0005-0000-0000-0000DE880000}"/>
    <cellStyle name="Normal 20 3 5 6 2" xfId="51807" xr:uid="{00000000-0005-0000-0000-0000DF880000}"/>
    <cellStyle name="Normal 20 3 5 6 3" xfId="35707" xr:uid="{00000000-0005-0000-0000-0000E0880000}"/>
    <cellStyle name="Normal 20 3 5 6 4" xfId="16571" xr:uid="{00000000-0005-0000-0000-0000E1880000}"/>
    <cellStyle name="Normal 20 3 5 7" xfId="42240" xr:uid="{00000000-0005-0000-0000-0000E2880000}"/>
    <cellStyle name="Normal 20 3 5 8" xfId="26140" xr:uid="{00000000-0005-0000-0000-0000E3880000}"/>
    <cellStyle name="Normal 20 3 5 9" xfId="13076" xr:uid="{00000000-0005-0000-0000-0000E4880000}"/>
    <cellStyle name="Normal 20 3 6" xfId="522" xr:uid="{00000000-0005-0000-0000-0000E5880000}"/>
    <cellStyle name="Normal 20 3 6 2" xfId="2552" xr:uid="{00000000-0005-0000-0000-0000E6880000}"/>
    <cellStyle name="Normal 20 3 6 2 2" xfId="9084" xr:uid="{00000000-0005-0000-0000-0000E7880000}"/>
    <cellStyle name="Normal 20 3 6 2 2 2" xfId="40825" xr:uid="{00000000-0005-0000-0000-0000E8880000}"/>
    <cellStyle name="Normal 20 3 6 2 2 2 2" xfId="56925" xr:uid="{00000000-0005-0000-0000-0000E9880000}"/>
    <cellStyle name="Normal 20 3 6 2 2 3" xfId="47358" xr:uid="{00000000-0005-0000-0000-0000EA880000}"/>
    <cellStyle name="Normal 20 3 6 2 2 4" xfId="31258" xr:uid="{00000000-0005-0000-0000-0000EB880000}"/>
    <cellStyle name="Normal 20 3 6 2 2 5" xfId="21689" xr:uid="{00000000-0005-0000-0000-0000EC880000}"/>
    <cellStyle name="Normal 20 3 6 2 3" xfId="12120" xr:uid="{00000000-0005-0000-0000-0000ED880000}"/>
    <cellStyle name="Normal 20 3 6 2 3 2" xfId="50394" xr:uid="{00000000-0005-0000-0000-0000EE880000}"/>
    <cellStyle name="Normal 20 3 6 2 3 3" xfId="34294" xr:uid="{00000000-0005-0000-0000-0000EF880000}"/>
    <cellStyle name="Normal 20 3 6 2 3 4" xfId="24725" xr:uid="{00000000-0005-0000-0000-0000F0880000}"/>
    <cellStyle name="Normal 20 3 6 2 4" xfId="6048" xr:uid="{00000000-0005-0000-0000-0000F1880000}"/>
    <cellStyle name="Normal 20 3 6 2 4 2" xfId="53889" xr:uid="{00000000-0005-0000-0000-0000F2880000}"/>
    <cellStyle name="Normal 20 3 6 2 4 3" xfId="37789" xr:uid="{00000000-0005-0000-0000-0000F3880000}"/>
    <cellStyle name="Normal 20 3 6 2 4 4" xfId="18653" xr:uid="{00000000-0005-0000-0000-0000F4880000}"/>
    <cellStyle name="Normal 20 3 6 2 5" xfId="44322" xr:uid="{00000000-0005-0000-0000-0000F5880000}"/>
    <cellStyle name="Normal 20 3 6 2 6" xfId="28222" xr:uid="{00000000-0005-0000-0000-0000F6880000}"/>
    <cellStyle name="Normal 20 3 6 2 7" xfId="15158" xr:uid="{00000000-0005-0000-0000-0000F7880000}"/>
    <cellStyle name="Normal 20 3 6 3" xfId="1301" xr:uid="{00000000-0005-0000-0000-0000F8880000}"/>
    <cellStyle name="Normal 20 3 6 3 2" xfId="7835" xr:uid="{00000000-0005-0000-0000-0000F9880000}"/>
    <cellStyle name="Normal 20 3 6 3 2 2" xfId="39576" xr:uid="{00000000-0005-0000-0000-0000FA880000}"/>
    <cellStyle name="Normal 20 3 6 3 2 2 2" xfId="55676" xr:uid="{00000000-0005-0000-0000-0000FB880000}"/>
    <cellStyle name="Normal 20 3 6 3 2 3" xfId="46109" xr:uid="{00000000-0005-0000-0000-0000FC880000}"/>
    <cellStyle name="Normal 20 3 6 3 2 4" xfId="30009" xr:uid="{00000000-0005-0000-0000-0000FD880000}"/>
    <cellStyle name="Normal 20 3 6 3 2 5" xfId="20440" xr:uid="{00000000-0005-0000-0000-0000FE880000}"/>
    <cellStyle name="Normal 20 3 6 3 3" xfId="10871" xr:uid="{00000000-0005-0000-0000-0000FF880000}"/>
    <cellStyle name="Normal 20 3 6 3 3 2" xfId="49145" xr:uid="{00000000-0005-0000-0000-000000890000}"/>
    <cellStyle name="Normal 20 3 6 3 3 3" xfId="33045" xr:uid="{00000000-0005-0000-0000-000001890000}"/>
    <cellStyle name="Normal 20 3 6 3 3 4" xfId="23476" xr:uid="{00000000-0005-0000-0000-000002890000}"/>
    <cellStyle name="Normal 20 3 6 3 4" xfId="4799" xr:uid="{00000000-0005-0000-0000-000003890000}"/>
    <cellStyle name="Normal 20 3 6 3 4 2" xfId="52640" xr:uid="{00000000-0005-0000-0000-000004890000}"/>
    <cellStyle name="Normal 20 3 6 3 4 3" xfId="36540" xr:uid="{00000000-0005-0000-0000-000005890000}"/>
    <cellStyle name="Normal 20 3 6 3 4 4" xfId="17404" xr:uid="{00000000-0005-0000-0000-000006890000}"/>
    <cellStyle name="Normal 20 3 6 3 5" xfId="43073" xr:uid="{00000000-0005-0000-0000-000007890000}"/>
    <cellStyle name="Normal 20 3 6 3 6" xfId="26973" xr:uid="{00000000-0005-0000-0000-000008890000}"/>
    <cellStyle name="Normal 20 3 6 3 7" xfId="13909" xr:uid="{00000000-0005-0000-0000-000009890000}"/>
    <cellStyle name="Normal 20 3 6 4" xfId="6825" xr:uid="{00000000-0005-0000-0000-00000A890000}"/>
    <cellStyle name="Normal 20 3 6 4 2" xfId="38566" xr:uid="{00000000-0005-0000-0000-00000B890000}"/>
    <cellStyle name="Normal 20 3 6 4 2 2" xfId="54666" xr:uid="{00000000-0005-0000-0000-00000C890000}"/>
    <cellStyle name="Normal 20 3 6 4 3" xfId="45099" xr:uid="{00000000-0005-0000-0000-00000D890000}"/>
    <cellStyle name="Normal 20 3 6 4 4" xfId="28999" xr:uid="{00000000-0005-0000-0000-00000E890000}"/>
    <cellStyle name="Normal 20 3 6 4 5" xfId="19430" xr:uid="{00000000-0005-0000-0000-00000F890000}"/>
    <cellStyle name="Normal 20 3 6 5" xfId="9861" xr:uid="{00000000-0005-0000-0000-000010890000}"/>
    <cellStyle name="Normal 20 3 6 5 2" xfId="48135" xr:uid="{00000000-0005-0000-0000-000011890000}"/>
    <cellStyle name="Normal 20 3 6 5 3" xfId="32035" xr:uid="{00000000-0005-0000-0000-000012890000}"/>
    <cellStyle name="Normal 20 3 6 5 4" xfId="22466" xr:uid="{00000000-0005-0000-0000-000013890000}"/>
    <cellStyle name="Normal 20 3 6 6" xfId="3789" xr:uid="{00000000-0005-0000-0000-000014890000}"/>
    <cellStyle name="Normal 20 3 6 6 2" xfId="51630" xr:uid="{00000000-0005-0000-0000-000015890000}"/>
    <cellStyle name="Normal 20 3 6 6 3" xfId="35530" xr:uid="{00000000-0005-0000-0000-000016890000}"/>
    <cellStyle name="Normal 20 3 6 6 4" xfId="16394" xr:uid="{00000000-0005-0000-0000-000017890000}"/>
    <cellStyle name="Normal 20 3 6 7" xfId="42063" xr:uid="{00000000-0005-0000-0000-000018890000}"/>
    <cellStyle name="Normal 20 3 6 8" xfId="25963" xr:uid="{00000000-0005-0000-0000-000019890000}"/>
    <cellStyle name="Normal 20 3 6 9" xfId="12899" xr:uid="{00000000-0005-0000-0000-00001A890000}"/>
    <cellStyle name="Normal 20 3 7" xfId="752" xr:uid="{00000000-0005-0000-0000-00001B890000}"/>
    <cellStyle name="Normal 20 3 7 2" xfId="2780" xr:uid="{00000000-0005-0000-0000-00001C890000}"/>
    <cellStyle name="Normal 20 3 7 2 2" xfId="9312" xr:uid="{00000000-0005-0000-0000-00001D890000}"/>
    <cellStyle name="Normal 20 3 7 2 2 2" xfId="41053" xr:uid="{00000000-0005-0000-0000-00001E890000}"/>
    <cellStyle name="Normal 20 3 7 2 2 2 2" xfId="57153" xr:uid="{00000000-0005-0000-0000-00001F890000}"/>
    <cellStyle name="Normal 20 3 7 2 2 3" xfId="47586" xr:uid="{00000000-0005-0000-0000-000020890000}"/>
    <cellStyle name="Normal 20 3 7 2 2 4" xfId="31486" xr:uid="{00000000-0005-0000-0000-000021890000}"/>
    <cellStyle name="Normal 20 3 7 2 2 5" xfId="21917" xr:uid="{00000000-0005-0000-0000-000022890000}"/>
    <cellStyle name="Normal 20 3 7 2 3" xfId="12348" xr:uid="{00000000-0005-0000-0000-000023890000}"/>
    <cellStyle name="Normal 20 3 7 2 3 2" xfId="50622" xr:uid="{00000000-0005-0000-0000-000024890000}"/>
    <cellStyle name="Normal 20 3 7 2 3 3" xfId="34522" xr:uid="{00000000-0005-0000-0000-000025890000}"/>
    <cellStyle name="Normal 20 3 7 2 3 4" xfId="24953" xr:uid="{00000000-0005-0000-0000-000026890000}"/>
    <cellStyle name="Normal 20 3 7 2 4" xfId="6276" xr:uid="{00000000-0005-0000-0000-000027890000}"/>
    <cellStyle name="Normal 20 3 7 2 4 2" xfId="54117" xr:uid="{00000000-0005-0000-0000-000028890000}"/>
    <cellStyle name="Normal 20 3 7 2 4 3" xfId="38017" xr:uid="{00000000-0005-0000-0000-000029890000}"/>
    <cellStyle name="Normal 20 3 7 2 4 4" xfId="18881" xr:uid="{00000000-0005-0000-0000-00002A890000}"/>
    <cellStyle name="Normal 20 3 7 2 5" xfId="44550" xr:uid="{00000000-0005-0000-0000-00002B890000}"/>
    <cellStyle name="Normal 20 3 7 2 6" xfId="28450" xr:uid="{00000000-0005-0000-0000-00002C890000}"/>
    <cellStyle name="Normal 20 3 7 2 7" xfId="15386" xr:uid="{00000000-0005-0000-0000-00002D890000}"/>
    <cellStyle name="Normal 20 3 7 3" xfId="1762" xr:uid="{00000000-0005-0000-0000-00002E890000}"/>
    <cellStyle name="Normal 20 3 7 3 2" xfId="8296" xr:uid="{00000000-0005-0000-0000-00002F890000}"/>
    <cellStyle name="Normal 20 3 7 3 2 2" xfId="40037" xr:uid="{00000000-0005-0000-0000-000030890000}"/>
    <cellStyle name="Normal 20 3 7 3 2 2 2" xfId="56137" xr:uid="{00000000-0005-0000-0000-000031890000}"/>
    <cellStyle name="Normal 20 3 7 3 2 3" xfId="46570" xr:uid="{00000000-0005-0000-0000-000032890000}"/>
    <cellStyle name="Normal 20 3 7 3 2 4" xfId="30470" xr:uid="{00000000-0005-0000-0000-000033890000}"/>
    <cellStyle name="Normal 20 3 7 3 2 5" xfId="20901" xr:uid="{00000000-0005-0000-0000-000034890000}"/>
    <cellStyle name="Normal 20 3 7 3 3" xfId="11332" xr:uid="{00000000-0005-0000-0000-000035890000}"/>
    <cellStyle name="Normal 20 3 7 3 3 2" xfId="49606" xr:uid="{00000000-0005-0000-0000-000036890000}"/>
    <cellStyle name="Normal 20 3 7 3 3 3" xfId="33506" xr:uid="{00000000-0005-0000-0000-000037890000}"/>
    <cellStyle name="Normal 20 3 7 3 3 4" xfId="23937" xr:uid="{00000000-0005-0000-0000-000038890000}"/>
    <cellStyle name="Normal 20 3 7 3 4" xfId="5260" xr:uid="{00000000-0005-0000-0000-000039890000}"/>
    <cellStyle name="Normal 20 3 7 3 4 2" xfId="53101" xr:uid="{00000000-0005-0000-0000-00003A890000}"/>
    <cellStyle name="Normal 20 3 7 3 4 3" xfId="37001" xr:uid="{00000000-0005-0000-0000-00003B890000}"/>
    <cellStyle name="Normal 20 3 7 3 4 4" xfId="17865" xr:uid="{00000000-0005-0000-0000-00003C890000}"/>
    <cellStyle name="Normal 20 3 7 3 5" xfId="43534" xr:uid="{00000000-0005-0000-0000-00003D890000}"/>
    <cellStyle name="Normal 20 3 7 3 6" xfId="27434" xr:uid="{00000000-0005-0000-0000-00003E890000}"/>
    <cellStyle name="Normal 20 3 7 3 7" xfId="14370" xr:uid="{00000000-0005-0000-0000-00003F890000}"/>
    <cellStyle name="Normal 20 3 7 4" xfId="7286" xr:uid="{00000000-0005-0000-0000-000040890000}"/>
    <cellStyle name="Normal 20 3 7 4 2" xfId="39027" xr:uid="{00000000-0005-0000-0000-000041890000}"/>
    <cellStyle name="Normal 20 3 7 4 2 2" xfId="55127" xr:uid="{00000000-0005-0000-0000-000042890000}"/>
    <cellStyle name="Normal 20 3 7 4 3" xfId="45560" xr:uid="{00000000-0005-0000-0000-000043890000}"/>
    <cellStyle name="Normal 20 3 7 4 4" xfId="29460" xr:uid="{00000000-0005-0000-0000-000044890000}"/>
    <cellStyle name="Normal 20 3 7 4 5" xfId="19891" xr:uid="{00000000-0005-0000-0000-000045890000}"/>
    <cellStyle name="Normal 20 3 7 5" xfId="10322" xr:uid="{00000000-0005-0000-0000-000046890000}"/>
    <cellStyle name="Normal 20 3 7 5 2" xfId="48596" xr:uid="{00000000-0005-0000-0000-000047890000}"/>
    <cellStyle name="Normal 20 3 7 5 3" xfId="32496" xr:uid="{00000000-0005-0000-0000-000048890000}"/>
    <cellStyle name="Normal 20 3 7 5 4" xfId="22927" xr:uid="{00000000-0005-0000-0000-000049890000}"/>
    <cellStyle name="Normal 20 3 7 6" xfId="4250" xr:uid="{00000000-0005-0000-0000-00004A890000}"/>
    <cellStyle name="Normal 20 3 7 6 2" xfId="52091" xr:uid="{00000000-0005-0000-0000-00004B890000}"/>
    <cellStyle name="Normal 20 3 7 6 3" xfId="35991" xr:uid="{00000000-0005-0000-0000-00004C890000}"/>
    <cellStyle name="Normal 20 3 7 6 4" xfId="16855" xr:uid="{00000000-0005-0000-0000-00004D890000}"/>
    <cellStyle name="Normal 20 3 7 7" xfId="42524" xr:uid="{00000000-0005-0000-0000-00004E890000}"/>
    <cellStyle name="Normal 20 3 7 8" xfId="26424" xr:uid="{00000000-0005-0000-0000-00004F890000}"/>
    <cellStyle name="Normal 20 3 7 9" xfId="13360" xr:uid="{00000000-0005-0000-0000-000050890000}"/>
    <cellStyle name="Normal 20 3 8" xfId="2089" xr:uid="{00000000-0005-0000-0000-000051890000}"/>
    <cellStyle name="Normal 20 3 8 2" xfId="8623" xr:uid="{00000000-0005-0000-0000-000052890000}"/>
    <cellStyle name="Normal 20 3 8 2 2" xfId="40364" xr:uid="{00000000-0005-0000-0000-000053890000}"/>
    <cellStyle name="Normal 20 3 8 2 2 2" xfId="56464" xr:uid="{00000000-0005-0000-0000-000054890000}"/>
    <cellStyle name="Normal 20 3 8 2 3" xfId="46897" xr:uid="{00000000-0005-0000-0000-000055890000}"/>
    <cellStyle name="Normal 20 3 8 2 4" xfId="30797" xr:uid="{00000000-0005-0000-0000-000056890000}"/>
    <cellStyle name="Normal 20 3 8 2 5" xfId="21228" xr:uid="{00000000-0005-0000-0000-000057890000}"/>
    <cellStyle name="Normal 20 3 8 3" xfId="11659" xr:uid="{00000000-0005-0000-0000-000058890000}"/>
    <cellStyle name="Normal 20 3 8 3 2" xfId="49933" xr:uid="{00000000-0005-0000-0000-000059890000}"/>
    <cellStyle name="Normal 20 3 8 3 3" xfId="33833" xr:uid="{00000000-0005-0000-0000-00005A890000}"/>
    <cellStyle name="Normal 20 3 8 3 4" xfId="24264" xr:uid="{00000000-0005-0000-0000-00005B890000}"/>
    <cellStyle name="Normal 20 3 8 4" xfId="5587" xr:uid="{00000000-0005-0000-0000-00005C890000}"/>
    <cellStyle name="Normal 20 3 8 4 2" xfId="53428" xr:uid="{00000000-0005-0000-0000-00005D890000}"/>
    <cellStyle name="Normal 20 3 8 4 3" xfId="37328" xr:uid="{00000000-0005-0000-0000-00005E890000}"/>
    <cellStyle name="Normal 20 3 8 4 4" xfId="18192" xr:uid="{00000000-0005-0000-0000-00005F890000}"/>
    <cellStyle name="Normal 20 3 8 5" xfId="43861" xr:uid="{00000000-0005-0000-0000-000060890000}"/>
    <cellStyle name="Normal 20 3 8 6" xfId="27761" xr:uid="{00000000-0005-0000-0000-000061890000}"/>
    <cellStyle name="Normal 20 3 8 7" xfId="14697" xr:uid="{00000000-0005-0000-0000-000062890000}"/>
    <cellStyle name="Normal 20 3 9" xfId="1079" xr:uid="{00000000-0005-0000-0000-000063890000}"/>
    <cellStyle name="Normal 20 3 9 2" xfId="7613" xr:uid="{00000000-0005-0000-0000-000064890000}"/>
    <cellStyle name="Normal 20 3 9 2 2" xfId="39354" xr:uid="{00000000-0005-0000-0000-000065890000}"/>
    <cellStyle name="Normal 20 3 9 2 2 2" xfId="55454" xr:uid="{00000000-0005-0000-0000-000066890000}"/>
    <cellStyle name="Normal 20 3 9 2 3" xfId="45887" xr:uid="{00000000-0005-0000-0000-000067890000}"/>
    <cellStyle name="Normal 20 3 9 2 4" xfId="29787" xr:uid="{00000000-0005-0000-0000-000068890000}"/>
    <cellStyle name="Normal 20 3 9 2 5" xfId="20218" xr:uid="{00000000-0005-0000-0000-000069890000}"/>
    <cellStyle name="Normal 20 3 9 3" xfId="10649" xr:uid="{00000000-0005-0000-0000-00006A890000}"/>
    <cellStyle name="Normal 20 3 9 3 2" xfId="48923" xr:uid="{00000000-0005-0000-0000-00006B890000}"/>
    <cellStyle name="Normal 20 3 9 3 3" xfId="32823" xr:uid="{00000000-0005-0000-0000-00006C890000}"/>
    <cellStyle name="Normal 20 3 9 3 4" xfId="23254" xr:uid="{00000000-0005-0000-0000-00006D890000}"/>
    <cellStyle name="Normal 20 3 9 4" xfId="4577" xr:uid="{00000000-0005-0000-0000-00006E890000}"/>
    <cellStyle name="Normal 20 3 9 4 2" xfId="52418" xr:uid="{00000000-0005-0000-0000-00006F890000}"/>
    <cellStyle name="Normal 20 3 9 4 3" xfId="36318" xr:uid="{00000000-0005-0000-0000-000070890000}"/>
    <cellStyle name="Normal 20 3 9 4 4" xfId="17182" xr:uid="{00000000-0005-0000-0000-000071890000}"/>
    <cellStyle name="Normal 20 3 9 5" xfId="42851" xr:uid="{00000000-0005-0000-0000-000072890000}"/>
    <cellStyle name="Normal 20 3 9 6" xfId="26751" xr:uid="{00000000-0005-0000-0000-000073890000}"/>
    <cellStyle name="Normal 20 3 9 7" xfId="13687" xr:uid="{00000000-0005-0000-0000-000074890000}"/>
    <cellStyle name="Normal 20 4" xfId="119" xr:uid="{00000000-0005-0000-0000-000075890000}"/>
    <cellStyle name="Normal 20 4 10" xfId="9709" xr:uid="{00000000-0005-0000-0000-000076890000}"/>
    <cellStyle name="Normal 20 4 10 2" xfId="47983" xr:uid="{00000000-0005-0000-0000-000077890000}"/>
    <cellStyle name="Normal 20 4 10 3" xfId="31883" xr:uid="{00000000-0005-0000-0000-000078890000}"/>
    <cellStyle name="Normal 20 4 10 4" xfId="22314" xr:uid="{00000000-0005-0000-0000-000079890000}"/>
    <cellStyle name="Normal 20 4 11" xfId="3177" xr:uid="{00000000-0005-0000-0000-00007A890000}"/>
    <cellStyle name="Normal 20 4 11 2" xfId="51019" xr:uid="{00000000-0005-0000-0000-00007B890000}"/>
    <cellStyle name="Normal 20 4 11 3" xfId="34919" xr:uid="{00000000-0005-0000-0000-00007C890000}"/>
    <cellStyle name="Normal 20 4 11 4" xfId="15783" xr:uid="{00000000-0005-0000-0000-00007D890000}"/>
    <cellStyle name="Normal 20 4 12" xfId="41452" xr:uid="{00000000-0005-0000-0000-00007E890000}"/>
    <cellStyle name="Normal 20 4 13" xfId="25352" xr:uid="{00000000-0005-0000-0000-00007F890000}"/>
    <cellStyle name="Normal 20 4 14" xfId="12747" xr:uid="{00000000-0005-0000-0000-000080890000}"/>
    <cellStyle name="Normal 20 4 2" xfId="194" xr:uid="{00000000-0005-0000-0000-000081890000}"/>
    <cellStyle name="Normal 20 4 2 10" xfId="41689" xr:uid="{00000000-0005-0000-0000-000082890000}"/>
    <cellStyle name="Normal 20 4 2 11" xfId="25589" xr:uid="{00000000-0005-0000-0000-000083890000}"/>
    <cellStyle name="Normal 20 4 2 12" xfId="13023" xr:uid="{00000000-0005-0000-0000-000084890000}"/>
    <cellStyle name="Normal 20 4 2 2" xfId="371" xr:uid="{00000000-0005-0000-0000-000085890000}"/>
    <cellStyle name="Normal 20 4 2 2 2" xfId="2390" xr:uid="{00000000-0005-0000-0000-000086890000}"/>
    <cellStyle name="Normal 20 4 2 2 2 2" xfId="8924" xr:uid="{00000000-0005-0000-0000-000087890000}"/>
    <cellStyle name="Normal 20 4 2 2 2 2 2" xfId="40665" xr:uid="{00000000-0005-0000-0000-000088890000}"/>
    <cellStyle name="Normal 20 4 2 2 2 2 2 2" xfId="56765" xr:uid="{00000000-0005-0000-0000-000089890000}"/>
    <cellStyle name="Normal 20 4 2 2 2 2 3" xfId="47198" xr:uid="{00000000-0005-0000-0000-00008A890000}"/>
    <cellStyle name="Normal 20 4 2 2 2 2 4" xfId="31098" xr:uid="{00000000-0005-0000-0000-00008B890000}"/>
    <cellStyle name="Normal 20 4 2 2 2 2 5" xfId="21529" xr:uid="{00000000-0005-0000-0000-00008C890000}"/>
    <cellStyle name="Normal 20 4 2 2 2 3" xfId="11960" xr:uid="{00000000-0005-0000-0000-00008D890000}"/>
    <cellStyle name="Normal 20 4 2 2 2 3 2" xfId="50234" xr:uid="{00000000-0005-0000-0000-00008E890000}"/>
    <cellStyle name="Normal 20 4 2 2 2 3 3" xfId="34134" xr:uid="{00000000-0005-0000-0000-00008F890000}"/>
    <cellStyle name="Normal 20 4 2 2 2 3 4" xfId="24565" xr:uid="{00000000-0005-0000-0000-000090890000}"/>
    <cellStyle name="Normal 20 4 2 2 2 4" xfId="5888" xr:uid="{00000000-0005-0000-0000-000091890000}"/>
    <cellStyle name="Normal 20 4 2 2 2 4 2" xfId="53729" xr:uid="{00000000-0005-0000-0000-000092890000}"/>
    <cellStyle name="Normal 20 4 2 2 2 4 3" xfId="37629" xr:uid="{00000000-0005-0000-0000-000093890000}"/>
    <cellStyle name="Normal 20 4 2 2 2 4 4" xfId="18493" xr:uid="{00000000-0005-0000-0000-000094890000}"/>
    <cellStyle name="Normal 20 4 2 2 2 5" xfId="44162" xr:uid="{00000000-0005-0000-0000-000095890000}"/>
    <cellStyle name="Normal 20 4 2 2 2 6" xfId="28062" xr:uid="{00000000-0005-0000-0000-000096890000}"/>
    <cellStyle name="Normal 20 4 2 2 2 7" xfId="14998" xr:uid="{00000000-0005-0000-0000-000097890000}"/>
    <cellStyle name="Normal 20 4 2 2 3" xfId="1602" xr:uid="{00000000-0005-0000-0000-000098890000}"/>
    <cellStyle name="Normal 20 4 2 2 3 2" xfId="8136" xr:uid="{00000000-0005-0000-0000-000099890000}"/>
    <cellStyle name="Normal 20 4 2 2 3 2 2" xfId="39877" xr:uid="{00000000-0005-0000-0000-00009A890000}"/>
    <cellStyle name="Normal 20 4 2 2 3 2 2 2" xfId="55977" xr:uid="{00000000-0005-0000-0000-00009B890000}"/>
    <cellStyle name="Normal 20 4 2 2 3 2 3" xfId="46410" xr:uid="{00000000-0005-0000-0000-00009C890000}"/>
    <cellStyle name="Normal 20 4 2 2 3 2 4" xfId="30310" xr:uid="{00000000-0005-0000-0000-00009D890000}"/>
    <cellStyle name="Normal 20 4 2 2 3 2 5" xfId="20741" xr:uid="{00000000-0005-0000-0000-00009E890000}"/>
    <cellStyle name="Normal 20 4 2 2 3 3" xfId="11172" xr:uid="{00000000-0005-0000-0000-00009F890000}"/>
    <cellStyle name="Normal 20 4 2 2 3 3 2" xfId="49446" xr:uid="{00000000-0005-0000-0000-0000A0890000}"/>
    <cellStyle name="Normal 20 4 2 2 3 3 3" xfId="33346" xr:uid="{00000000-0005-0000-0000-0000A1890000}"/>
    <cellStyle name="Normal 20 4 2 2 3 3 4" xfId="23777" xr:uid="{00000000-0005-0000-0000-0000A2890000}"/>
    <cellStyle name="Normal 20 4 2 2 3 4" xfId="5100" xr:uid="{00000000-0005-0000-0000-0000A3890000}"/>
    <cellStyle name="Normal 20 4 2 2 3 4 2" xfId="52941" xr:uid="{00000000-0005-0000-0000-0000A4890000}"/>
    <cellStyle name="Normal 20 4 2 2 3 4 3" xfId="36841" xr:uid="{00000000-0005-0000-0000-0000A5890000}"/>
    <cellStyle name="Normal 20 4 2 2 3 4 4" xfId="17705" xr:uid="{00000000-0005-0000-0000-0000A6890000}"/>
    <cellStyle name="Normal 20 4 2 2 3 5" xfId="43374" xr:uid="{00000000-0005-0000-0000-0000A7890000}"/>
    <cellStyle name="Normal 20 4 2 2 3 6" xfId="27274" xr:uid="{00000000-0005-0000-0000-0000A8890000}"/>
    <cellStyle name="Normal 20 4 2 2 3 7" xfId="14210" xr:uid="{00000000-0005-0000-0000-0000A9890000}"/>
    <cellStyle name="Normal 20 4 2 2 4" xfId="7126" xr:uid="{00000000-0005-0000-0000-0000AA890000}"/>
    <cellStyle name="Normal 20 4 2 2 4 2" xfId="38867" xr:uid="{00000000-0005-0000-0000-0000AB890000}"/>
    <cellStyle name="Normal 20 4 2 2 4 2 2" xfId="54967" xr:uid="{00000000-0005-0000-0000-0000AC890000}"/>
    <cellStyle name="Normal 20 4 2 2 4 3" xfId="45400" xr:uid="{00000000-0005-0000-0000-0000AD890000}"/>
    <cellStyle name="Normal 20 4 2 2 4 4" xfId="29300" xr:uid="{00000000-0005-0000-0000-0000AE890000}"/>
    <cellStyle name="Normal 20 4 2 2 4 5" xfId="19731" xr:uid="{00000000-0005-0000-0000-0000AF890000}"/>
    <cellStyle name="Normal 20 4 2 2 5" xfId="10162" xr:uid="{00000000-0005-0000-0000-0000B0890000}"/>
    <cellStyle name="Normal 20 4 2 2 5 2" xfId="48436" xr:uid="{00000000-0005-0000-0000-0000B1890000}"/>
    <cellStyle name="Normal 20 4 2 2 5 3" xfId="32336" xr:uid="{00000000-0005-0000-0000-0000B2890000}"/>
    <cellStyle name="Normal 20 4 2 2 5 4" xfId="22767" xr:uid="{00000000-0005-0000-0000-0000B3890000}"/>
    <cellStyle name="Normal 20 4 2 2 6" xfId="4090" xr:uid="{00000000-0005-0000-0000-0000B4890000}"/>
    <cellStyle name="Normal 20 4 2 2 6 2" xfId="51931" xr:uid="{00000000-0005-0000-0000-0000B5890000}"/>
    <cellStyle name="Normal 20 4 2 2 6 3" xfId="35831" xr:uid="{00000000-0005-0000-0000-0000B6890000}"/>
    <cellStyle name="Normal 20 4 2 2 6 4" xfId="16695" xr:uid="{00000000-0005-0000-0000-0000B7890000}"/>
    <cellStyle name="Normal 20 4 2 2 7" xfId="42364" xr:uid="{00000000-0005-0000-0000-0000B8890000}"/>
    <cellStyle name="Normal 20 4 2 2 8" xfId="26264" xr:uid="{00000000-0005-0000-0000-0000B9890000}"/>
    <cellStyle name="Normal 20 4 2 2 9" xfId="13200" xr:uid="{00000000-0005-0000-0000-0000BA890000}"/>
    <cellStyle name="Normal 20 4 2 3" xfId="1010" xr:uid="{00000000-0005-0000-0000-0000BB890000}"/>
    <cellStyle name="Normal 20 4 2 3 2" xfId="3038" xr:uid="{00000000-0005-0000-0000-0000BC890000}"/>
    <cellStyle name="Normal 20 4 2 3 2 2" xfId="9570" xr:uid="{00000000-0005-0000-0000-0000BD890000}"/>
    <cellStyle name="Normal 20 4 2 3 2 2 2" xfId="41311" xr:uid="{00000000-0005-0000-0000-0000BE890000}"/>
    <cellStyle name="Normal 20 4 2 3 2 2 2 2" xfId="57411" xr:uid="{00000000-0005-0000-0000-0000BF890000}"/>
    <cellStyle name="Normal 20 4 2 3 2 2 3" xfId="47844" xr:uid="{00000000-0005-0000-0000-0000C0890000}"/>
    <cellStyle name="Normal 20 4 2 3 2 2 4" xfId="31744" xr:uid="{00000000-0005-0000-0000-0000C1890000}"/>
    <cellStyle name="Normal 20 4 2 3 2 2 5" xfId="22175" xr:uid="{00000000-0005-0000-0000-0000C2890000}"/>
    <cellStyle name="Normal 20 4 2 3 2 3" xfId="12606" xr:uid="{00000000-0005-0000-0000-0000C3890000}"/>
    <cellStyle name="Normal 20 4 2 3 2 3 2" xfId="50880" xr:uid="{00000000-0005-0000-0000-0000C4890000}"/>
    <cellStyle name="Normal 20 4 2 3 2 3 3" xfId="34780" xr:uid="{00000000-0005-0000-0000-0000C5890000}"/>
    <cellStyle name="Normal 20 4 2 3 2 3 4" xfId="25211" xr:uid="{00000000-0005-0000-0000-0000C6890000}"/>
    <cellStyle name="Normal 20 4 2 3 2 4" xfId="6534" xr:uid="{00000000-0005-0000-0000-0000C7890000}"/>
    <cellStyle name="Normal 20 4 2 3 2 4 2" xfId="54375" xr:uid="{00000000-0005-0000-0000-0000C8890000}"/>
    <cellStyle name="Normal 20 4 2 3 2 4 3" xfId="38275" xr:uid="{00000000-0005-0000-0000-0000C9890000}"/>
    <cellStyle name="Normal 20 4 2 3 2 4 4" xfId="19139" xr:uid="{00000000-0005-0000-0000-0000CA890000}"/>
    <cellStyle name="Normal 20 4 2 3 2 5" xfId="44808" xr:uid="{00000000-0005-0000-0000-0000CB890000}"/>
    <cellStyle name="Normal 20 4 2 3 2 6" xfId="28708" xr:uid="{00000000-0005-0000-0000-0000CC890000}"/>
    <cellStyle name="Normal 20 4 2 3 2 7" xfId="15644" xr:uid="{00000000-0005-0000-0000-0000CD890000}"/>
    <cellStyle name="Normal 20 4 2 3 3" xfId="2020" xr:uid="{00000000-0005-0000-0000-0000CE890000}"/>
    <cellStyle name="Normal 20 4 2 3 3 2" xfId="8554" xr:uid="{00000000-0005-0000-0000-0000CF890000}"/>
    <cellStyle name="Normal 20 4 2 3 3 2 2" xfId="40295" xr:uid="{00000000-0005-0000-0000-0000D0890000}"/>
    <cellStyle name="Normal 20 4 2 3 3 2 2 2" xfId="56395" xr:uid="{00000000-0005-0000-0000-0000D1890000}"/>
    <cellStyle name="Normal 20 4 2 3 3 2 3" xfId="46828" xr:uid="{00000000-0005-0000-0000-0000D2890000}"/>
    <cellStyle name="Normal 20 4 2 3 3 2 4" xfId="30728" xr:uid="{00000000-0005-0000-0000-0000D3890000}"/>
    <cellStyle name="Normal 20 4 2 3 3 2 5" xfId="21159" xr:uid="{00000000-0005-0000-0000-0000D4890000}"/>
    <cellStyle name="Normal 20 4 2 3 3 3" xfId="11590" xr:uid="{00000000-0005-0000-0000-0000D5890000}"/>
    <cellStyle name="Normal 20 4 2 3 3 3 2" xfId="49864" xr:uid="{00000000-0005-0000-0000-0000D6890000}"/>
    <cellStyle name="Normal 20 4 2 3 3 3 3" xfId="33764" xr:uid="{00000000-0005-0000-0000-0000D7890000}"/>
    <cellStyle name="Normal 20 4 2 3 3 3 4" xfId="24195" xr:uid="{00000000-0005-0000-0000-0000D8890000}"/>
    <cellStyle name="Normal 20 4 2 3 3 4" xfId="5518" xr:uid="{00000000-0005-0000-0000-0000D9890000}"/>
    <cellStyle name="Normal 20 4 2 3 3 4 2" xfId="53359" xr:uid="{00000000-0005-0000-0000-0000DA890000}"/>
    <cellStyle name="Normal 20 4 2 3 3 4 3" xfId="37259" xr:uid="{00000000-0005-0000-0000-0000DB890000}"/>
    <cellStyle name="Normal 20 4 2 3 3 4 4" xfId="18123" xr:uid="{00000000-0005-0000-0000-0000DC890000}"/>
    <cellStyle name="Normal 20 4 2 3 3 5" xfId="43792" xr:uid="{00000000-0005-0000-0000-0000DD890000}"/>
    <cellStyle name="Normal 20 4 2 3 3 6" xfId="27692" xr:uid="{00000000-0005-0000-0000-0000DE890000}"/>
    <cellStyle name="Normal 20 4 2 3 3 7" xfId="14628" xr:uid="{00000000-0005-0000-0000-0000DF890000}"/>
    <cellStyle name="Normal 20 4 2 3 4" xfId="7544" xr:uid="{00000000-0005-0000-0000-0000E0890000}"/>
    <cellStyle name="Normal 20 4 2 3 4 2" xfId="39285" xr:uid="{00000000-0005-0000-0000-0000E1890000}"/>
    <cellStyle name="Normal 20 4 2 3 4 2 2" xfId="55385" xr:uid="{00000000-0005-0000-0000-0000E2890000}"/>
    <cellStyle name="Normal 20 4 2 3 4 3" xfId="45818" xr:uid="{00000000-0005-0000-0000-0000E3890000}"/>
    <cellStyle name="Normal 20 4 2 3 4 4" xfId="29718" xr:uid="{00000000-0005-0000-0000-0000E4890000}"/>
    <cellStyle name="Normal 20 4 2 3 4 5" xfId="20149" xr:uid="{00000000-0005-0000-0000-0000E5890000}"/>
    <cellStyle name="Normal 20 4 2 3 5" xfId="10580" xr:uid="{00000000-0005-0000-0000-0000E6890000}"/>
    <cellStyle name="Normal 20 4 2 3 5 2" xfId="48854" xr:uid="{00000000-0005-0000-0000-0000E7890000}"/>
    <cellStyle name="Normal 20 4 2 3 5 3" xfId="32754" xr:uid="{00000000-0005-0000-0000-0000E8890000}"/>
    <cellStyle name="Normal 20 4 2 3 5 4" xfId="23185" xr:uid="{00000000-0005-0000-0000-0000E9890000}"/>
    <cellStyle name="Normal 20 4 2 3 6" xfId="4508" xr:uid="{00000000-0005-0000-0000-0000EA890000}"/>
    <cellStyle name="Normal 20 4 2 3 6 2" xfId="52349" xr:uid="{00000000-0005-0000-0000-0000EB890000}"/>
    <cellStyle name="Normal 20 4 2 3 6 3" xfId="36249" xr:uid="{00000000-0005-0000-0000-0000EC890000}"/>
    <cellStyle name="Normal 20 4 2 3 6 4" xfId="17113" xr:uid="{00000000-0005-0000-0000-0000ED890000}"/>
    <cellStyle name="Normal 20 4 2 3 7" xfId="42782" xr:uid="{00000000-0005-0000-0000-0000EE890000}"/>
    <cellStyle name="Normal 20 4 2 3 8" xfId="26682" xr:uid="{00000000-0005-0000-0000-0000EF890000}"/>
    <cellStyle name="Normal 20 4 2 3 9" xfId="13618" xr:uid="{00000000-0005-0000-0000-0000F0890000}"/>
    <cellStyle name="Normal 20 4 2 4" xfId="2213" xr:uid="{00000000-0005-0000-0000-0000F1890000}"/>
    <cellStyle name="Normal 20 4 2 4 2" xfId="8747" xr:uid="{00000000-0005-0000-0000-0000F2890000}"/>
    <cellStyle name="Normal 20 4 2 4 2 2" xfId="40488" xr:uid="{00000000-0005-0000-0000-0000F3890000}"/>
    <cellStyle name="Normal 20 4 2 4 2 2 2" xfId="56588" xr:uid="{00000000-0005-0000-0000-0000F4890000}"/>
    <cellStyle name="Normal 20 4 2 4 2 3" xfId="47021" xr:uid="{00000000-0005-0000-0000-0000F5890000}"/>
    <cellStyle name="Normal 20 4 2 4 2 4" xfId="30921" xr:uid="{00000000-0005-0000-0000-0000F6890000}"/>
    <cellStyle name="Normal 20 4 2 4 2 5" xfId="21352" xr:uid="{00000000-0005-0000-0000-0000F7890000}"/>
    <cellStyle name="Normal 20 4 2 4 3" xfId="11783" xr:uid="{00000000-0005-0000-0000-0000F8890000}"/>
    <cellStyle name="Normal 20 4 2 4 3 2" xfId="50057" xr:uid="{00000000-0005-0000-0000-0000F9890000}"/>
    <cellStyle name="Normal 20 4 2 4 3 3" xfId="33957" xr:uid="{00000000-0005-0000-0000-0000FA890000}"/>
    <cellStyle name="Normal 20 4 2 4 3 4" xfId="24388" xr:uid="{00000000-0005-0000-0000-0000FB890000}"/>
    <cellStyle name="Normal 20 4 2 4 4" xfId="5711" xr:uid="{00000000-0005-0000-0000-0000FC890000}"/>
    <cellStyle name="Normal 20 4 2 4 4 2" xfId="53552" xr:uid="{00000000-0005-0000-0000-0000FD890000}"/>
    <cellStyle name="Normal 20 4 2 4 4 3" xfId="37452" xr:uid="{00000000-0005-0000-0000-0000FE890000}"/>
    <cellStyle name="Normal 20 4 2 4 4 4" xfId="18316" xr:uid="{00000000-0005-0000-0000-0000FF890000}"/>
    <cellStyle name="Normal 20 4 2 4 5" xfId="43985" xr:uid="{00000000-0005-0000-0000-0000008A0000}"/>
    <cellStyle name="Normal 20 4 2 4 6" xfId="27885" xr:uid="{00000000-0005-0000-0000-0000018A0000}"/>
    <cellStyle name="Normal 20 4 2 4 7" xfId="14821" xr:uid="{00000000-0005-0000-0000-0000028A0000}"/>
    <cellStyle name="Normal 20 4 2 5" xfId="1425" xr:uid="{00000000-0005-0000-0000-0000038A0000}"/>
    <cellStyle name="Normal 20 4 2 5 2" xfId="7959" xr:uid="{00000000-0005-0000-0000-0000048A0000}"/>
    <cellStyle name="Normal 20 4 2 5 2 2" xfId="39700" xr:uid="{00000000-0005-0000-0000-0000058A0000}"/>
    <cellStyle name="Normal 20 4 2 5 2 2 2" xfId="55800" xr:uid="{00000000-0005-0000-0000-0000068A0000}"/>
    <cellStyle name="Normal 20 4 2 5 2 3" xfId="46233" xr:uid="{00000000-0005-0000-0000-0000078A0000}"/>
    <cellStyle name="Normal 20 4 2 5 2 4" xfId="30133" xr:uid="{00000000-0005-0000-0000-0000088A0000}"/>
    <cellStyle name="Normal 20 4 2 5 2 5" xfId="20564" xr:uid="{00000000-0005-0000-0000-0000098A0000}"/>
    <cellStyle name="Normal 20 4 2 5 3" xfId="10995" xr:uid="{00000000-0005-0000-0000-00000A8A0000}"/>
    <cellStyle name="Normal 20 4 2 5 3 2" xfId="49269" xr:uid="{00000000-0005-0000-0000-00000B8A0000}"/>
    <cellStyle name="Normal 20 4 2 5 3 3" xfId="33169" xr:uid="{00000000-0005-0000-0000-00000C8A0000}"/>
    <cellStyle name="Normal 20 4 2 5 3 4" xfId="23600" xr:uid="{00000000-0005-0000-0000-00000D8A0000}"/>
    <cellStyle name="Normal 20 4 2 5 4" xfId="4923" xr:uid="{00000000-0005-0000-0000-00000E8A0000}"/>
    <cellStyle name="Normal 20 4 2 5 4 2" xfId="52764" xr:uid="{00000000-0005-0000-0000-00000F8A0000}"/>
    <cellStyle name="Normal 20 4 2 5 4 3" xfId="36664" xr:uid="{00000000-0005-0000-0000-0000108A0000}"/>
    <cellStyle name="Normal 20 4 2 5 4 4" xfId="17528" xr:uid="{00000000-0005-0000-0000-0000118A0000}"/>
    <cellStyle name="Normal 20 4 2 5 5" xfId="43197" xr:uid="{00000000-0005-0000-0000-0000128A0000}"/>
    <cellStyle name="Normal 20 4 2 5 6" xfId="27097" xr:uid="{00000000-0005-0000-0000-0000138A0000}"/>
    <cellStyle name="Normal 20 4 2 5 7" xfId="14033" xr:uid="{00000000-0005-0000-0000-0000148A0000}"/>
    <cellStyle name="Normal 20 4 2 6" xfId="3913" xr:uid="{00000000-0005-0000-0000-0000158A0000}"/>
    <cellStyle name="Normal 20 4 2 6 2" xfId="35654" xr:uid="{00000000-0005-0000-0000-0000168A0000}"/>
    <cellStyle name="Normal 20 4 2 6 2 2" xfId="51754" xr:uid="{00000000-0005-0000-0000-0000178A0000}"/>
    <cellStyle name="Normal 20 4 2 6 3" xfId="42187" xr:uid="{00000000-0005-0000-0000-0000188A0000}"/>
    <cellStyle name="Normal 20 4 2 6 4" xfId="26087" xr:uid="{00000000-0005-0000-0000-0000198A0000}"/>
    <cellStyle name="Normal 20 4 2 6 5" xfId="16518" xr:uid="{00000000-0005-0000-0000-00001A8A0000}"/>
    <cellStyle name="Normal 20 4 2 7" xfId="6949" xr:uid="{00000000-0005-0000-0000-00001B8A0000}"/>
    <cellStyle name="Normal 20 4 2 7 2" xfId="38690" xr:uid="{00000000-0005-0000-0000-00001C8A0000}"/>
    <cellStyle name="Normal 20 4 2 7 2 2" xfId="54790" xr:uid="{00000000-0005-0000-0000-00001D8A0000}"/>
    <cellStyle name="Normal 20 4 2 7 3" xfId="45223" xr:uid="{00000000-0005-0000-0000-00001E8A0000}"/>
    <cellStyle name="Normal 20 4 2 7 4" xfId="29123" xr:uid="{00000000-0005-0000-0000-00001F8A0000}"/>
    <cellStyle name="Normal 20 4 2 7 5" xfId="19554" xr:uid="{00000000-0005-0000-0000-0000208A0000}"/>
    <cellStyle name="Normal 20 4 2 8" xfId="9985" xr:uid="{00000000-0005-0000-0000-0000218A0000}"/>
    <cellStyle name="Normal 20 4 2 8 2" xfId="48259" xr:uid="{00000000-0005-0000-0000-0000228A0000}"/>
    <cellStyle name="Normal 20 4 2 8 3" xfId="32159" xr:uid="{00000000-0005-0000-0000-0000238A0000}"/>
    <cellStyle name="Normal 20 4 2 8 4" xfId="22590" xr:uid="{00000000-0005-0000-0000-0000248A0000}"/>
    <cellStyle name="Normal 20 4 2 9" xfId="3415" xr:uid="{00000000-0005-0000-0000-0000258A0000}"/>
    <cellStyle name="Normal 20 4 2 9 2" xfId="51256" xr:uid="{00000000-0005-0000-0000-0000268A0000}"/>
    <cellStyle name="Normal 20 4 2 9 3" xfId="35156" xr:uid="{00000000-0005-0000-0000-0000278A0000}"/>
    <cellStyle name="Normal 20 4 2 9 4" xfId="16020" xr:uid="{00000000-0005-0000-0000-0000288A0000}"/>
    <cellStyle name="Normal 20 4 3" xfId="300" xr:uid="{00000000-0005-0000-0000-0000298A0000}"/>
    <cellStyle name="Normal 20 4 3 2" xfId="2319" xr:uid="{00000000-0005-0000-0000-00002A8A0000}"/>
    <cellStyle name="Normal 20 4 3 2 2" xfId="8853" xr:uid="{00000000-0005-0000-0000-00002B8A0000}"/>
    <cellStyle name="Normal 20 4 3 2 2 2" xfId="40594" xr:uid="{00000000-0005-0000-0000-00002C8A0000}"/>
    <cellStyle name="Normal 20 4 3 2 2 2 2" xfId="56694" xr:uid="{00000000-0005-0000-0000-00002D8A0000}"/>
    <cellStyle name="Normal 20 4 3 2 2 3" xfId="47127" xr:uid="{00000000-0005-0000-0000-00002E8A0000}"/>
    <cellStyle name="Normal 20 4 3 2 2 4" xfId="31027" xr:uid="{00000000-0005-0000-0000-00002F8A0000}"/>
    <cellStyle name="Normal 20 4 3 2 2 5" xfId="21458" xr:uid="{00000000-0005-0000-0000-0000308A0000}"/>
    <cellStyle name="Normal 20 4 3 2 3" xfId="11889" xr:uid="{00000000-0005-0000-0000-0000318A0000}"/>
    <cellStyle name="Normal 20 4 3 2 3 2" xfId="50163" xr:uid="{00000000-0005-0000-0000-0000328A0000}"/>
    <cellStyle name="Normal 20 4 3 2 3 3" xfId="34063" xr:uid="{00000000-0005-0000-0000-0000338A0000}"/>
    <cellStyle name="Normal 20 4 3 2 3 4" xfId="24494" xr:uid="{00000000-0005-0000-0000-0000348A0000}"/>
    <cellStyle name="Normal 20 4 3 2 4" xfId="5817" xr:uid="{00000000-0005-0000-0000-0000358A0000}"/>
    <cellStyle name="Normal 20 4 3 2 4 2" xfId="53658" xr:uid="{00000000-0005-0000-0000-0000368A0000}"/>
    <cellStyle name="Normal 20 4 3 2 4 3" xfId="37558" xr:uid="{00000000-0005-0000-0000-0000378A0000}"/>
    <cellStyle name="Normal 20 4 3 2 4 4" xfId="18422" xr:uid="{00000000-0005-0000-0000-0000388A0000}"/>
    <cellStyle name="Normal 20 4 3 2 5" xfId="44091" xr:uid="{00000000-0005-0000-0000-0000398A0000}"/>
    <cellStyle name="Normal 20 4 3 2 6" xfId="27991" xr:uid="{00000000-0005-0000-0000-00003A8A0000}"/>
    <cellStyle name="Normal 20 4 3 2 7" xfId="14927" xr:uid="{00000000-0005-0000-0000-00003B8A0000}"/>
    <cellStyle name="Normal 20 4 3 3" xfId="1531" xr:uid="{00000000-0005-0000-0000-00003C8A0000}"/>
    <cellStyle name="Normal 20 4 3 3 2" xfId="8065" xr:uid="{00000000-0005-0000-0000-00003D8A0000}"/>
    <cellStyle name="Normal 20 4 3 3 2 2" xfId="39806" xr:uid="{00000000-0005-0000-0000-00003E8A0000}"/>
    <cellStyle name="Normal 20 4 3 3 2 2 2" xfId="55906" xr:uid="{00000000-0005-0000-0000-00003F8A0000}"/>
    <cellStyle name="Normal 20 4 3 3 2 3" xfId="46339" xr:uid="{00000000-0005-0000-0000-0000408A0000}"/>
    <cellStyle name="Normal 20 4 3 3 2 4" xfId="30239" xr:uid="{00000000-0005-0000-0000-0000418A0000}"/>
    <cellStyle name="Normal 20 4 3 3 2 5" xfId="20670" xr:uid="{00000000-0005-0000-0000-0000428A0000}"/>
    <cellStyle name="Normal 20 4 3 3 3" xfId="11101" xr:uid="{00000000-0005-0000-0000-0000438A0000}"/>
    <cellStyle name="Normal 20 4 3 3 3 2" xfId="49375" xr:uid="{00000000-0005-0000-0000-0000448A0000}"/>
    <cellStyle name="Normal 20 4 3 3 3 3" xfId="33275" xr:uid="{00000000-0005-0000-0000-0000458A0000}"/>
    <cellStyle name="Normal 20 4 3 3 3 4" xfId="23706" xr:uid="{00000000-0005-0000-0000-0000468A0000}"/>
    <cellStyle name="Normal 20 4 3 3 4" xfId="5029" xr:uid="{00000000-0005-0000-0000-0000478A0000}"/>
    <cellStyle name="Normal 20 4 3 3 4 2" xfId="52870" xr:uid="{00000000-0005-0000-0000-0000488A0000}"/>
    <cellStyle name="Normal 20 4 3 3 4 3" xfId="36770" xr:uid="{00000000-0005-0000-0000-0000498A0000}"/>
    <cellStyle name="Normal 20 4 3 3 4 4" xfId="17634" xr:uid="{00000000-0005-0000-0000-00004A8A0000}"/>
    <cellStyle name="Normal 20 4 3 3 5" xfId="43303" xr:uid="{00000000-0005-0000-0000-00004B8A0000}"/>
    <cellStyle name="Normal 20 4 3 3 6" xfId="27203" xr:uid="{00000000-0005-0000-0000-00004C8A0000}"/>
    <cellStyle name="Normal 20 4 3 3 7" xfId="14139" xr:uid="{00000000-0005-0000-0000-00004D8A0000}"/>
    <cellStyle name="Normal 20 4 3 4" xfId="7055" xr:uid="{00000000-0005-0000-0000-00004E8A0000}"/>
    <cellStyle name="Normal 20 4 3 4 2" xfId="38796" xr:uid="{00000000-0005-0000-0000-00004F8A0000}"/>
    <cellStyle name="Normal 20 4 3 4 2 2" xfId="54896" xr:uid="{00000000-0005-0000-0000-0000508A0000}"/>
    <cellStyle name="Normal 20 4 3 4 3" xfId="45329" xr:uid="{00000000-0005-0000-0000-0000518A0000}"/>
    <cellStyle name="Normal 20 4 3 4 4" xfId="29229" xr:uid="{00000000-0005-0000-0000-0000528A0000}"/>
    <cellStyle name="Normal 20 4 3 4 5" xfId="19660" xr:uid="{00000000-0005-0000-0000-0000538A0000}"/>
    <cellStyle name="Normal 20 4 3 5" xfId="10091" xr:uid="{00000000-0005-0000-0000-0000548A0000}"/>
    <cellStyle name="Normal 20 4 3 5 2" xfId="48365" xr:uid="{00000000-0005-0000-0000-0000558A0000}"/>
    <cellStyle name="Normal 20 4 3 5 3" xfId="32265" xr:uid="{00000000-0005-0000-0000-0000568A0000}"/>
    <cellStyle name="Normal 20 4 3 5 4" xfId="22696" xr:uid="{00000000-0005-0000-0000-0000578A0000}"/>
    <cellStyle name="Normal 20 4 3 6" xfId="4019" xr:uid="{00000000-0005-0000-0000-0000588A0000}"/>
    <cellStyle name="Normal 20 4 3 6 2" xfId="51860" xr:uid="{00000000-0005-0000-0000-0000598A0000}"/>
    <cellStyle name="Normal 20 4 3 6 3" xfId="35760" xr:uid="{00000000-0005-0000-0000-00005A8A0000}"/>
    <cellStyle name="Normal 20 4 3 6 4" xfId="16624" xr:uid="{00000000-0005-0000-0000-00005B8A0000}"/>
    <cellStyle name="Normal 20 4 3 7" xfId="42293" xr:uid="{00000000-0005-0000-0000-00005C8A0000}"/>
    <cellStyle name="Normal 20 4 3 8" xfId="26193" xr:uid="{00000000-0005-0000-0000-00005D8A0000}"/>
    <cellStyle name="Normal 20 4 3 9" xfId="13129" xr:uid="{00000000-0005-0000-0000-00005E8A0000}"/>
    <cellStyle name="Normal 20 4 4" xfId="558" xr:uid="{00000000-0005-0000-0000-00005F8A0000}"/>
    <cellStyle name="Normal 20 4 4 2" xfId="2587" xr:uid="{00000000-0005-0000-0000-0000608A0000}"/>
    <cellStyle name="Normal 20 4 4 2 2" xfId="9119" xr:uid="{00000000-0005-0000-0000-0000618A0000}"/>
    <cellStyle name="Normal 20 4 4 2 2 2" xfId="40860" xr:uid="{00000000-0005-0000-0000-0000628A0000}"/>
    <cellStyle name="Normal 20 4 4 2 2 2 2" xfId="56960" xr:uid="{00000000-0005-0000-0000-0000638A0000}"/>
    <cellStyle name="Normal 20 4 4 2 2 3" xfId="47393" xr:uid="{00000000-0005-0000-0000-0000648A0000}"/>
    <cellStyle name="Normal 20 4 4 2 2 4" xfId="31293" xr:uid="{00000000-0005-0000-0000-0000658A0000}"/>
    <cellStyle name="Normal 20 4 4 2 2 5" xfId="21724" xr:uid="{00000000-0005-0000-0000-0000668A0000}"/>
    <cellStyle name="Normal 20 4 4 2 3" xfId="12155" xr:uid="{00000000-0005-0000-0000-0000678A0000}"/>
    <cellStyle name="Normal 20 4 4 2 3 2" xfId="50429" xr:uid="{00000000-0005-0000-0000-0000688A0000}"/>
    <cellStyle name="Normal 20 4 4 2 3 3" xfId="34329" xr:uid="{00000000-0005-0000-0000-0000698A0000}"/>
    <cellStyle name="Normal 20 4 4 2 3 4" xfId="24760" xr:uid="{00000000-0005-0000-0000-00006A8A0000}"/>
    <cellStyle name="Normal 20 4 4 2 4" xfId="6083" xr:uid="{00000000-0005-0000-0000-00006B8A0000}"/>
    <cellStyle name="Normal 20 4 4 2 4 2" xfId="53924" xr:uid="{00000000-0005-0000-0000-00006C8A0000}"/>
    <cellStyle name="Normal 20 4 4 2 4 3" xfId="37824" xr:uid="{00000000-0005-0000-0000-00006D8A0000}"/>
    <cellStyle name="Normal 20 4 4 2 4 4" xfId="18688" xr:uid="{00000000-0005-0000-0000-00006E8A0000}"/>
    <cellStyle name="Normal 20 4 4 2 5" xfId="44357" xr:uid="{00000000-0005-0000-0000-00006F8A0000}"/>
    <cellStyle name="Normal 20 4 4 2 6" xfId="28257" xr:uid="{00000000-0005-0000-0000-0000708A0000}"/>
    <cellStyle name="Normal 20 4 4 2 7" xfId="15193" xr:uid="{00000000-0005-0000-0000-0000718A0000}"/>
    <cellStyle name="Normal 20 4 4 3" xfId="1354" xr:uid="{00000000-0005-0000-0000-0000728A0000}"/>
    <cellStyle name="Normal 20 4 4 3 2" xfId="7888" xr:uid="{00000000-0005-0000-0000-0000738A0000}"/>
    <cellStyle name="Normal 20 4 4 3 2 2" xfId="39629" xr:uid="{00000000-0005-0000-0000-0000748A0000}"/>
    <cellStyle name="Normal 20 4 4 3 2 2 2" xfId="55729" xr:uid="{00000000-0005-0000-0000-0000758A0000}"/>
    <cellStyle name="Normal 20 4 4 3 2 3" xfId="46162" xr:uid="{00000000-0005-0000-0000-0000768A0000}"/>
    <cellStyle name="Normal 20 4 4 3 2 4" xfId="30062" xr:uid="{00000000-0005-0000-0000-0000778A0000}"/>
    <cellStyle name="Normal 20 4 4 3 2 5" xfId="20493" xr:uid="{00000000-0005-0000-0000-0000788A0000}"/>
    <cellStyle name="Normal 20 4 4 3 3" xfId="10924" xr:uid="{00000000-0005-0000-0000-0000798A0000}"/>
    <cellStyle name="Normal 20 4 4 3 3 2" xfId="49198" xr:uid="{00000000-0005-0000-0000-00007A8A0000}"/>
    <cellStyle name="Normal 20 4 4 3 3 3" xfId="33098" xr:uid="{00000000-0005-0000-0000-00007B8A0000}"/>
    <cellStyle name="Normal 20 4 4 3 3 4" xfId="23529" xr:uid="{00000000-0005-0000-0000-00007C8A0000}"/>
    <cellStyle name="Normal 20 4 4 3 4" xfId="4852" xr:uid="{00000000-0005-0000-0000-00007D8A0000}"/>
    <cellStyle name="Normal 20 4 4 3 4 2" xfId="52693" xr:uid="{00000000-0005-0000-0000-00007E8A0000}"/>
    <cellStyle name="Normal 20 4 4 3 4 3" xfId="36593" xr:uid="{00000000-0005-0000-0000-00007F8A0000}"/>
    <cellStyle name="Normal 20 4 4 3 4 4" xfId="17457" xr:uid="{00000000-0005-0000-0000-0000808A0000}"/>
    <cellStyle name="Normal 20 4 4 3 5" xfId="43126" xr:uid="{00000000-0005-0000-0000-0000818A0000}"/>
    <cellStyle name="Normal 20 4 4 3 6" xfId="27026" xr:uid="{00000000-0005-0000-0000-0000828A0000}"/>
    <cellStyle name="Normal 20 4 4 3 7" xfId="13962" xr:uid="{00000000-0005-0000-0000-0000838A0000}"/>
    <cellStyle name="Normal 20 4 4 4" xfId="6878" xr:uid="{00000000-0005-0000-0000-0000848A0000}"/>
    <cellStyle name="Normal 20 4 4 4 2" xfId="38619" xr:uid="{00000000-0005-0000-0000-0000858A0000}"/>
    <cellStyle name="Normal 20 4 4 4 2 2" xfId="54719" xr:uid="{00000000-0005-0000-0000-0000868A0000}"/>
    <cellStyle name="Normal 20 4 4 4 3" xfId="45152" xr:uid="{00000000-0005-0000-0000-0000878A0000}"/>
    <cellStyle name="Normal 20 4 4 4 4" xfId="29052" xr:uid="{00000000-0005-0000-0000-0000888A0000}"/>
    <cellStyle name="Normal 20 4 4 4 5" xfId="19483" xr:uid="{00000000-0005-0000-0000-0000898A0000}"/>
    <cellStyle name="Normal 20 4 4 5" xfId="9914" xr:uid="{00000000-0005-0000-0000-00008A8A0000}"/>
    <cellStyle name="Normal 20 4 4 5 2" xfId="48188" xr:uid="{00000000-0005-0000-0000-00008B8A0000}"/>
    <cellStyle name="Normal 20 4 4 5 3" xfId="32088" xr:uid="{00000000-0005-0000-0000-00008C8A0000}"/>
    <cellStyle name="Normal 20 4 4 5 4" xfId="22519" xr:uid="{00000000-0005-0000-0000-00008D8A0000}"/>
    <cellStyle name="Normal 20 4 4 6" xfId="3842" xr:uid="{00000000-0005-0000-0000-00008E8A0000}"/>
    <cellStyle name="Normal 20 4 4 6 2" xfId="51683" xr:uid="{00000000-0005-0000-0000-00008F8A0000}"/>
    <cellStyle name="Normal 20 4 4 6 3" xfId="35583" xr:uid="{00000000-0005-0000-0000-0000908A0000}"/>
    <cellStyle name="Normal 20 4 4 6 4" xfId="16447" xr:uid="{00000000-0005-0000-0000-0000918A0000}"/>
    <cellStyle name="Normal 20 4 4 7" xfId="42116" xr:uid="{00000000-0005-0000-0000-0000928A0000}"/>
    <cellStyle name="Normal 20 4 4 8" xfId="26016" xr:uid="{00000000-0005-0000-0000-0000938A0000}"/>
    <cellStyle name="Normal 20 4 4 9" xfId="12952" xr:uid="{00000000-0005-0000-0000-0000948A0000}"/>
    <cellStyle name="Normal 20 4 5" xfId="822" xr:uid="{00000000-0005-0000-0000-0000958A0000}"/>
    <cellStyle name="Normal 20 4 5 2" xfId="2850" xr:uid="{00000000-0005-0000-0000-0000968A0000}"/>
    <cellStyle name="Normal 20 4 5 2 2" xfId="9382" xr:uid="{00000000-0005-0000-0000-0000978A0000}"/>
    <cellStyle name="Normal 20 4 5 2 2 2" xfId="41123" xr:uid="{00000000-0005-0000-0000-0000988A0000}"/>
    <cellStyle name="Normal 20 4 5 2 2 2 2" xfId="57223" xr:uid="{00000000-0005-0000-0000-0000998A0000}"/>
    <cellStyle name="Normal 20 4 5 2 2 3" xfId="47656" xr:uid="{00000000-0005-0000-0000-00009A8A0000}"/>
    <cellStyle name="Normal 20 4 5 2 2 4" xfId="31556" xr:uid="{00000000-0005-0000-0000-00009B8A0000}"/>
    <cellStyle name="Normal 20 4 5 2 2 5" xfId="21987" xr:uid="{00000000-0005-0000-0000-00009C8A0000}"/>
    <cellStyle name="Normal 20 4 5 2 3" xfId="12418" xr:uid="{00000000-0005-0000-0000-00009D8A0000}"/>
    <cellStyle name="Normal 20 4 5 2 3 2" xfId="50692" xr:uid="{00000000-0005-0000-0000-00009E8A0000}"/>
    <cellStyle name="Normal 20 4 5 2 3 3" xfId="34592" xr:uid="{00000000-0005-0000-0000-00009F8A0000}"/>
    <cellStyle name="Normal 20 4 5 2 3 4" xfId="25023" xr:uid="{00000000-0005-0000-0000-0000A08A0000}"/>
    <cellStyle name="Normal 20 4 5 2 4" xfId="6346" xr:uid="{00000000-0005-0000-0000-0000A18A0000}"/>
    <cellStyle name="Normal 20 4 5 2 4 2" xfId="54187" xr:uid="{00000000-0005-0000-0000-0000A28A0000}"/>
    <cellStyle name="Normal 20 4 5 2 4 3" xfId="38087" xr:uid="{00000000-0005-0000-0000-0000A38A0000}"/>
    <cellStyle name="Normal 20 4 5 2 4 4" xfId="18951" xr:uid="{00000000-0005-0000-0000-0000A48A0000}"/>
    <cellStyle name="Normal 20 4 5 2 5" xfId="44620" xr:uid="{00000000-0005-0000-0000-0000A58A0000}"/>
    <cellStyle name="Normal 20 4 5 2 6" xfId="28520" xr:uid="{00000000-0005-0000-0000-0000A68A0000}"/>
    <cellStyle name="Normal 20 4 5 2 7" xfId="15456" xr:uid="{00000000-0005-0000-0000-0000A78A0000}"/>
    <cellStyle name="Normal 20 4 5 3" xfId="1832" xr:uid="{00000000-0005-0000-0000-0000A88A0000}"/>
    <cellStyle name="Normal 20 4 5 3 2" xfId="8366" xr:uid="{00000000-0005-0000-0000-0000A98A0000}"/>
    <cellStyle name="Normal 20 4 5 3 2 2" xfId="40107" xr:uid="{00000000-0005-0000-0000-0000AA8A0000}"/>
    <cellStyle name="Normal 20 4 5 3 2 2 2" xfId="56207" xr:uid="{00000000-0005-0000-0000-0000AB8A0000}"/>
    <cellStyle name="Normal 20 4 5 3 2 3" xfId="46640" xr:uid="{00000000-0005-0000-0000-0000AC8A0000}"/>
    <cellStyle name="Normal 20 4 5 3 2 4" xfId="30540" xr:uid="{00000000-0005-0000-0000-0000AD8A0000}"/>
    <cellStyle name="Normal 20 4 5 3 2 5" xfId="20971" xr:uid="{00000000-0005-0000-0000-0000AE8A0000}"/>
    <cellStyle name="Normal 20 4 5 3 3" xfId="11402" xr:uid="{00000000-0005-0000-0000-0000AF8A0000}"/>
    <cellStyle name="Normal 20 4 5 3 3 2" xfId="49676" xr:uid="{00000000-0005-0000-0000-0000B08A0000}"/>
    <cellStyle name="Normal 20 4 5 3 3 3" xfId="33576" xr:uid="{00000000-0005-0000-0000-0000B18A0000}"/>
    <cellStyle name="Normal 20 4 5 3 3 4" xfId="24007" xr:uid="{00000000-0005-0000-0000-0000B28A0000}"/>
    <cellStyle name="Normal 20 4 5 3 4" xfId="5330" xr:uid="{00000000-0005-0000-0000-0000B38A0000}"/>
    <cellStyle name="Normal 20 4 5 3 4 2" xfId="53171" xr:uid="{00000000-0005-0000-0000-0000B48A0000}"/>
    <cellStyle name="Normal 20 4 5 3 4 3" xfId="37071" xr:uid="{00000000-0005-0000-0000-0000B58A0000}"/>
    <cellStyle name="Normal 20 4 5 3 4 4" xfId="17935" xr:uid="{00000000-0005-0000-0000-0000B68A0000}"/>
    <cellStyle name="Normal 20 4 5 3 5" xfId="43604" xr:uid="{00000000-0005-0000-0000-0000B78A0000}"/>
    <cellStyle name="Normal 20 4 5 3 6" xfId="27504" xr:uid="{00000000-0005-0000-0000-0000B88A0000}"/>
    <cellStyle name="Normal 20 4 5 3 7" xfId="14440" xr:uid="{00000000-0005-0000-0000-0000B98A0000}"/>
    <cellStyle name="Normal 20 4 5 4" xfId="7356" xr:uid="{00000000-0005-0000-0000-0000BA8A0000}"/>
    <cellStyle name="Normal 20 4 5 4 2" xfId="39097" xr:uid="{00000000-0005-0000-0000-0000BB8A0000}"/>
    <cellStyle name="Normal 20 4 5 4 2 2" xfId="55197" xr:uid="{00000000-0005-0000-0000-0000BC8A0000}"/>
    <cellStyle name="Normal 20 4 5 4 3" xfId="45630" xr:uid="{00000000-0005-0000-0000-0000BD8A0000}"/>
    <cellStyle name="Normal 20 4 5 4 4" xfId="29530" xr:uid="{00000000-0005-0000-0000-0000BE8A0000}"/>
    <cellStyle name="Normal 20 4 5 4 5" xfId="19961" xr:uid="{00000000-0005-0000-0000-0000BF8A0000}"/>
    <cellStyle name="Normal 20 4 5 5" xfId="10392" xr:uid="{00000000-0005-0000-0000-0000C08A0000}"/>
    <cellStyle name="Normal 20 4 5 5 2" xfId="48666" xr:uid="{00000000-0005-0000-0000-0000C18A0000}"/>
    <cellStyle name="Normal 20 4 5 5 3" xfId="32566" xr:uid="{00000000-0005-0000-0000-0000C28A0000}"/>
    <cellStyle name="Normal 20 4 5 5 4" xfId="22997" xr:uid="{00000000-0005-0000-0000-0000C38A0000}"/>
    <cellStyle name="Normal 20 4 5 6" xfId="4320" xr:uid="{00000000-0005-0000-0000-0000C48A0000}"/>
    <cellStyle name="Normal 20 4 5 6 2" xfId="52161" xr:uid="{00000000-0005-0000-0000-0000C58A0000}"/>
    <cellStyle name="Normal 20 4 5 6 3" xfId="36061" xr:uid="{00000000-0005-0000-0000-0000C68A0000}"/>
    <cellStyle name="Normal 20 4 5 6 4" xfId="16925" xr:uid="{00000000-0005-0000-0000-0000C78A0000}"/>
    <cellStyle name="Normal 20 4 5 7" xfId="42594" xr:uid="{00000000-0005-0000-0000-0000C88A0000}"/>
    <cellStyle name="Normal 20 4 5 8" xfId="26494" xr:uid="{00000000-0005-0000-0000-0000C98A0000}"/>
    <cellStyle name="Normal 20 4 5 9" xfId="13430" xr:uid="{00000000-0005-0000-0000-0000CA8A0000}"/>
    <cellStyle name="Normal 20 4 6" xfId="2142" xr:uid="{00000000-0005-0000-0000-0000CB8A0000}"/>
    <cellStyle name="Normal 20 4 6 2" xfId="8676" xr:uid="{00000000-0005-0000-0000-0000CC8A0000}"/>
    <cellStyle name="Normal 20 4 6 2 2" xfId="40417" xr:uid="{00000000-0005-0000-0000-0000CD8A0000}"/>
    <cellStyle name="Normal 20 4 6 2 2 2" xfId="56517" xr:uid="{00000000-0005-0000-0000-0000CE8A0000}"/>
    <cellStyle name="Normal 20 4 6 2 3" xfId="46950" xr:uid="{00000000-0005-0000-0000-0000CF8A0000}"/>
    <cellStyle name="Normal 20 4 6 2 4" xfId="30850" xr:uid="{00000000-0005-0000-0000-0000D08A0000}"/>
    <cellStyle name="Normal 20 4 6 2 5" xfId="21281" xr:uid="{00000000-0005-0000-0000-0000D18A0000}"/>
    <cellStyle name="Normal 20 4 6 3" xfId="11712" xr:uid="{00000000-0005-0000-0000-0000D28A0000}"/>
    <cellStyle name="Normal 20 4 6 3 2" xfId="49986" xr:uid="{00000000-0005-0000-0000-0000D38A0000}"/>
    <cellStyle name="Normal 20 4 6 3 3" xfId="33886" xr:uid="{00000000-0005-0000-0000-0000D48A0000}"/>
    <cellStyle name="Normal 20 4 6 3 4" xfId="24317" xr:uid="{00000000-0005-0000-0000-0000D58A0000}"/>
    <cellStyle name="Normal 20 4 6 4" xfId="5640" xr:uid="{00000000-0005-0000-0000-0000D68A0000}"/>
    <cellStyle name="Normal 20 4 6 4 2" xfId="53481" xr:uid="{00000000-0005-0000-0000-0000D78A0000}"/>
    <cellStyle name="Normal 20 4 6 4 3" xfId="37381" xr:uid="{00000000-0005-0000-0000-0000D88A0000}"/>
    <cellStyle name="Normal 20 4 6 4 4" xfId="18245" xr:uid="{00000000-0005-0000-0000-0000D98A0000}"/>
    <cellStyle name="Normal 20 4 6 5" xfId="43914" xr:uid="{00000000-0005-0000-0000-0000DA8A0000}"/>
    <cellStyle name="Normal 20 4 6 6" xfId="27814" xr:uid="{00000000-0005-0000-0000-0000DB8A0000}"/>
    <cellStyle name="Normal 20 4 6 7" xfId="14750" xr:uid="{00000000-0005-0000-0000-0000DC8A0000}"/>
    <cellStyle name="Normal 20 4 7" xfId="1149" xr:uid="{00000000-0005-0000-0000-0000DD8A0000}"/>
    <cellStyle name="Normal 20 4 7 2" xfId="7683" xr:uid="{00000000-0005-0000-0000-0000DE8A0000}"/>
    <cellStyle name="Normal 20 4 7 2 2" xfId="39424" xr:uid="{00000000-0005-0000-0000-0000DF8A0000}"/>
    <cellStyle name="Normal 20 4 7 2 2 2" xfId="55524" xr:uid="{00000000-0005-0000-0000-0000E08A0000}"/>
    <cellStyle name="Normal 20 4 7 2 3" xfId="45957" xr:uid="{00000000-0005-0000-0000-0000E18A0000}"/>
    <cellStyle name="Normal 20 4 7 2 4" xfId="29857" xr:uid="{00000000-0005-0000-0000-0000E28A0000}"/>
    <cellStyle name="Normal 20 4 7 2 5" xfId="20288" xr:uid="{00000000-0005-0000-0000-0000E38A0000}"/>
    <cellStyle name="Normal 20 4 7 3" xfId="10719" xr:uid="{00000000-0005-0000-0000-0000E48A0000}"/>
    <cellStyle name="Normal 20 4 7 3 2" xfId="48993" xr:uid="{00000000-0005-0000-0000-0000E58A0000}"/>
    <cellStyle name="Normal 20 4 7 3 3" xfId="32893" xr:uid="{00000000-0005-0000-0000-0000E68A0000}"/>
    <cellStyle name="Normal 20 4 7 3 4" xfId="23324" xr:uid="{00000000-0005-0000-0000-0000E78A0000}"/>
    <cellStyle name="Normal 20 4 7 4" xfId="4647" xr:uid="{00000000-0005-0000-0000-0000E88A0000}"/>
    <cellStyle name="Normal 20 4 7 4 2" xfId="52488" xr:uid="{00000000-0005-0000-0000-0000E98A0000}"/>
    <cellStyle name="Normal 20 4 7 4 3" xfId="36388" xr:uid="{00000000-0005-0000-0000-0000EA8A0000}"/>
    <cellStyle name="Normal 20 4 7 4 4" xfId="17252" xr:uid="{00000000-0005-0000-0000-0000EB8A0000}"/>
    <cellStyle name="Normal 20 4 7 5" xfId="42921" xr:uid="{00000000-0005-0000-0000-0000EC8A0000}"/>
    <cellStyle name="Normal 20 4 7 6" xfId="26821" xr:uid="{00000000-0005-0000-0000-0000ED8A0000}"/>
    <cellStyle name="Normal 20 4 7 7" xfId="13757" xr:uid="{00000000-0005-0000-0000-0000EE8A0000}"/>
    <cellStyle name="Normal 20 4 8" xfId="3637" xr:uid="{00000000-0005-0000-0000-0000EF8A0000}"/>
    <cellStyle name="Normal 20 4 8 2" xfId="35378" xr:uid="{00000000-0005-0000-0000-0000F08A0000}"/>
    <cellStyle name="Normal 20 4 8 2 2" xfId="51478" xr:uid="{00000000-0005-0000-0000-0000F18A0000}"/>
    <cellStyle name="Normal 20 4 8 3" xfId="41911" xr:uid="{00000000-0005-0000-0000-0000F28A0000}"/>
    <cellStyle name="Normal 20 4 8 4" xfId="25811" xr:uid="{00000000-0005-0000-0000-0000F38A0000}"/>
    <cellStyle name="Normal 20 4 8 5" xfId="16242" xr:uid="{00000000-0005-0000-0000-0000F48A0000}"/>
    <cellStyle name="Normal 20 4 9" xfId="6673" xr:uid="{00000000-0005-0000-0000-0000F58A0000}"/>
    <cellStyle name="Normal 20 4 9 2" xfId="38414" xr:uid="{00000000-0005-0000-0000-0000F68A0000}"/>
    <cellStyle name="Normal 20 4 9 2 2" xfId="54514" xr:uid="{00000000-0005-0000-0000-0000F78A0000}"/>
    <cellStyle name="Normal 20 4 9 3" xfId="44947" xr:uid="{00000000-0005-0000-0000-0000F88A0000}"/>
    <cellStyle name="Normal 20 4 9 4" xfId="28847" xr:uid="{00000000-0005-0000-0000-0000F98A0000}"/>
    <cellStyle name="Normal 20 4 9 5" xfId="19278" xr:uid="{00000000-0005-0000-0000-0000FA8A0000}"/>
    <cellStyle name="Normal 20 5" xfId="83" xr:uid="{00000000-0005-0000-0000-0000FB8A0000}"/>
    <cellStyle name="Normal 20 5 10" xfId="3194" xr:uid="{00000000-0005-0000-0000-0000FC8A0000}"/>
    <cellStyle name="Normal 20 5 10 2" xfId="51036" xr:uid="{00000000-0005-0000-0000-0000FD8A0000}"/>
    <cellStyle name="Normal 20 5 10 3" xfId="34936" xr:uid="{00000000-0005-0000-0000-0000FE8A0000}"/>
    <cellStyle name="Normal 20 5 10 4" xfId="15800" xr:uid="{00000000-0005-0000-0000-0000FF8A0000}"/>
    <cellStyle name="Normal 20 5 11" xfId="41469" xr:uid="{00000000-0005-0000-0000-0000008B0000}"/>
    <cellStyle name="Normal 20 5 12" xfId="25369" xr:uid="{00000000-0005-0000-0000-0000018B0000}"/>
    <cellStyle name="Normal 20 5 13" xfId="12764" xr:uid="{00000000-0005-0000-0000-0000028B0000}"/>
    <cellStyle name="Normal 20 5 2" xfId="264" xr:uid="{00000000-0005-0000-0000-0000038B0000}"/>
    <cellStyle name="Normal 20 5 2 10" xfId="25606" xr:uid="{00000000-0005-0000-0000-0000048B0000}"/>
    <cellStyle name="Normal 20 5 2 11" xfId="13093" xr:uid="{00000000-0005-0000-0000-0000058B0000}"/>
    <cellStyle name="Normal 20 5 2 2" xfId="1044" xr:uid="{00000000-0005-0000-0000-0000068B0000}"/>
    <cellStyle name="Normal 20 5 2 2 2" xfId="3072" xr:uid="{00000000-0005-0000-0000-0000078B0000}"/>
    <cellStyle name="Normal 20 5 2 2 2 2" xfId="9604" xr:uid="{00000000-0005-0000-0000-0000088B0000}"/>
    <cellStyle name="Normal 20 5 2 2 2 2 2" xfId="41345" xr:uid="{00000000-0005-0000-0000-0000098B0000}"/>
    <cellStyle name="Normal 20 5 2 2 2 2 2 2" xfId="57445" xr:uid="{00000000-0005-0000-0000-00000A8B0000}"/>
    <cellStyle name="Normal 20 5 2 2 2 2 3" xfId="47878" xr:uid="{00000000-0005-0000-0000-00000B8B0000}"/>
    <cellStyle name="Normal 20 5 2 2 2 2 4" xfId="31778" xr:uid="{00000000-0005-0000-0000-00000C8B0000}"/>
    <cellStyle name="Normal 20 5 2 2 2 2 5" xfId="22209" xr:uid="{00000000-0005-0000-0000-00000D8B0000}"/>
    <cellStyle name="Normal 20 5 2 2 2 3" xfId="12640" xr:uid="{00000000-0005-0000-0000-00000E8B0000}"/>
    <cellStyle name="Normal 20 5 2 2 2 3 2" xfId="50914" xr:uid="{00000000-0005-0000-0000-00000F8B0000}"/>
    <cellStyle name="Normal 20 5 2 2 2 3 3" xfId="34814" xr:uid="{00000000-0005-0000-0000-0000108B0000}"/>
    <cellStyle name="Normal 20 5 2 2 2 3 4" xfId="25245" xr:uid="{00000000-0005-0000-0000-0000118B0000}"/>
    <cellStyle name="Normal 20 5 2 2 2 4" xfId="6568" xr:uid="{00000000-0005-0000-0000-0000128B0000}"/>
    <cellStyle name="Normal 20 5 2 2 2 4 2" xfId="54409" xr:uid="{00000000-0005-0000-0000-0000138B0000}"/>
    <cellStyle name="Normal 20 5 2 2 2 4 3" xfId="38309" xr:uid="{00000000-0005-0000-0000-0000148B0000}"/>
    <cellStyle name="Normal 20 5 2 2 2 4 4" xfId="19173" xr:uid="{00000000-0005-0000-0000-0000158B0000}"/>
    <cellStyle name="Normal 20 5 2 2 2 5" xfId="44842" xr:uid="{00000000-0005-0000-0000-0000168B0000}"/>
    <cellStyle name="Normal 20 5 2 2 2 6" xfId="28742" xr:uid="{00000000-0005-0000-0000-0000178B0000}"/>
    <cellStyle name="Normal 20 5 2 2 2 7" xfId="15678" xr:uid="{00000000-0005-0000-0000-0000188B0000}"/>
    <cellStyle name="Normal 20 5 2 2 3" xfId="2054" xr:uid="{00000000-0005-0000-0000-0000198B0000}"/>
    <cellStyle name="Normal 20 5 2 2 3 2" xfId="8588" xr:uid="{00000000-0005-0000-0000-00001A8B0000}"/>
    <cellStyle name="Normal 20 5 2 2 3 2 2" xfId="40329" xr:uid="{00000000-0005-0000-0000-00001B8B0000}"/>
    <cellStyle name="Normal 20 5 2 2 3 2 2 2" xfId="56429" xr:uid="{00000000-0005-0000-0000-00001C8B0000}"/>
    <cellStyle name="Normal 20 5 2 2 3 2 3" xfId="46862" xr:uid="{00000000-0005-0000-0000-00001D8B0000}"/>
    <cellStyle name="Normal 20 5 2 2 3 2 4" xfId="30762" xr:uid="{00000000-0005-0000-0000-00001E8B0000}"/>
    <cellStyle name="Normal 20 5 2 2 3 2 5" xfId="21193" xr:uid="{00000000-0005-0000-0000-00001F8B0000}"/>
    <cellStyle name="Normal 20 5 2 2 3 3" xfId="11624" xr:uid="{00000000-0005-0000-0000-0000208B0000}"/>
    <cellStyle name="Normal 20 5 2 2 3 3 2" xfId="49898" xr:uid="{00000000-0005-0000-0000-0000218B0000}"/>
    <cellStyle name="Normal 20 5 2 2 3 3 3" xfId="33798" xr:uid="{00000000-0005-0000-0000-0000228B0000}"/>
    <cellStyle name="Normal 20 5 2 2 3 3 4" xfId="24229" xr:uid="{00000000-0005-0000-0000-0000238B0000}"/>
    <cellStyle name="Normal 20 5 2 2 3 4" xfId="5552" xr:uid="{00000000-0005-0000-0000-0000248B0000}"/>
    <cellStyle name="Normal 20 5 2 2 3 4 2" xfId="53393" xr:uid="{00000000-0005-0000-0000-0000258B0000}"/>
    <cellStyle name="Normal 20 5 2 2 3 4 3" xfId="37293" xr:uid="{00000000-0005-0000-0000-0000268B0000}"/>
    <cellStyle name="Normal 20 5 2 2 3 4 4" xfId="18157" xr:uid="{00000000-0005-0000-0000-0000278B0000}"/>
    <cellStyle name="Normal 20 5 2 2 3 5" xfId="43826" xr:uid="{00000000-0005-0000-0000-0000288B0000}"/>
    <cellStyle name="Normal 20 5 2 2 3 6" xfId="27726" xr:uid="{00000000-0005-0000-0000-0000298B0000}"/>
    <cellStyle name="Normal 20 5 2 2 3 7" xfId="14662" xr:uid="{00000000-0005-0000-0000-00002A8B0000}"/>
    <cellStyle name="Normal 20 5 2 2 4" xfId="7578" xr:uid="{00000000-0005-0000-0000-00002B8B0000}"/>
    <cellStyle name="Normal 20 5 2 2 4 2" xfId="39319" xr:uid="{00000000-0005-0000-0000-00002C8B0000}"/>
    <cellStyle name="Normal 20 5 2 2 4 2 2" xfId="55419" xr:uid="{00000000-0005-0000-0000-00002D8B0000}"/>
    <cellStyle name="Normal 20 5 2 2 4 3" xfId="45852" xr:uid="{00000000-0005-0000-0000-00002E8B0000}"/>
    <cellStyle name="Normal 20 5 2 2 4 4" xfId="29752" xr:uid="{00000000-0005-0000-0000-00002F8B0000}"/>
    <cellStyle name="Normal 20 5 2 2 4 5" xfId="20183" xr:uid="{00000000-0005-0000-0000-0000308B0000}"/>
    <cellStyle name="Normal 20 5 2 2 5" xfId="10614" xr:uid="{00000000-0005-0000-0000-0000318B0000}"/>
    <cellStyle name="Normal 20 5 2 2 5 2" xfId="48888" xr:uid="{00000000-0005-0000-0000-0000328B0000}"/>
    <cellStyle name="Normal 20 5 2 2 5 3" xfId="32788" xr:uid="{00000000-0005-0000-0000-0000338B0000}"/>
    <cellStyle name="Normal 20 5 2 2 5 4" xfId="23219" xr:uid="{00000000-0005-0000-0000-0000348B0000}"/>
    <cellStyle name="Normal 20 5 2 2 6" xfId="4542" xr:uid="{00000000-0005-0000-0000-0000358B0000}"/>
    <cellStyle name="Normal 20 5 2 2 6 2" xfId="52383" xr:uid="{00000000-0005-0000-0000-0000368B0000}"/>
    <cellStyle name="Normal 20 5 2 2 6 3" xfId="36283" xr:uid="{00000000-0005-0000-0000-0000378B0000}"/>
    <cellStyle name="Normal 20 5 2 2 6 4" xfId="17147" xr:uid="{00000000-0005-0000-0000-0000388B0000}"/>
    <cellStyle name="Normal 20 5 2 2 7" xfId="42816" xr:uid="{00000000-0005-0000-0000-0000398B0000}"/>
    <cellStyle name="Normal 20 5 2 2 8" xfId="26716" xr:uid="{00000000-0005-0000-0000-00003A8B0000}"/>
    <cellStyle name="Normal 20 5 2 2 9" xfId="13652" xr:uid="{00000000-0005-0000-0000-00003B8B0000}"/>
    <cellStyle name="Normal 20 5 2 3" xfId="2283" xr:uid="{00000000-0005-0000-0000-00003C8B0000}"/>
    <cellStyle name="Normal 20 5 2 3 2" xfId="8817" xr:uid="{00000000-0005-0000-0000-00003D8B0000}"/>
    <cellStyle name="Normal 20 5 2 3 2 2" xfId="40558" xr:uid="{00000000-0005-0000-0000-00003E8B0000}"/>
    <cellStyle name="Normal 20 5 2 3 2 2 2" xfId="56658" xr:uid="{00000000-0005-0000-0000-00003F8B0000}"/>
    <cellStyle name="Normal 20 5 2 3 2 3" xfId="47091" xr:uid="{00000000-0005-0000-0000-0000408B0000}"/>
    <cellStyle name="Normal 20 5 2 3 2 4" xfId="30991" xr:uid="{00000000-0005-0000-0000-0000418B0000}"/>
    <cellStyle name="Normal 20 5 2 3 2 5" xfId="21422" xr:uid="{00000000-0005-0000-0000-0000428B0000}"/>
    <cellStyle name="Normal 20 5 2 3 3" xfId="11853" xr:uid="{00000000-0005-0000-0000-0000438B0000}"/>
    <cellStyle name="Normal 20 5 2 3 3 2" xfId="50127" xr:uid="{00000000-0005-0000-0000-0000448B0000}"/>
    <cellStyle name="Normal 20 5 2 3 3 3" xfId="34027" xr:uid="{00000000-0005-0000-0000-0000458B0000}"/>
    <cellStyle name="Normal 20 5 2 3 3 4" xfId="24458" xr:uid="{00000000-0005-0000-0000-0000468B0000}"/>
    <cellStyle name="Normal 20 5 2 3 4" xfId="5781" xr:uid="{00000000-0005-0000-0000-0000478B0000}"/>
    <cellStyle name="Normal 20 5 2 3 4 2" xfId="53622" xr:uid="{00000000-0005-0000-0000-0000488B0000}"/>
    <cellStyle name="Normal 20 5 2 3 4 3" xfId="37522" xr:uid="{00000000-0005-0000-0000-0000498B0000}"/>
    <cellStyle name="Normal 20 5 2 3 4 4" xfId="18386" xr:uid="{00000000-0005-0000-0000-00004A8B0000}"/>
    <cellStyle name="Normal 20 5 2 3 5" xfId="44055" xr:uid="{00000000-0005-0000-0000-00004B8B0000}"/>
    <cellStyle name="Normal 20 5 2 3 6" xfId="27955" xr:uid="{00000000-0005-0000-0000-00004C8B0000}"/>
    <cellStyle name="Normal 20 5 2 3 7" xfId="14891" xr:uid="{00000000-0005-0000-0000-00004D8B0000}"/>
    <cellStyle name="Normal 20 5 2 4" xfId="1495" xr:uid="{00000000-0005-0000-0000-00004E8B0000}"/>
    <cellStyle name="Normal 20 5 2 4 2" xfId="8029" xr:uid="{00000000-0005-0000-0000-00004F8B0000}"/>
    <cellStyle name="Normal 20 5 2 4 2 2" xfId="39770" xr:uid="{00000000-0005-0000-0000-0000508B0000}"/>
    <cellStyle name="Normal 20 5 2 4 2 2 2" xfId="55870" xr:uid="{00000000-0005-0000-0000-0000518B0000}"/>
    <cellStyle name="Normal 20 5 2 4 2 3" xfId="46303" xr:uid="{00000000-0005-0000-0000-0000528B0000}"/>
    <cellStyle name="Normal 20 5 2 4 2 4" xfId="30203" xr:uid="{00000000-0005-0000-0000-0000538B0000}"/>
    <cellStyle name="Normal 20 5 2 4 2 5" xfId="20634" xr:uid="{00000000-0005-0000-0000-0000548B0000}"/>
    <cellStyle name="Normal 20 5 2 4 3" xfId="11065" xr:uid="{00000000-0005-0000-0000-0000558B0000}"/>
    <cellStyle name="Normal 20 5 2 4 3 2" xfId="49339" xr:uid="{00000000-0005-0000-0000-0000568B0000}"/>
    <cellStyle name="Normal 20 5 2 4 3 3" xfId="33239" xr:uid="{00000000-0005-0000-0000-0000578B0000}"/>
    <cellStyle name="Normal 20 5 2 4 3 4" xfId="23670" xr:uid="{00000000-0005-0000-0000-0000588B0000}"/>
    <cellStyle name="Normal 20 5 2 4 4" xfId="4993" xr:uid="{00000000-0005-0000-0000-0000598B0000}"/>
    <cellStyle name="Normal 20 5 2 4 4 2" xfId="52834" xr:uid="{00000000-0005-0000-0000-00005A8B0000}"/>
    <cellStyle name="Normal 20 5 2 4 4 3" xfId="36734" xr:uid="{00000000-0005-0000-0000-00005B8B0000}"/>
    <cellStyle name="Normal 20 5 2 4 4 4" xfId="17598" xr:uid="{00000000-0005-0000-0000-00005C8B0000}"/>
    <cellStyle name="Normal 20 5 2 4 5" xfId="43267" xr:uid="{00000000-0005-0000-0000-00005D8B0000}"/>
    <cellStyle name="Normal 20 5 2 4 6" xfId="27167" xr:uid="{00000000-0005-0000-0000-00005E8B0000}"/>
    <cellStyle name="Normal 20 5 2 4 7" xfId="14103" xr:uid="{00000000-0005-0000-0000-00005F8B0000}"/>
    <cellStyle name="Normal 20 5 2 5" xfId="3983" xr:uid="{00000000-0005-0000-0000-0000608B0000}"/>
    <cellStyle name="Normal 20 5 2 5 2" xfId="35724" xr:uid="{00000000-0005-0000-0000-0000618B0000}"/>
    <cellStyle name="Normal 20 5 2 5 2 2" xfId="51824" xr:uid="{00000000-0005-0000-0000-0000628B0000}"/>
    <cellStyle name="Normal 20 5 2 5 3" xfId="42257" xr:uid="{00000000-0005-0000-0000-0000638B0000}"/>
    <cellStyle name="Normal 20 5 2 5 4" xfId="26157" xr:uid="{00000000-0005-0000-0000-0000648B0000}"/>
    <cellStyle name="Normal 20 5 2 5 5" xfId="16588" xr:uid="{00000000-0005-0000-0000-0000658B0000}"/>
    <cellStyle name="Normal 20 5 2 6" xfId="7019" xr:uid="{00000000-0005-0000-0000-0000668B0000}"/>
    <cellStyle name="Normal 20 5 2 6 2" xfId="38760" xr:uid="{00000000-0005-0000-0000-0000678B0000}"/>
    <cellStyle name="Normal 20 5 2 6 2 2" xfId="54860" xr:uid="{00000000-0005-0000-0000-0000688B0000}"/>
    <cellStyle name="Normal 20 5 2 6 3" xfId="45293" xr:uid="{00000000-0005-0000-0000-0000698B0000}"/>
    <cellStyle name="Normal 20 5 2 6 4" xfId="29193" xr:uid="{00000000-0005-0000-0000-00006A8B0000}"/>
    <cellStyle name="Normal 20 5 2 6 5" xfId="19624" xr:uid="{00000000-0005-0000-0000-00006B8B0000}"/>
    <cellStyle name="Normal 20 5 2 7" xfId="10055" xr:uid="{00000000-0005-0000-0000-00006C8B0000}"/>
    <cellStyle name="Normal 20 5 2 7 2" xfId="48329" xr:uid="{00000000-0005-0000-0000-00006D8B0000}"/>
    <cellStyle name="Normal 20 5 2 7 3" xfId="32229" xr:uid="{00000000-0005-0000-0000-00006E8B0000}"/>
    <cellStyle name="Normal 20 5 2 7 4" xfId="22660" xr:uid="{00000000-0005-0000-0000-00006F8B0000}"/>
    <cellStyle name="Normal 20 5 2 8" xfId="3432" xr:uid="{00000000-0005-0000-0000-0000708B0000}"/>
    <cellStyle name="Normal 20 5 2 8 2" xfId="51273" xr:uid="{00000000-0005-0000-0000-0000718B0000}"/>
    <cellStyle name="Normal 20 5 2 8 3" xfId="35173" xr:uid="{00000000-0005-0000-0000-0000728B0000}"/>
    <cellStyle name="Normal 20 5 2 8 4" xfId="16037" xr:uid="{00000000-0005-0000-0000-0000738B0000}"/>
    <cellStyle name="Normal 20 5 2 9" xfId="41706" xr:uid="{00000000-0005-0000-0000-0000748B0000}"/>
    <cellStyle name="Normal 20 5 3" xfId="539" xr:uid="{00000000-0005-0000-0000-0000758B0000}"/>
    <cellStyle name="Normal 20 5 3 2" xfId="2569" xr:uid="{00000000-0005-0000-0000-0000768B0000}"/>
    <cellStyle name="Normal 20 5 3 2 2" xfId="9101" xr:uid="{00000000-0005-0000-0000-0000778B0000}"/>
    <cellStyle name="Normal 20 5 3 2 2 2" xfId="40842" xr:uid="{00000000-0005-0000-0000-0000788B0000}"/>
    <cellStyle name="Normal 20 5 3 2 2 2 2" xfId="56942" xr:uid="{00000000-0005-0000-0000-0000798B0000}"/>
    <cellStyle name="Normal 20 5 3 2 2 3" xfId="47375" xr:uid="{00000000-0005-0000-0000-00007A8B0000}"/>
    <cellStyle name="Normal 20 5 3 2 2 4" xfId="31275" xr:uid="{00000000-0005-0000-0000-00007B8B0000}"/>
    <cellStyle name="Normal 20 5 3 2 2 5" xfId="21706" xr:uid="{00000000-0005-0000-0000-00007C8B0000}"/>
    <cellStyle name="Normal 20 5 3 2 3" xfId="12137" xr:uid="{00000000-0005-0000-0000-00007D8B0000}"/>
    <cellStyle name="Normal 20 5 3 2 3 2" xfId="50411" xr:uid="{00000000-0005-0000-0000-00007E8B0000}"/>
    <cellStyle name="Normal 20 5 3 2 3 3" xfId="34311" xr:uid="{00000000-0005-0000-0000-00007F8B0000}"/>
    <cellStyle name="Normal 20 5 3 2 3 4" xfId="24742" xr:uid="{00000000-0005-0000-0000-0000808B0000}"/>
    <cellStyle name="Normal 20 5 3 2 4" xfId="6065" xr:uid="{00000000-0005-0000-0000-0000818B0000}"/>
    <cellStyle name="Normal 20 5 3 2 4 2" xfId="53906" xr:uid="{00000000-0005-0000-0000-0000828B0000}"/>
    <cellStyle name="Normal 20 5 3 2 4 3" xfId="37806" xr:uid="{00000000-0005-0000-0000-0000838B0000}"/>
    <cellStyle name="Normal 20 5 3 2 4 4" xfId="18670" xr:uid="{00000000-0005-0000-0000-0000848B0000}"/>
    <cellStyle name="Normal 20 5 3 2 5" xfId="44339" xr:uid="{00000000-0005-0000-0000-0000858B0000}"/>
    <cellStyle name="Normal 20 5 3 2 6" xfId="28239" xr:uid="{00000000-0005-0000-0000-0000868B0000}"/>
    <cellStyle name="Normal 20 5 3 2 7" xfId="15175" xr:uid="{00000000-0005-0000-0000-0000878B0000}"/>
    <cellStyle name="Normal 20 5 3 3" xfId="1318" xr:uid="{00000000-0005-0000-0000-0000888B0000}"/>
    <cellStyle name="Normal 20 5 3 3 2" xfId="7852" xr:uid="{00000000-0005-0000-0000-0000898B0000}"/>
    <cellStyle name="Normal 20 5 3 3 2 2" xfId="39593" xr:uid="{00000000-0005-0000-0000-00008A8B0000}"/>
    <cellStyle name="Normal 20 5 3 3 2 2 2" xfId="55693" xr:uid="{00000000-0005-0000-0000-00008B8B0000}"/>
    <cellStyle name="Normal 20 5 3 3 2 3" xfId="46126" xr:uid="{00000000-0005-0000-0000-00008C8B0000}"/>
    <cellStyle name="Normal 20 5 3 3 2 4" xfId="30026" xr:uid="{00000000-0005-0000-0000-00008D8B0000}"/>
    <cellStyle name="Normal 20 5 3 3 2 5" xfId="20457" xr:uid="{00000000-0005-0000-0000-00008E8B0000}"/>
    <cellStyle name="Normal 20 5 3 3 3" xfId="10888" xr:uid="{00000000-0005-0000-0000-00008F8B0000}"/>
    <cellStyle name="Normal 20 5 3 3 3 2" xfId="49162" xr:uid="{00000000-0005-0000-0000-0000908B0000}"/>
    <cellStyle name="Normal 20 5 3 3 3 3" xfId="33062" xr:uid="{00000000-0005-0000-0000-0000918B0000}"/>
    <cellStyle name="Normal 20 5 3 3 3 4" xfId="23493" xr:uid="{00000000-0005-0000-0000-0000928B0000}"/>
    <cellStyle name="Normal 20 5 3 3 4" xfId="4816" xr:uid="{00000000-0005-0000-0000-0000938B0000}"/>
    <cellStyle name="Normal 20 5 3 3 4 2" xfId="52657" xr:uid="{00000000-0005-0000-0000-0000948B0000}"/>
    <cellStyle name="Normal 20 5 3 3 4 3" xfId="36557" xr:uid="{00000000-0005-0000-0000-0000958B0000}"/>
    <cellStyle name="Normal 20 5 3 3 4 4" xfId="17421" xr:uid="{00000000-0005-0000-0000-0000968B0000}"/>
    <cellStyle name="Normal 20 5 3 3 5" xfId="43090" xr:uid="{00000000-0005-0000-0000-0000978B0000}"/>
    <cellStyle name="Normal 20 5 3 3 6" xfId="26990" xr:uid="{00000000-0005-0000-0000-0000988B0000}"/>
    <cellStyle name="Normal 20 5 3 3 7" xfId="13926" xr:uid="{00000000-0005-0000-0000-0000998B0000}"/>
    <cellStyle name="Normal 20 5 3 4" xfId="6842" xr:uid="{00000000-0005-0000-0000-00009A8B0000}"/>
    <cellStyle name="Normal 20 5 3 4 2" xfId="38583" xr:uid="{00000000-0005-0000-0000-00009B8B0000}"/>
    <cellStyle name="Normal 20 5 3 4 2 2" xfId="54683" xr:uid="{00000000-0005-0000-0000-00009C8B0000}"/>
    <cellStyle name="Normal 20 5 3 4 3" xfId="45116" xr:uid="{00000000-0005-0000-0000-00009D8B0000}"/>
    <cellStyle name="Normal 20 5 3 4 4" xfId="29016" xr:uid="{00000000-0005-0000-0000-00009E8B0000}"/>
    <cellStyle name="Normal 20 5 3 4 5" xfId="19447" xr:uid="{00000000-0005-0000-0000-00009F8B0000}"/>
    <cellStyle name="Normal 20 5 3 5" xfId="9878" xr:uid="{00000000-0005-0000-0000-0000A08B0000}"/>
    <cellStyle name="Normal 20 5 3 5 2" xfId="48152" xr:uid="{00000000-0005-0000-0000-0000A18B0000}"/>
    <cellStyle name="Normal 20 5 3 5 3" xfId="32052" xr:uid="{00000000-0005-0000-0000-0000A28B0000}"/>
    <cellStyle name="Normal 20 5 3 5 4" xfId="22483" xr:uid="{00000000-0005-0000-0000-0000A38B0000}"/>
    <cellStyle name="Normal 20 5 3 6" xfId="3806" xr:uid="{00000000-0005-0000-0000-0000A48B0000}"/>
    <cellStyle name="Normal 20 5 3 6 2" xfId="51647" xr:uid="{00000000-0005-0000-0000-0000A58B0000}"/>
    <cellStyle name="Normal 20 5 3 6 3" xfId="35547" xr:uid="{00000000-0005-0000-0000-0000A68B0000}"/>
    <cellStyle name="Normal 20 5 3 6 4" xfId="16411" xr:uid="{00000000-0005-0000-0000-0000A78B0000}"/>
    <cellStyle name="Normal 20 5 3 7" xfId="42080" xr:uid="{00000000-0005-0000-0000-0000A88B0000}"/>
    <cellStyle name="Normal 20 5 3 8" xfId="25980" xr:uid="{00000000-0005-0000-0000-0000A98B0000}"/>
    <cellStyle name="Normal 20 5 3 9" xfId="12916" xr:uid="{00000000-0005-0000-0000-0000AA8B0000}"/>
    <cellStyle name="Normal 20 5 4" xfId="839" xr:uid="{00000000-0005-0000-0000-0000AB8B0000}"/>
    <cellStyle name="Normal 20 5 4 2" xfId="2867" xr:uid="{00000000-0005-0000-0000-0000AC8B0000}"/>
    <cellStyle name="Normal 20 5 4 2 2" xfId="9399" xr:uid="{00000000-0005-0000-0000-0000AD8B0000}"/>
    <cellStyle name="Normal 20 5 4 2 2 2" xfId="41140" xr:uid="{00000000-0005-0000-0000-0000AE8B0000}"/>
    <cellStyle name="Normal 20 5 4 2 2 2 2" xfId="57240" xr:uid="{00000000-0005-0000-0000-0000AF8B0000}"/>
    <cellStyle name="Normal 20 5 4 2 2 3" xfId="47673" xr:uid="{00000000-0005-0000-0000-0000B08B0000}"/>
    <cellStyle name="Normal 20 5 4 2 2 4" xfId="31573" xr:uid="{00000000-0005-0000-0000-0000B18B0000}"/>
    <cellStyle name="Normal 20 5 4 2 2 5" xfId="22004" xr:uid="{00000000-0005-0000-0000-0000B28B0000}"/>
    <cellStyle name="Normal 20 5 4 2 3" xfId="12435" xr:uid="{00000000-0005-0000-0000-0000B38B0000}"/>
    <cellStyle name="Normal 20 5 4 2 3 2" xfId="50709" xr:uid="{00000000-0005-0000-0000-0000B48B0000}"/>
    <cellStyle name="Normal 20 5 4 2 3 3" xfId="34609" xr:uid="{00000000-0005-0000-0000-0000B58B0000}"/>
    <cellStyle name="Normal 20 5 4 2 3 4" xfId="25040" xr:uid="{00000000-0005-0000-0000-0000B68B0000}"/>
    <cellStyle name="Normal 20 5 4 2 4" xfId="6363" xr:uid="{00000000-0005-0000-0000-0000B78B0000}"/>
    <cellStyle name="Normal 20 5 4 2 4 2" xfId="54204" xr:uid="{00000000-0005-0000-0000-0000B88B0000}"/>
    <cellStyle name="Normal 20 5 4 2 4 3" xfId="38104" xr:uid="{00000000-0005-0000-0000-0000B98B0000}"/>
    <cellStyle name="Normal 20 5 4 2 4 4" xfId="18968" xr:uid="{00000000-0005-0000-0000-0000BA8B0000}"/>
    <cellStyle name="Normal 20 5 4 2 5" xfId="44637" xr:uid="{00000000-0005-0000-0000-0000BB8B0000}"/>
    <cellStyle name="Normal 20 5 4 2 6" xfId="28537" xr:uid="{00000000-0005-0000-0000-0000BC8B0000}"/>
    <cellStyle name="Normal 20 5 4 2 7" xfId="15473" xr:uid="{00000000-0005-0000-0000-0000BD8B0000}"/>
    <cellStyle name="Normal 20 5 4 3" xfId="1849" xr:uid="{00000000-0005-0000-0000-0000BE8B0000}"/>
    <cellStyle name="Normal 20 5 4 3 2" xfId="8383" xr:uid="{00000000-0005-0000-0000-0000BF8B0000}"/>
    <cellStyle name="Normal 20 5 4 3 2 2" xfId="40124" xr:uid="{00000000-0005-0000-0000-0000C08B0000}"/>
    <cellStyle name="Normal 20 5 4 3 2 2 2" xfId="56224" xr:uid="{00000000-0005-0000-0000-0000C18B0000}"/>
    <cellStyle name="Normal 20 5 4 3 2 3" xfId="46657" xr:uid="{00000000-0005-0000-0000-0000C28B0000}"/>
    <cellStyle name="Normal 20 5 4 3 2 4" xfId="30557" xr:uid="{00000000-0005-0000-0000-0000C38B0000}"/>
    <cellStyle name="Normal 20 5 4 3 2 5" xfId="20988" xr:uid="{00000000-0005-0000-0000-0000C48B0000}"/>
    <cellStyle name="Normal 20 5 4 3 3" xfId="11419" xr:uid="{00000000-0005-0000-0000-0000C58B0000}"/>
    <cellStyle name="Normal 20 5 4 3 3 2" xfId="49693" xr:uid="{00000000-0005-0000-0000-0000C68B0000}"/>
    <cellStyle name="Normal 20 5 4 3 3 3" xfId="33593" xr:uid="{00000000-0005-0000-0000-0000C78B0000}"/>
    <cellStyle name="Normal 20 5 4 3 3 4" xfId="24024" xr:uid="{00000000-0005-0000-0000-0000C88B0000}"/>
    <cellStyle name="Normal 20 5 4 3 4" xfId="5347" xr:uid="{00000000-0005-0000-0000-0000C98B0000}"/>
    <cellStyle name="Normal 20 5 4 3 4 2" xfId="53188" xr:uid="{00000000-0005-0000-0000-0000CA8B0000}"/>
    <cellStyle name="Normal 20 5 4 3 4 3" xfId="37088" xr:uid="{00000000-0005-0000-0000-0000CB8B0000}"/>
    <cellStyle name="Normal 20 5 4 3 4 4" xfId="17952" xr:uid="{00000000-0005-0000-0000-0000CC8B0000}"/>
    <cellStyle name="Normal 20 5 4 3 5" xfId="43621" xr:uid="{00000000-0005-0000-0000-0000CD8B0000}"/>
    <cellStyle name="Normal 20 5 4 3 6" xfId="27521" xr:uid="{00000000-0005-0000-0000-0000CE8B0000}"/>
    <cellStyle name="Normal 20 5 4 3 7" xfId="14457" xr:uid="{00000000-0005-0000-0000-0000CF8B0000}"/>
    <cellStyle name="Normal 20 5 4 4" xfId="7373" xr:uid="{00000000-0005-0000-0000-0000D08B0000}"/>
    <cellStyle name="Normal 20 5 4 4 2" xfId="39114" xr:uid="{00000000-0005-0000-0000-0000D18B0000}"/>
    <cellStyle name="Normal 20 5 4 4 2 2" xfId="55214" xr:uid="{00000000-0005-0000-0000-0000D28B0000}"/>
    <cellStyle name="Normal 20 5 4 4 3" xfId="45647" xr:uid="{00000000-0005-0000-0000-0000D38B0000}"/>
    <cellStyle name="Normal 20 5 4 4 4" xfId="29547" xr:uid="{00000000-0005-0000-0000-0000D48B0000}"/>
    <cellStyle name="Normal 20 5 4 4 5" xfId="19978" xr:uid="{00000000-0005-0000-0000-0000D58B0000}"/>
    <cellStyle name="Normal 20 5 4 5" xfId="10409" xr:uid="{00000000-0005-0000-0000-0000D68B0000}"/>
    <cellStyle name="Normal 20 5 4 5 2" xfId="48683" xr:uid="{00000000-0005-0000-0000-0000D78B0000}"/>
    <cellStyle name="Normal 20 5 4 5 3" xfId="32583" xr:uid="{00000000-0005-0000-0000-0000D88B0000}"/>
    <cellStyle name="Normal 20 5 4 5 4" xfId="23014" xr:uid="{00000000-0005-0000-0000-0000D98B0000}"/>
    <cellStyle name="Normal 20 5 4 6" xfId="4337" xr:uid="{00000000-0005-0000-0000-0000DA8B0000}"/>
    <cellStyle name="Normal 20 5 4 6 2" xfId="52178" xr:uid="{00000000-0005-0000-0000-0000DB8B0000}"/>
    <cellStyle name="Normal 20 5 4 6 3" xfId="36078" xr:uid="{00000000-0005-0000-0000-0000DC8B0000}"/>
    <cellStyle name="Normal 20 5 4 6 4" xfId="16942" xr:uid="{00000000-0005-0000-0000-0000DD8B0000}"/>
    <cellStyle name="Normal 20 5 4 7" xfId="42611" xr:uid="{00000000-0005-0000-0000-0000DE8B0000}"/>
    <cellStyle name="Normal 20 5 4 8" xfId="26511" xr:uid="{00000000-0005-0000-0000-0000DF8B0000}"/>
    <cellStyle name="Normal 20 5 4 9" xfId="13447" xr:uid="{00000000-0005-0000-0000-0000E08B0000}"/>
    <cellStyle name="Normal 20 5 5" xfId="2106" xr:uid="{00000000-0005-0000-0000-0000E18B0000}"/>
    <cellStyle name="Normal 20 5 5 2" xfId="8640" xr:uid="{00000000-0005-0000-0000-0000E28B0000}"/>
    <cellStyle name="Normal 20 5 5 2 2" xfId="40381" xr:uid="{00000000-0005-0000-0000-0000E38B0000}"/>
    <cellStyle name="Normal 20 5 5 2 2 2" xfId="56481" xr:uid="{00000000-0005-0000-0000-0000E48B0000}"/>
    <cellStyle name="Normal 20 5 5 2 3" xfId="46914" xr:uid="{00000000-0005-0000-0000-0000E58B0000}"/>
    <cellStyle name="Normal 20 5 5 2 4" xfId="30814" xr:uid="{00000000-0005-0000-0000-0000E68B0000}"/>
    <cellStyle name="Normal 20 5 5 2 5" xfId="21245" xr:uid="{00000000-0005-0000-0000-0000E78B0000}"/>
    <cellStyle name="Normal 20 5 5 3" xfId="11676" xr:uid="{00000000-0005-0000-0000-0000E88B0000}"/>
    <cellStyle name="Normal 20 5 5 3 2" xfId="49950" xr:uid="{00000000-0005-0000-0000-0000E98B0000}"/>
    <cellStyle name="Normal 20 5 5 3 3" xfId="33850" xr:uid="{00000000-0005-0000-0000-0000EA8B0000}"/>
    <cellStyle name="Normal 20 5 5 3 4" xfId="24281" xr:uid="{00000000-0005-0000-0000-0000EB8B0000}"/>
    <cellStyle name="Normal 20 5 5 4" xfId="5604" xr:uid="{00000000-0005-0000-0000-0000EC8B0000}"/>
    <cellStyle name="Normal 20 5 5 4 2" xfId="53445" xr:uid="{00000000-0005-0000-0000-0000ED8B0000}"/>
    <cellStyle name="Normal 20 5 5 4 3" xfId="37345" xr:uid="{00000000-0005-0000-0000-0000EE8B0000}"/>
    <cellStyle name="Normal 20 5 5 4 4" xfId="18209" xr:uid="{00000000-0005-0000-0000-0000EF8B0000}"/>
    <cellStyle name="Normal 20 5 5 5" xfId="43878" xr:uid="{00000000-0005-0000-0000-0000F08B0000}"/>
    <cellStyle name="Normal 20 5 5 6" xfId="27778" xr:uid="{00000000-0005-0000-0000-0000F18B0000}"/>
    <cellStyle name="Normal 20 5 5 7" xfId="14714" xr:uid="{00000000-0005-0000-0000-0000F28B0000}"/>
    <cellStyle name="Normal 20 5 6" xfId="1166" xr:uid="{00000000-0005-0000-0000-0000F38B0000}"/>
    <cellStyle name="Normal 20 5 6 2" xfId="7700" xr:uid="{00000000-0005-0000-0000-0000F48B0000}"/>
    <cellStyle name="Normal 20 5 6 2 2" xfId="39441" xr:uid="{00000000-0005-0000-0000-0000F58B0000}"/>
    <cellStyle name="Normal 20 5 6 2 2 2" xfId="55541" xr:uid="{00000000-0005-0000-0000-0000F68B0000}"/>
    <cellStyle name="Normal 20 5 6 2 3" xfId="45974" xr:uid="{00000000-0005-0000-0000-0000F78B0000}"/>
    <cellStyle name="Normal 20 5 6 2 4" xfId="29874" xr:uid="{00000000-0005-0000-0000-0000F88B0000}"/>
    <cellStyle name="Normal 20 5 6 2 5" xfId="20305" xr:uid="{00000000-0005-0000-0000-0000F98B0000}"/>
    <cellStyle name="Normal 20 5 6 3" xfId="10736" xr:uid="{00000000-0005-0000-0000-0000FA8B0000}"/>
    <cellStyle name="Normal 20 5 6 3 2" xfId="49010" xr:uid="{00000000-0005-0000-0000-0000FB8B0000}"/>
    <cellStyle name="Normal 20 5 6 3 3" xfId="32910" xr:uid="{00000000-0005-0000-0000-0000FC8B0000}"/>
    <cellStyle name="Normal 20 5 6 3 4" xfId="23341" xr:uid="{00000000-0005-0000-0000-0000FD8B0000}"/>
    <cellStyle name="Normal 20 5 6 4" xfId="4664" xr:uid="{00000000-0005-0000-0000-0000FE8B0000}"/>
    <cellStyle name="Normal 20 5 6 4 2" xfId="52505" xr:uid="{00000000-0005-0000-0000-0000FF8B0000}"/>
    <cellStyle name="Normal 20 5 6 4 3" xfId="36405" xr:uid="{00000000-0005-0000-0000-0000008C0000}"/>
    <cellStyle name="Normal 20 5 6 4 4" xfId="17269" xr:uid="{00000000-0005-0000-0000-0000018C0000}"/>
    <cellStyle name="Normal 20 5 6 5" xfId="42938" xr:uid="{00000000-0005-0000-0000-0000028C0000}"/>
    <cellStyle name="Normal 20 5 6 6" xfId="26838" xr:uid="{00000000-0005-0000-0000-0000038C0000}"/>
    <cellStyle name="Normal 20 5 6 7" xfId="13774" xr:uid="{00000000-0005-0000-0000-0000048C0000}"/>
    <cellStyle name="Normal 20 5 7" xfId="3654" xr:uid="{00000000-0005-0000-0000-0000058C0000}"/>
    <cellStyle name="Normal 20 5 7 2" xfId="35395" xr:uid="{00000000-0005-0000-0000-0000068C0000}"/>
    <cellStyle name="Normal 20 5 7 2 2" xfId="51495" xr:uid="{00000000-0005-0000-0000-0000078C0000}"/>
    <cellStyle name="Normal 20 5 7 3" xfId="41928" xr:uid="{00000000-0005-0000-0000-0000088C0000}"/>
    <cellStyle name="Normal 20 5 7 4" xfId="25828" xr:uid="{00000000-0005-0000-0000-0000098C0000}"/>
    <cellStyle name="Normal 20 5 7 5" xfId="16259" xr:uid="{00000000-0005-0000-0000-00000A8C0000}"/>
    <cellStyle name="Normal 20 5 8" xfId="6690" xr:uid="{00000000-0005-0000-0000-00000B8C0000}"/>
    <cellStyle name="Normal 20 5 8 2" xfId="38431" xr:uid="{00000000-0005-0000-0000-00000C8C0000}"/>
    <cellStyle name="Normal 20 5 8 2 2" xfId="54531" xr:uid="{00000000-0005-0000-0000-00000D8C0000}"/>
    <cellStyle name="Normal 20 5 8 3" xfId="44964" xr:uid="{00000000-0005-0000-0000-00000E8C0000}"/>
    <cellStyle name="Normal 20 5 8 4" xfId="28864" xr:uid="{00000000-0005-0000-0000-00000F8C0000}"/>
    <cellStyle name="Normal 20 5 8 5" xfId="19295" xr:uid="{00000000-0005-0000-0000-0000108C0000}"/>
    <cellStyle name="Normal 20 5 9" xfId="9726" xr:uid="{00000000-0005-0000-0000-0000118C0000}"/>
    <cellStyle name="Normal 20 5 9 2" xfId="48000" xr:uid="{00000000-0005-0000-0000-0000128C0000}"/>
    <cellStyle name="Normal 20 5 9 3" xfId="31900" xr:uid="{00000000-0005-0000-0000-0000138C0000}"/>
    <cellStyle name="Normal 20 5 9 4" xfId="22331" xr:uid="{00000000-0005-0000-0000-0000148C0000}"/>
    <cellStyle name="Normal 20 6" xfId="158" xr:uid="{00000000-0005-0000-0000-0000158C0000}"/>
    <cellStyle name="Normal 20 6 10" xfId="3211" xr:uid="{00000000-0005-0000-0000-0000168C0000}"/>
    <cellStyle name="Normal 20 6 10 2" xfId="51053" xr:uid="{00000000-0005-0000-0000-0000178C0000}"/>
    <cellStyle name="Normal 20 6 10 3" xfId="34953" xr:uid="{00000000-0005-0000-0000-0000188C0000}"/>
    <cellStyle name="Normal 20 6 10 4" xfId="15817" xr:uid="{00000000-0005-0000-0000-0000198C0000}"/>
    <cellStyle name="Normal 20 6 11" xfId="41486" xr:uid="{00000000-0005-0000-0000-00001A8C0000}"/>
    <cellStyle name="Normal 20 6 12" xfId="25386" xr:uid="{00000000-0005-0000-0000-00001B8C0000}"/>
    <cellStyle name="Normal 20 6 13" xfId="12781" xr:uid="{00000000-0005-0000-0000-00001C8C0000}"/>
    <cellStyle name="Normal 20 6 2" xfId="335" xr:uid="{00000000-0005-0000-0000-00001D8C0000}"/>
    <cellStyle name="Normal 20 6 2 10" xfId="13164" xr:uid="{00000000-0005-0000-0000-00001E8C0000}"/>
    <cellStyle name="Normal 20 6 2 2" xfId="2354" xr:uid="{00000000-0005-0000-0000-00001F8C0000}"/>
    <cellStyle name="Normal 20 6 2 2 2" xfId="8888" xr:uid="{00000000-0005-0000-0000-0000208C0000}"/>
    <cellStyle name="Normal 20 6 2 2 2 2" xfId="40629" xr:uid="{00000000-0005-0000-0000-0000218C0000}"/>
    <cellStyle name="Normal 20 6 2 2 2 2 2" xfId="56729" xr:uid="{00000000-0005-0000-0000-0000228C0000}"/>
    <cellStyle name="Normal 20 6 2 2 2 3" xfId="47162" xr:uid="{00000000-0005-0000-0000-0000238C0000}"/>
    <cellStyle name="Normal 20 6 2 2 2 4" xfId="31062" xr:uid="{00000000-0005-0000-0000-0000248C0000}"/>
    <cellStyle name="Normal 20 6 2 2 2 5" xfId="21493" xr:uid="{00000000-0005-0000-0000-0000258C0000}"/>
    <cellStyle name="Normal 20 6 2 2 3" xfId="11924" xr:uid="{00000000-0005-0000-0000-0000268C0000}"/>
    <cellStyle name="Normal 20 6 2 2 3 2" xfId="50198" xr:uid="{00000000-0005-0000-0000-0000278C0000}"/>
    <cellStyle name="Normal 20 6 2 2 3 3" xfId="34098" xr:uid="{00000000-0005-0000-0000-0000288C0000}"/>
    <cellStyle name="Normal 20 6 2 2 3 4" xfId="24529" xr:uid="{00000000-0005-0000-0000-0000298C0000}"/>
    <cellStyle name="Normal 20 6 2 2 4" xfId="5852" xr:uid="{00000000-0005-0000-0000-00002A8C0000}"/>
    <cellStyle name="Normal 20 6 2 2 4 2" xfId="53693" xr:uid="{00000000-0005-0000-0000-00002B8C0000}"/>
    <cellStyle name="Normal 20 6 2 2 4 3" xfId="37593" xr:uid="{00000000-0005-0000-0000-00002C8C0000}"/>
    <cellStyle name="Normal 20 6 2 2 4 4" xfId="18457" xr:uid="{00000000-0005-0000-0000-00002D8C0000}"/>
    <cellStyle name="Normal 20 6 2 2 5" xfId="44126" xr:uid="{00000000-0005-0000-0000-00002E8C0000}"/>
    <cellStyle name="Normal 20 6 2 2 6" xfId="28026" xr:uid="{00000000-0005-0000-0000-00002F8C0000}"/>
    <cellStyle name="Normal 20 6 2 2 7" xfId="14962" xr:uid="{00000000-0005-0000-0000-0000308C0000}"/>
    <cellStyle name="Normal 20 6 2 3" xfId="1566" xr:uid="{00000000-0005-0000-0000-0000318C0000}"/>
    <cellStyle name="Normal 20 6 2 3 2" xfId="8100" xr:uid="{00000000-0005-0000-0000-0000328C0000}"/>
    <cellStyle name="Normal 20 6 2 3 2 2" xfId="39841" xr:uid="{00000000-0005-0000-0000-0000338C0000}"/>
    <cellStyle name="Normal 20 6 2 3 2 2 2" xfId="55941" xr:uid="{00000000-0005-0000-0000-0000348C0000}"/>
    <cellStyle name="Normal 20 6 2 3 2 3" xfId="46374" xr:uid="{00000000-0005-0000-0000-0000358C0000}"/>
    <cellStyle name="Normal 20 6 2 3 2 4" xfId="30274" xr:uid="{00000000-0005-0000-0000-0000368C0000}"/>
    <cellStyle name="Normal 20 6 2 3 2 5" xfId="20705" xr:uid="{00000000-0005-0000-0000-0000378C0000}"/>
    <cellStyle name="Normal 20 6 2 3 3" xfId="11136" xr:uid="{00000000-0005-0000-0000-0000388C0000}"/>
    <cellStyle name="Normal 20 6 2 3 3 2" xfId="49410" xr:uid="{00000000-0005-0000-0000-0000398C0000}"/>
    <cellStyle name="Normal 20 6 2 3 3 3" xfId="33310" xr:uid="{00000000-0005-0000-0000-00003A8C0000}"/>
    <cellStyle name="Normal 20 6 2 3 3 4" xfId="23741" xr:uid="{00000000-0005-0000-0000-00003B8C0000}"/>
    <cellStyle name="Normal 20 6 2 3 4" xfId="5064" xr:uid="{00000000-0005-0000-0000-00003C8C0000}"/>
    <cellStyle name="Normal 20 6 2 3 4 2" xfId="52905" xr:uid="{00000000-0005-0000-0000-00003D8C0000}"/>
    <cellStyle name="Normal 20 6 2 3 4 3" xfId="36805" xr:uid="{00000000-0005-0000-0000-00003E8C0000}"/>
    <cellStyle name="Normal 20 6 2 3 4 4" xfId="17669" xr:uid="{00000000-0005-0000-0000-00003F8C0000}"/>
    <cellStyle name="Normal 20 6 2 3 5" xfId="43338" xr:uid="{00000000-0005-0000-0000-0000408C0000}"/>
    <cellStyle name="Normal 20 6 2 3 6" xfId="27238" xr:uid="{00000000-0005-0000-0000-0000418C0000}"/>
    <cellStyle name="Normal 20 6 2 3 7" xfId="14174" xr:uid="{00000000-0005-0000-0000-0000428C0000}"/>
    <cellStyle name="Normal 20 6 2 4" xfId="4054" xr:uid="{00000000-0005-0000-0000-0000438C0000}"/>
    <cellStyle name="Normal 20 6 2 4 2" xfId="35795" xr:uid="{00000000-0005-0000-0000-0000448C0000}"/>
    <cellStyle name="Normal 20 6 2 4 2 2" xfId="51895" xr:uid="{00000000-0005-0000-0000-0000458C0000}"/>
    <cellStyle name="Normal 20 6 2 4 3" xfId="42328" xr:uid="{00000000-0005-0000-0000-0000468C0000}"/>
    <cellStyle name="Normal 20 6 2 4 4" xfId="26228" xr:uid="{00000000-0005-0000-0000-0000478C0000}"/>
    <cellStyle name="Normal 20 6 2 4 5" xfId="16659" xr:uid="{00000000-0005-0000-0000-0000488C0000}"/>
    <cellStyle name="Normal 20 6 2 5" xfId="7090" xr:uid="{00000000-0005-0000-0000-0000498C0000}"/>
    <cellStyle name="Normal 20 6 2 5 2" xfId="38831" xr:uid="{00000000-0005-0000-0000-00004A8C0000}"/>
    <cellStyle name="Normal 20 6 2 5 2 2" xfId="54931" xr:uid="{00000000-0005-0000-0000-00004B8C0000}"/>
    <cellStyle name="Normal 20 6 2 5 3" xfId="45364" xr:uid="{00000000-0005-0000-0000-00004C8C0000}"/>
    <cellStyle name="Normal 20 6 2 5 4" xfId="29264" xr:uid="{00000000-0005-0000-0000-00004D8C0000}"/>
    <cellStyle name="Normal 20 6 2 5 5" xfId="19695" xr:uid="{00000000-0005-0000-0000-00004E8C0000}"/>
    <cellStyle name="Normal 20 6 2 6" xfId="10126" xr:uid="{00000000-0005-0000-0000-00004F8C0000}"/>
    <cellStyle name="Normal 20 6 2 6 2" xfId="48400" xr:uid="{00000000-0005-0000-0000-0000508C0000}"/>
    <cellStyle name="Normal 20 6 2 6 3" xfId="32300" xr:uid="{00000000-0005-0000-0000-0000518C0000}"/>
    <cellStyle name="Normal 20 6 2 6 4" xfId="22731" xr:uid="{00000000-0005-0000-0000-0000528C0000}"/>
    <cellStyle name="Normal 20 6 2 7" xfId="3449" xr:uid="{00000000-0005-0000-0000-0000538C0000}"/>
    <cellStyle name="Normal 20 6 2 7 2" xfId="51290" xr:uid="{00000000-0005-0000-0000-0000548C0000}"/>
    <cellStyle name="Normal 20 6 2 7 3" xfId="35190" xr:uid="{00000000-0005-0000-0000-0000558C0000}"/>
    <cellStyle name="Normal 20 6 2 7 4" xfId="16054" xr:uid="{00000000-0005-0000-0000-0000568C0000}"/>
    <cellStyle name="Normal 20 6 2 8" xfId="41723" xr:uid="{00000000-0005-0000-0000-0000578C0000}"/>
    <cellStyle name="Normal 20 6 2 9" xfId="25623" xr:uid="{00000000-0005-0000-0000-0000588C0000}"/>
    <cellStyle name="Normal 20 6 3" xfId="593" xr:uid="{00000000-0005-0000-0000-0000598C0000}"/>
    <cellStyle name="Normal 20 6 3 2" xfId="2621" xr:uid="{00000000-0005-0000-0000-00005A8C0000}"/>
    <cellStyle name="Normal 20 6 3 2 2" xfId="9153" xr:uid="{00000000-0005-0000-0000-00005B8C0000}"/>
    <cellStyle name="Normal 20 6 3 2 2 2" xfId="40894" xr:uid="{00000000-0005-0000-0000-00005C8C0000}"/>
    <cellStyle name="Normal 20 6 3 2 2 2 2" xfId="56994" xr:uid="{00000000-0005-0000-0000-00005D8C0000}"/>
    <cellStyle name="Normal 20 6 3 2 2 3" xfId="47427" xr:uid="{00000000-0005-0000-0000-00005E8C0000}"/>
    <cellStyle name="Normal 20 6 3 2 2 4" xfId="31327" xr:uid="{00000000-0005-0000-0000-00005F8C0000}"/>
    <cellStyle name="Normal 20 6 3 2 2 5" xfId="21758" xr:uid="{00000000-0005-0000-0000-0000608C0000}"/>
    <cellStyle name="Normal 20 6 3 2 3" xfId="12189" xr:uid="{00000000-0005-0000-0000-0000618C0000}"/>
    <cellStyle name="Normal 20 6 3 2 3 2" xfId="50463" xr:uid="{00000000-0005-0000-0000-0000628C0000}"/>
    <cellStyle name="Normal 20 6 3 2 3 3" xfId="34363" xr:uid="{00000000-0005-0000-0000-0000638C0000}"/>
    <cellStyle name="Normal 20 6 3 2 3 4" xfId="24794" xr:uid="{00000000-0005-0000-0000-0000648C0000}"/>
    <cellStyle name="Normal 20 6 3 2 4" xfId="6117" xr:uid="{00000000-0005-0000-0000-0000658C0000}"/>
    <cellStyle name="Normal 20 6 3 2 4 2" xfId="53958" xr:uid="{00000000-0005-0000-0000-0000668C0000}"/>
    <cellStyle name="Normal 20 6 3 2 4 3" xfId="37858" xr:uid="{00000000-0005-0000-0000-0000678C0000}"/>
    <cellStyle name="Normal 20 6 3 2 4 4" xfId="18722" xr:uid="{00000000-0005-0000-0000-0000688C0000}"/>
    <cellStyle name="Normal 20 6 3 2 5" xfId="44391" xr:uid="{00000000-0005-0000-0000-0000698C0000}"/>
    <cellStyle name="Normal 20 6 3 2 6" xfId="28291" xr:uid="{00000000-0005-0000-0000-00006A8C0000}"/>
    <cellStyle name="Normal 20 6 3 2 7" xfId="15227" xr:uid="{00000000-0005-0000-0000-00006B8C0000}"/>
    <cellStyle name="Normal 20 6 3 3" xfId="1389" xr:uid="{00000000-0005-0000-0000-00006C8C0000}"/>
    <cellStyle name="Normal 20 6 3 3 2" xfId="7923" xr:uid="{00000000-0005-0000-0000-00006D8C0000}"/>
    <cellStyle name="Normal 20 6 3 3 2 2" xfId="39664" xr:uid="{00000000-0005-0000-0000-00006E8C0000}"/>
    <cellStyle name="Normal 20 6 3 3 2 2 2" xfId="55764" xr:uid="{00000000-0005-0000-0000-00006F8C0000}"/>
    <cellStyle name="Normal 20 6 3 3 2 3" xfId="46197" xr:uid="{00000000-0005-0000-0000-0000708C0000}"/>
    <cellStyle name="Normal 20 6 3 3 2 4" xfId="30097" xr:uid="{00000000-0005-0000-0000-0000718C0000}"/>
    <cellStyle name="Normal 20 6 3 3 2 5" xfId="20528" xr:uid="{00000000-0005-0000-0000-0000728C0000}"/>
    <cellStyle name="Normal 20 6 3 3 3" xfId="10959" xr:uid="{00000000-0005-0000-0000-0000738C0000}"/>
    <cellStyle name="Normal 20 6 3 3 3 2" xfId="49233" xr:uid="{00000000-0005-0000-0000-0000748C0000}"/>
    <cellStyle name="Normal 20 6 3 3 3 3" xfId="33133" xr:uid="{00000000-0005-0000-0000-0000758C0000}"/>
    <cellStyle name="Normal 20 6 3 3 3 4" xfId="23564" xr:uid="{00000000-0005-0000-0000-0000768C0000}"/>
    <cellStyle name="Normal 20 6 3 3 4" xfId="4887" xr:uid="{00000000-0005-0000-0000-0000778C0000}"/>
    <cellStyle name="Normal 20 6 3 3 4 2" xfId="52728" xr:uid="{00000000-0005-0000-0000-0000788C0000}"/>
    <cellStyle name="Normal 20 6 3 3 4 3" xfId="36628" xr:uid="{00000000-0005-0000-0000-0000798C0000}"/>
    <cellStyle name="Normal 20 6 3 3 4 4" xfId="17492" xr:uid="{00000000-0005-0000-0000-00007A8C0000}"/>
    <cellStyle name="Normal 20 6 3 3 5" xfId="43161" xr:uid="{00000000-0005-0000-0000-00007B8C0000}"/>
    <cellStyle name="Normal 20 6 3 3 6" xfId="27061" xr:uid="{00000000-0005-0000-0000-00007C8C0000}"/>
    <cellStyle name="Normal 20 6 3 3 7" xfId="13997" xr:uid="{00000000-0005-0000-0000-00007D8C0000}"/>
    <cellStyle name="Normal 20 6 3 4" xfId="6913" xr:uid="{00000000-0005-0000-0000-00007E8C0000}"/>
    <cellStyle name="Normal 20 6 3 4 2" xfId="38654" xr:uid="{00000000-0005-0000-0000-00007F8C0000}"/>
    <cellStyle name="Normal 20 6 3 4 2 2" xfId="54754" xr:uid="{00000000-0005-0000-0000-0000808C0000}"/>
    <cellStyle name="Normal 20 6 3 4 3" xfId="45187" xr:uid="{00000000-0005-0000-0000-0000818C0000}"/>
    <cellStyle name="Normal 20 6 3 4 4" xfId="29087" xr:uid="{00000000-0005-0000-0000-0000828C0000}"/>
    <cellStyle name="Normal 20 6 3 4 5" xfId="19518" xr:uid="{00000000-0005-0000-0000-0000838C0000}"/>
    <cellStyle name="Normal 20 6 3 5" xfId="9949" xr:uid="{00000000-0005-0000-0000-0000848C0000}"/>
    <cellStyle name="Normal 20 6 3 5 2" xfId="48223" xr:uid="{00000000-0005-0000-0000-0000858C0000}"/>
    <cellStyle name="Normal 20 6 3 5 3" xfId="32123" xr:uid="{00000000-0005-0000-0000-0000868C0000}"/>
    <cellStyle name="Normal 20 6 3 5 4" xfId="22554" xr:uid="{00000000-0005-0000-0000-0000878C0000}"/>
    <cellStyle name="Normal 20 6 3 6" xfId="3877" xr:uid="{00000000-0005-0000-0000-0000888C0000}"/>
    <cellStyle name="Normal 20 6 3 6 2" xfId="51718" xr:uid="{00000000-0005-0000-0000-0000898C0000}"/>
    <cellStyle name="Normal 20 6 3 6 3" xfId="35618" xr:uid="{00000000-0005-0000-0000-00008A8C0000}"/>
    <cellStyle name="Normal 20 6 3 6 4" xfId="16482" xr:uid="{00000000-0005-0000-0000-00008B8C0000}"/>
    <cellStyle name="Normal 20 6 3 7" xfId="42151" xr:uid="{00000000-0005-0000-0000-00008C8C0000}"/>
    <cellStyle name="Normal 20 6 3 8" xfId="26051" xr:uid="{00000000-0005-0000-0000-00008D8C0000}"/>
    <cellStyle name="Normal 20 6 3 9" xfId="12987" xr:uid="{00000000-0005-0000-0000-00008E8C0000}"/>
    <cellStyle name="Normal 20 6 4" xfId="856" xr:uid="{00000000-0005-0000-0000-00008F8C0000}"/>
    <cellStyle name="Normal 20 6 4 2" xfId="2884" xr:uid="{00000000-0005-0000-0000-0000908C0000}"/>
    <cellStyle name="Normal 20 6 4 2 2" xfId="9416" xr:uid="{00000000-0005-0000-0000-0000918C0000}"/>
    <cellStyle name="Normal 20 6 4 2 2 2" xfId="41157" xr:uid="{00000000-0005-0000-0000-0000928C0000}"/>
    <cellStyle name="Normal 20 6 4 2 2 2 2" xfId="57257" xr:uid="{00000000-0005-0000-0000-0000938C0000}"/>
    <cellStyle name="Normal 20 6 4 2 2 3" xfId="47690" xr:uid="{00000000-0005-0000-0000-0000948C0000}"/>
    <cellStyle name="Normal 20 6 4 2 2 4" xfId="31590" xr:uid="{00000000-0005-0000-0000-0000958C0000}"/>
    <cellStyle name="Normal 20 6 4 2 2 5" xfId="22021" xr:uid="{00000000-0005-0000-0000-0000968C0000}"/>
    <cellStyle name="Normal 20 6 4 2 3" xfId="12452" xr:uid="{00000000-0005-0000-0000-0000978C0000}"/>
    <cellStyle name="Normal 20 6 4 2 3 2" xfId="50726" xr:uid="{00000000-0005-0000-0000-0000988C0000}"/>
    <cellStyle name="Normal 20 6 4 2 3 3" xfId="34626" xr:uid="{00000000-0005-0000-0000-0000998C0000}"/>
    <cellStyle name="Normal 20 6 4 2 3 4" xfId="25057" xr:uid="{00000000-0005-0000-0000-00009A8C0000}"/>
    <cellStyle name="Normal 20 6 4 2 4" xfId="6380" xr:uid="{00000000-0005-0000-0000-00009B8C0000}"/>
    <cellStyle name="Normal 20 6 4 2 4 2" xfId="54221" xr:uid="{00000000-0005-0000-0000-00009C8C0000}"/>
    <cellStyle name="Normal 20 6 4 2 4 3" xfId="38121" xr:uid="{00000000-0005-0000-0000-00009D8C0000}"/>
    <cellStyle name="Normal 20 6 4 2 4 4" xfId="18985" xr:uid="{00000000-0005-0000-0000-00009E8C0000}"/>
    <cellStyle name="Normal 20 6 4 2 5" xfId="44654" xr:uid="{00000000-0005-0000-0000-00009F8C0000}"/>
    <cellStyle name="Normal 20 6 4 2 6" xfId="28554" xr:uid="{00000000-0005-0000-0000-0000A08C0000}"/>
    <cellStyle name="Normal 20 6 4 2 7" xfId="15490" xr:uid="{00000000-0005-0000-0000-0000A18C0000}"/>
    <cellStyle name="Normal 20 6 4 3" xfId="1866" xr:uid="{00000000-0005-0000-0000-0000A28C0000}"/>
    <cellStyle name="Normal 20 6 4 3 2" xfId="8400" xr:uid="{00000000-0005-0000-0000-0000A38C0000}"/>
    <cellStyle name="Normal 20 6 4 3 2 2" xfId="40141" xr:uid="{00000000-0005-0000-0000-0000A48C0000}"/>
    <cellStyle name="Normal 20 6 4 3 2 2 2" xfId="56241" xr:uid="{00000000-0005-0000-0000-0000A58C0000}"/>
    <cellStyle name="Normal 20 6 4 3 2 3" xfId="46674" xr:uid="{00000000-0005-0000-0000-0000A68C0000}"/>
    <cellStyle name="Normal 20 6 4 3 2 4" xfId="30574" xr:uid="{00000000-0005-0000-0000-0000A78C0000}"/>
    <cellStyle name="Normal 20 6 4 3 2 5" xfId="21005" xr:uid="{00000000-0005-0000-0000-0000A88C0000}"/>
    <cellStyle name="Normal 20 6 4 3 3" xfId="11436" xr:uid="{00000000-0005-0000-0000-0000A98C0000}"/>
    <cellStyle name="Normal 20 6 4 3 3 2" xfId="49710" xr:uid="{00000000-0005-0000-0000-0000AA8C0000}"/>
    <cellStyle name="Normal 20 6 4 3 3 3" xfId="33610" xr:uid="{00000000-0005-0000-0000-0000AB8C0000}"/>
    <cellStyle name="Normal 20 6 4 3 3 4" xfId="24041" xr:uid="{00000000-0005-0000-0000-0000AC8C0000}"/>
    <cellStyle name="Normal 20 6 4 3 4" xfId="5364" xr:uid="{00000000-0005-0000-0000-0000AD8C0000}"/>
    <cellStyle name="Normal 20 6 4 3 4 2" xfId="53205" xr:uid="{00000000-0005-0000-0000-0000AE8C0000}"/>
    <cellStyle name="Normal 20 6 4 3 4 3" xfId="37105" xr:uid="{00000000-0005-0000-0000-0000AF8C0000}"/>
    <cellStyle name="Normal 20 6 4 3 4 4" xfId="17969" xr:uid="{00000000-0005-0000-0000-0000B08C0000}"/>
    <cellStyle name="Normal 20 6 4 3 5" xfId="43638" xr:uid="{00000000-0005-0000-0000-0000B18C0000}"/>
    <cellStyle name="Normal 20 6 4 3 6" xfId="27538" xr:uid="{00000000-0005-0000-0000-0000B28C0000}"/>
    <cellStyle name="Normal 20 6 4 3 7" xfId="14474" xr:uid="{00000000-0005-0000-0000-0000B38C0000}"/>
    <cellStyle name="Normal 20 6 4 4" xfId="7390" xr:uid="{00000000-0005-0000-0000-0000B48C0000}"/>
    <cellStyle name="Normal 20 6 4 4 2" xfId="39131" xr:uid="{00000000-0005-0000-0000-0000B58C0000}"/>
    <cellStyle name="Normal 20 6 4 4 2 2" xfId="55231" xr:uid="{00000000-0005-0000-0000-0000B68C0000}"/>
    <cellStyle name="Normal 20 6 4 4 3" xfId="45664" xr:uid="{00000000-0005-0000-0000-0000B78C0000}"/>
    <cellStyle name="Normal 20 6 4 4 4" xfId="29564" xr:uid="{00000000-0005-0000-0000-0000B88C0000}"/>
    <cellStyle name="Normal 20 6 4 4 5" xfId="19995" xr:uid="{00000000-0005-0000-0000-0000B98C0000}"/>
    <cellStyle name="Normal 20 6 4 5" xfId="10426" xr:uid="{00000000-0005-0000-0000-0000BA8C0000}"/>
    <cellStyle name="Normal 20 6 4 5 2" xfId="48700" xr:uid="{00000000-0005-0000-0000-0000BB8C0000}"/>
    <cellStyle name="Normal 20 6 4 5 3" xfId="32600" xr:uid="{00000000-0005-0000-0000-0000BC8C0000}"/>
    <cellStyle name="Normal 20 6 4 5 4" xfId="23031" xr:uid="{00000000-0005-0000-0000-0000BD8C0000}"/>
    <cellStyle name="Normal 20 6 4 6" xfId="4354" xr:uid="{00000000-0005-0000-0000-0000BE8C0000}"/>
    <cellStyle name="Normal 20 6 4 6 2" xfId="52195" xr:uid="{00000000-0005-0000-0000-0000BF8C0000}"/>
    <cellStyle name="Normal 20 6 4 6 3" xfId="36095" xr:uid="{00000000-0005-0000-0000-0000C08C0000}"/>
    <cellStyle name="Normal 20 6 4 6 4" xfId="16959" xr:uid="{00000000-0005-0000-0000-0000C18C0000}"/>
    <cellStyle name="Normal 20 6 4 7" xfId="42628" xr:uid="{00000000-0005-0000-0000-0000C28C0000}"/>
    <cellStyle name="Normal 20 6 4 8" xfId="26528" xr:uid="{00000000-0005-0000-0000-0000C38C0000}"/>
    <cellStyle name="Normal 20 6 4 9" xfId="13464" xr:uid="{00000000-0005-0000-0000-0000C48C0000}"/>
    <cellStyle name="Normal 20 6 5" xfId="2177" xr:uid="{00000000-0005-0000-0000-0000C58C0000}"/>
    <cellStyle name="Normal 20 6 5 2" xfId="8711" xr:uid="{00000000-0005-0000-0000-0000C68C0000}"/>
    <cellStyle name="Normal 20 6 5 2 2" xfId="40452" xr:uid="{00000000-0005-0000-0000-0000C78C0000}"/>
    <cellStyle name="Normal 20 6 5 2 2 2" xfId="56552" xr:uid="{00000000-0005-0000-0000-0000C88C0000}"/>
    <cellStyle name="Normal 20 6 5 2 3" xfId="46985" xr:uid="{00000000-0005-0000-0000-0000C98C0000}"/>
    <cellStyle name="Normal 20 6 5 2 4" xfId="30885" xr:uid="{00000000-0005-0000-0000-0000CA8C0000}"/>
    <cellStyle name="Normal 20 6 5 2 5" xfId="21316" xr:uid="{00000000-0005-0000-0000-0000CB8C0000}"/>
    <cellStyle name="Normal 20 6 5 3" xfId="11747" xr:uid="{00000000-0005-0000-0000-0000CC8C0000}"/>
    <cellStyle name="Normal 20 6 5 3 2" xfId="50021" xr:uid="{00000000-0005-0000-0000-0000CD8C0000}"/>
    <cellStyle name="Normal 20 6 5 3 3" xfId="33921" xr:uid="{00000000-0005-0000-0000-0000CE8C0000}"/>
    <cellStyle name="Normal 20 6 5 3 4" xfId="24352" xr:uid="{00000000-0005-0000-0000-0000CF8C0000}"/>
    <cellStyle name="Normal 20 6 5 4" xfId="5675" xr:uid="{00000000-0005-0000-0000-0000D08C0000}"/>
    <cellStyle name="Normal 20 6 5 4 2" xfId="53516" xr:uid="{00000000-0005-0000-0000-0000D18C0000}"/>
    <cellStyle name="Normal 20 6 5 4 3" xfId="37416" xr:uid="{00000000-0005-0000-0000-0000D28C0000}"/>
    <cellStyle name="Normal 20 6 5 4 4" xfId="18280" xr:uid="{00000000-0005-0000-0000-0000D38C0000}"/>
    <cellStyle name="Normal 20 6 5 5" xfId="43949" xr:uid="{00000000-0005-0000-0000-0000D48C0000}"/>
    <cellStyle name="Normal 20 6 5 6" xfId="27849" xr:uid="{00000000-0005-0000-0000-0000D58C0000}"/>
    <cellStyle name="Normal 20 6 5 7" xfId="14785" xr:uid="{00000000-0005-0000-0000-0000D68C0000}"/>
    <cellStyle name="Normal 20 6 6" xfId="1183" xr:uid="{00000000-0005-0000-0000-0000D78C0000}"/>
    <cellStyle name="Normal 20 6 6 2" xfId="7717" xr:uid="{00000000-0005-0000-0000-0000D88C0000}"/>
    <cellStyle name="Normal 20 6 6 2 2" xfId="39458" xr:uid="{00000000-0005-0000-0000-0000D98C0000}"/>
    <cellStyle name="Normal 20 6 6 2 2 2" xfId="55558" xr:uid="{00000000-0005-0000-0000-0000DA8C0000}"/>
    <cellStyle name="Normal 20 6 6 2 3" xfId="45991" xr:uid="{00000000-0005-0000-0000-0000DB8C0000}"/>
    <cellStyle name="Normal 20 6 6 2 4" xfId="29891" xr:uid="{00000000-0005-0000-0000-0000DC8C0000}"/>
    <cellStyle name="Normal 20 6 6 2 5" xfId="20322" xr:uid="{00000000-0005-0000-0000-0000DD8C0000}"/>
    <cellStyle name="Normal 20 6 6 3" xfId="10753" xr:uid="{00000000-0005-0000-0000-0000DE8C0000}"/>
    <cellStyle name="Normal 20 6 6 3 2" xfId="49027" xr:uid="{00000000-0005-0000-0000-0000DF8C0000}"/>
    <cellStyle name="Normal 20 6 6 3 3" xfId="32927" xr:uid="{00000000-0005-0000-0000-0000E08C0000}"/>
    <cellStyle name="Normal 20 6 6 3 4" xfId="23358" xr:uid="{00000000-0005-0000-0000-0000E18C0000}"/>
    <cellStyle name="Normal 20 6 6 4" xfId="4681" xr:uid="{00000000-0005-0000-0000-0000E28C0000}"/>
    <cellStyle name="Normal 20 6 6 4 2" xfId="52522" xr:uid="{00000000-0005-0000-0000-0000E38C0000}"/>
    <cellStyle name="Normal 20 6 6 4 3" xfId="36422" xr:uid="{00000000-0005-0000-0000-0000E48C0000}"/>
    <cellStyle name="Normal 20 6 6 4 4" xfId="17286" xr:uid="{00000000-0005-0000-0000-0000E58C0000}"/>
    <cellStyle name="Normal 20 6 6 5" xfId="42955" xr:uid="{00000000-0005-0000-0000-0000E68C0000}"/>
    <cellStyle name="Normal 20 6 6 6" xfId="26855" xr:uid="{00000000-0005-0000-0000-0000E78C0000}"/>
    <cellStyle name="Normal 20 6 6 7" xfId="13791" xr:uid="{00000000-0005-0000-0000-0000E88C0000}"/>
    <cellStyle name="Normal 20 6 7" xfId="3671" xr:uid="{00000000-0005-0000-0000-0000E98C0000}"/>
    <cellStyle name="Normal 20 6 7 2" xfId="35412" xr:uid="{00000000-0005-0000-0000-0000EA8C0000}"/>
    <cellStyle name="Normal 20 6 7 2 2" xfId="51512" xr:uid="{00000000-0005-0000-0000-0000EB8C0000}"/>
    <cellStyle name="Normal 20 6 7 3" xfId="41945" xr:uid="{00000000-0005-0000-0000-0000EC8C0000}"/>
    <cellStyle name="Normal 20 6 7 4" xfId="25845" xr:uid="{00000000-0005-0000-0000-0000ED8C0000}"/>
    <cellStyle name="Normal 20 6 7 5" xfId="16276" xr:uid="{00000000-0005-0000-0000-0000EE8C0000}"/>
    <cellStyle name="Normal 20 6 8" xfId="6707" xr:uid="{00000000-0005-0000-0000-0000EF8C0000}"/>
    <cellStyle name="Normal 20 6 8 2" xfId="38448" xr:uid="{00000000-0005-0000-0000-0000F08C0000}"/>
    <cellStyle name="Normal 20 6 8 2 2" xfId="54548" xr:uid="{00000000-0005-0000-0000-0000F18C0000}"/>
    <cellStyle name="Normal 20 6 8 3" xfId="44981" xr:uid="{00000000-0005-0000-0000-0000F28C0000}"/>
    <cellStyle name="Normal 20 6 8 4" xfId="28881" xr:uid="{00000000-0005-0000-0000-0000F38C0000}"/>
    <cellStyle name="Normal 20 6 8 5" xfId="19312" xr:uid="{00000000-0005-0000-0000-0000F48C0000}"/>
    <cellStyle name="Normal 20 6 9" xfId="9743" xr:uid="{00000000-0005-0000-0000-0000F58C0000}"/>
    <cellStyle name="Normal 20 6 9 2" xfId="48017" xr:uid="{00000000-0005-0000-0000-0000F68C0000}"/>
    <cellStyle name="Normal 20 6 9 3" xfId="31917" xr:uid="{00000000-0005-0000-0000-0000F78C0000}"/>
    <cellStyle name="Normal 20 6 9 4" xfId="22348" xr:uid="{00000000-0005-0000-0000-0000F88C0000}"/>
    <cellStyle name="Normal 20 7" xfId="229" xr:uid="{00000000-0005-0000-0000-0000F98C0000}"/>
    <cellStyle name="Normal 20 7 10" xfId="41503" xr:uid="{00000000-0005-0000-0000-0000FA8C0000}"/>
    <cellStyle name="Normal 20 7 11" xfId="25403" xr:uid="{00000000-0005-0000-0000-0000FB8C0000}"/>
    <cellStyle name="Normal 20 7 12" xfId="12798" xr:uid="{00000000-0005-0000-0000-0000FC8C0000}"/>
    <cellStyle name="Normal 20 7 2" xfId="610" xr:uid="{00000000-0005-0000-0000-0000FD8C0000}"/>
    <cellStyle name="Normal 20 7 2 10" xfId="13058" xr:uid="{00000000-0005-0000-0000-0000FE8C0000}"/>
    <cellStyle name="Normal 20 7 2 2" xfId="2638" xr:uid="{00000000-0005-0000-0000-0000FF8C0000}"/>
    <cellStyle name="Normal 20 7 2 2 2" xfId="9170" xr:uid="{00000000-0005-0000-0000-0000008D0000}"/>
    <cellStyle name="Normal 20 7 2 2 2 2" xfId="40911" xr:uid="{00000000-0005-0000-0000-0000018D0000}"/>
    <cellStyle name="Normal 20 7 2 2 2 2 2" xfId="57011" xr:uid="{00000000-0005-0000-0000-0000028D0000}"/>
    <cellStyle name="Normal 20 7 2 2 2 3" xfId="47444" xr:uid="{00000000-0005-0000-0000-0000038D0000}"/>
    <cellStyle name="Normal 20 7 2 2 2 4" xfId="31344" xr:uid="{00000000-0005-0000-0000-0000048D0000}"/>
    <cellStyle name="Normal 20 7 2 2 2 5" xfId="21775" xr:uid="{00000000-0005-0000-0000-0000058D0000}"/>
    <cellStyle name="Normal 20 7 2 2 3" xfId="12206" xr:uid="{00000000-0005-0000-0000-0000068D0000}"/>
    <cellStyle name="Normal 20 7 2 2 3 2" xfId="50480" xr:uid="{00000000-0005-0000-0000-0000078D0000}"/>
    <cellStyle name="Normal 20 7 2 2 3 3" xfId="34380" xr:uid="{00000000-0005-0000-0000-0000088D0000}"/>
    <cellStyle name="Normal 20 7 2 2 3 4" xfId="24811" xr:uid="{00000000-0005-0000-0000-0000098D0000}"/>
    <cellStyle name="Normal 20 7 2 2 4" xfId="6134" xr:uid="{00000000-0005-0000-0000-00000A8D0000}"/>
    <cellStyle name="Normal 20 7 2 2 4 2" xfId="53975" xr:uid="{00000000-0005-0000-0000-00000B8D0000}"/>
    <cellStyle name="Normal 20 7 2 2 4 3" xfId="37875" xr:uid="{00000000-0005-0000-0000-00000C8D0000}"/>
    <cellStyle name="Normal 20 7 2 2 4 4" xfId="18739" xr:uid="{00000000-0005-0000-0000-00000D8D0000}"/>
    <cellStyle name="Normal 20 7 2 2 5" xfId="44408" xr:uid="{00000000-0005-0000-0000-00000E8D0000}"/>
    <cellStyle name="Normal 20 7 2 2 6" xfId="28308" xr:uid="{00000000-0005-0000-0000-00000F8D0000}"/>
    <cellStyle name="Normal 20 7 2 2 7" xfId="15244" xr:uid="{00000000-0005-0000-0000-0000108D0000}"/>
    <cellStyle name="Normal 20 7 2 3" xfId="1460" xr:uid="{00000000-0005-0000-0000-0000118D0000}"/>
    <cellStyle name="Normal 20 7 2 3 2" xfId="7994" xr:uid="{00000000-0005-0000-0000-0000128D0000}"/>
    <cellStyle name="Normal 20 7 2 3 2 2" xfId="39735" xr:uid="{00000000-0005-0000-0000-0000138D0000}"/>
    <cellStyle name="Normal 20 7 2 3 2 2 2" xfId="55835" xr:uid="{00000000-0005-0000-0000-0000148D0000}"/>
    <cellStyle name="Normal 20 7 2 3 2 3" xfId="46268" xr:uid="{00000000-0005-0000-0000-0000158D0000}"/>
    <cellStyle name="Normal 20 7 2 3 2 4" xfId="30168" xr:uid="{00000000-0005-0000-0000-0000168D0000}"/>
    <cellStyle name="Normal 20 7 2 3 2 5" xfId="20599" xr:uid="{00000000-0005-0000-0000-0000178D0000}"/>
    <cellStyle name="Normal 20 7 2 3 3" xfId="11030" xr:uid="{00000000-0005-0000-0000-0000188D0000}"/>
    <cellStyle name="Normal 20 7 2 3 3 2" xfId="49304" xr:uid="{00000000-0005-0000-0000-0000198D0000}"/>
    <cellStyle name="Normal 20 7 2 3 3 3" xfId="33204" xr:uid="{00000000-0005-0000-0000-00001A8D0000}"/>
    <cellStyle name="Normal 20 7 2 3 3 4" xfId="23635" xr:uid="{00000000-0005-0000-0000-00001B8D0000}"/>
    <cellStyle name="Normal 20 7 2 3 4" xfId="4958" xr:uid="{00000000-0005-0000-0000-00001C8D0000}"/>
    <cellStyle name="Normal 20 7 2 3 4 2" xfId="52799" xr:uid="{00000000-0005-0000-0000-00001D8D0000}"/>
    <cellStyle name="Normal 20 7 2 3 4 3" xfId="36699" xr:uid="{00000000-0005-0000-0000-00001E8D0000}"/>
    <cellStyle name="Normal 20 7 2 3 4 4" xfId="17563" xr:uid="{00000000-0005-0000-0000-00001F8D0000}"/>
    <cellStyle name="Normal 20 7 2 3 5" xfId="43232" xr:uid="{00000000-0005-0000-0000-0000208D0000}"/>
    <cellStyle name="Normal 20 7 2 3 6" xfId="27132" xr:uid="{00000000-0005-0000-0000-0000218D0000}"/>
    <cellStyle name="Normal 20 7 2 3 7" xfId="14068" xr:uid="{00000000-0005-0000-0000-0000228D0000}"/>
    <cellStyle name="Normal 20 7 2 4" xfId="3948" xr:uid="{00000000-0005-0000-0000-0000238D0000}"/>
    <cellStyle name="Normal 20 7 2 4 2" xfId="35689" xr:uid="{00000000-0005-0000-0000-0000248D0000}"/>
    <cellStyle name="Normal 20 7 2 4 2 2" xfId="51789" xr:uid="{00000000-0005-0000-0000-0000258D0000}"/>
    <cellStyle name="Normal 20 7 2 4 3" xfId="42222" xr:uid="{00000000-0005-0000-0000-0000268D0000}"/>
    <cellStyle name="Normal 20 7 2 4 4" xfId="26122" xr:uid="{00000000-0005-0000-0000-0000278D0000}"/>
    <cellStyle name="Normal 20 7 2 4 5" xfId="16553" xr:uid="{00000000-0005-0000-0000-0000288D0000}"/>
    <cellStyle name="Normal 20 7 2 5" xfId="6984" xr:uid="{00000000-0005-0000-0000-0000298D0000}"/>
    <cellStyle name="Normal 20 7 2 5 2" xfId="38725" xr:uid="{00000000-0005-0000-0000-00002A8D0000}"/>
    <cellStyle name="Normal 20 7 2 5 2 2" xfId="54825" xr:uid="{00000000-0005-0000-0000-00002B8D0000}"/>
    <cellStyle name="Normal 20 7 2 5 3" xfId="45258" xr:uid="{00000000-0005-0000-0000-00002C8D0000}"/>
    <cellStyle name="Normal 20 7 2 5 4" xfId="29158" xr:uid="{00000000-0005-0000-0000-00002D8D0000}"/>
    <cellStyle name="Normal 20 7 2 5 5" xfId="19589" xr:uid="{00000000-0005-0000-0000-00002E8D0000}"/>
    <cellStyle name="Normal 20 7 2 6" xfId="10020" xr:uid="{00000000-0005-0000-0000-00002F8D0000}"/>
    <cellStyle name="Normal 20 7 2 6 2" xfId="48294" xr:uid="{00000000-0005-0000-0000-0000308D0000}"/>
    <cellStyle name="Normal 20 7 2 6 3" xfId="32194" xr:uid="{00000000-0005-0000-0000-0000318D0000}"/>
    <cellStyle name="Normal 20 7 2 6 4" xfId="22625" xr:uid="{00000000-0005-0000-0000-0000328D0000}"/>
    <cellStyle name="Normal 20 7 2 7" xfId="3466" xr:uid="{00000000-0005-0000-0000-0000338D0000}"/>
    <cellStyle name="Normal 20 7 2 7 2" xfId="51307" xr:uid="{00000000-0005-0000-0000-0000348D0000}"/>
    <cellStyle name="Normal 20 7 2 7 3" xfId="35207" xr:uid="{00000000-0005-0000-0000-0000358D0000}"/>
    <cellStyle name="Normal 20 7 2 7 4" xfId="16071" xr:uid="{00000000-0005-0000-0000-0000368D0000}"/>
    <cellStyle name="Normal 20 7 2 8" xfId="41740" xr:uid="{00000000-0005-0000-0000-0000378D0000}"/>
    <cellStyle name="Normal 20 7 2 9" xfId="25640" xr:uid="{00000000-0005-0000-0000-0000388D0000}"/>
    <cellStyle name="Normal 20 7 3" xfId="873" xr:uid="{00000000-0005-0000-0000-0000398D0000}"/>
    <cellStyle name="Normal 20 7 3 2" xfId="2901" xr:uid="{00000000-0005-0000-0000-00003A8D0000}"/>
    <cellStyle name="Normal 20 7 3 2 2" xfId="9433" xr:uid="{00000000-0005-0000-0000-00003B8D0000}"/>
    <cellStyle name="Normal 20 7 3 2 2 2" xfId="41174" xr:uid="{00000000-0005-0000-0000-00003C8D0000}"/>
    <cellStyle name="Normal 20 7 3 2 2 2 2" xfId="57274" xr:uid="{00000000-0005-0000-0000-00003D8D0000}"/>
    <cellStyle name="Normal 20 7 3 2 2 3" xfId="47707" xr:uid="{00000000-0005-0000-0000-00003E8D0000}"/>
    <cellStyle name="Normal 20 7 3 2 2 4" xfId="31607" xr:uid="{00000000-0005-0000-0000-00003F8D0000}"/>
    <cellStyle name="Normal 20 7 3 2 2 5" xfId="22038" xr:uid="{00000000-0005-0000-0000-0000408D0000}"/>
    <cellStyle name="Normal 20 7 3 2 3" xfId="12469" xr:uid="{00000000-0005-0000-0000-0000418D0000}"/>
    <cellStyle name="Normal 20 7 3 2 3 2" xfId="50743" xr:uid="{00000000-0005-0000-0000-0000428D0000}"/>
    <cellStyle name="Normal 20 7 3 2 3 3" xfId="34643" xr:uid="{00000000-0005-0000-0000-0000438D0000}"/>
    <cellStyle name="Normal 20 7 3 2 3 4" xfId="25074" xr:uid="{00000000-0005-0000-0000-0000448D0000}"/>
    <cellStyle name="Normal 20 7 3 2 4" xfId="6397" xr:uid="{00000000-0005-0000-0000-0000458D0000}"/>
    <cellStyle name="Normal 20 7 3 2 4 2" xfId="54238" xr:uid="{00000000-0005-0000-0000-0000468D0000}"/>
    <cellStyle name="Normal 20 7 3 2 4 3" xfId="38138" xr:uid="{00000000-0005-0000-0000-0000478D0000}"/>
    <cellStyle name="Normal 20 7 3 2 4 4" xfId="19002" xr:uid="{00000000-0005-0000-0000-0000488D0000}"/>
    <cellStyle name="Normal 20 7 3 2 5" xfId="44671" xr:uid="{00000000-0005-0000-0000-0000498D0000}"/>
    <cellStyle name="Normal 20 7 3 2 6" xfId="28571" xr:uid="{00000000-0005-0000-0000-00004A8D0000}"/>
    <cellStyle name="Normal 20 7 3 2 7" xfId="15507" xr:uid="{00000000-0005-0000-0000-00004B8D0000}"/>
    <cellStyle name="Normal 20 7 3 3" xfId="1883" xr:uid="{00000000-0005-0000-0000-00004C8D0000}"/>
    <cellStyle name="Normal 20 7 3 3 2" xfId="8417" xr:uid="{00000000-0005-0000-0000-00004D8D0000}"/>
    <cellStyle name="Normal 20 7 3 3 2 2" xfId="40158" xr:uid="{00000000-0005-0000-0000-00004E8D0000}"/>
    <cellStyle name="Normal 20 7 3 3 2 2 2" xfId="56258" xr:uid="{00000000-0005-0000-0000-00004F8D0000}"/>
    <cellStyle name="Normal 20 7 3 3 2 3" xfId="46691" xr:uid="{00000000-0005-0000-0000-0000508D0000}"/>
    <cellStyle name="Normal 20 7 3 3 2 4" xfId="30591" xr:uid="{00000000-0005-0000-0000-0000518D0000}"/>
    <cellStyle name="Normal 20 7 3 3 2 5" xfId="21022" xr:uid="{00000000-0005-0000-0000-0000528D0000}"/>
    <cellStyle name="Normal 20 7 3 3 3" xfId="11453" xr:uid="{00000000-0005-0000-0000-0000538D0000}"/>
    <cellStyle name="Normal 20 7 3 3 3 2" xfId="49727" xr:uid="{00000000-0005-0000-0000-0000548D0000}"/>
    <cellStyle name="Normal 20 7 3 3 3 3" xfId="33627" xr:uid="{00000000-0005-0000-0000-0000558D0000}"/>
    <cellStyle name="Normal 20 7 3 3 3 4" xfId="24058" xr:uid="{00000000-0005-0000-0000-0000568D0000}"/>
    <cellStyle name="Normal 20 7 3 3 4" xfId="5381" xr:uid="{00000000-0005-0000-0000-0000578D0000}"/>
    <cellStyle name="Normal 20 7 3 3 4 2" xfId="53222" xr:uid="{00000000-0005-0000-0000-0000588D0000}"/>
    <cellStyle name="Normal 20 7 3 3 4 3" xfId="37122" xr:uid="{00000000-0005-0000-0000-0000598D0000}"/>
    <cellStyle name="Normal 20 7 3 3 4 4" xfId="17986" xr:uid="{00000000-0005-0000-0000-00005A8D0000}"/>
    <cellStyle name="Normal 20 7 3 3 5" xfId="43655" xr:uid="{00000000-0005-0000-0000-00005B8D0000}"/>
    <cellStyle name="Normal 20 7 3 3 6" xfId="27555" xr:uid="{00000000-0005-0000-0000-00005C8D0000}"/>
    <cellStyle name="Normal 20 7 3 3 7" xfId="14491" xr:uid="{00000000-0005-0000-0000-00005D8D0000}"/>
    <cellStyle name="Normal 20 7 3 4" xfId="7407" xr:uid="{00000000-0005-0000-0000-00005E8D0000}"/>
    <cellStyle name="Normal 20 7 3 4 2" xfId="39148" xr:uid="{00000000-0005-0000-0000-00005F8D0000}"/>
    <cellStyle name="Normal 20 7 3 4 2 2" xfId="55248" xr:uid="{00000000-0005-0000-0000-0000608D0000}"/>
    <cellStyle name="Normal 20 7 3 4 3" xfId="45681" xr:uid="{00000000-0005-0000-0000-0000618D0000}"/>
    <cellStyle name="Normal 20 7 3 4 4" xfId="29581" xr:uid="{00000000-0005-0000-0000-0000628D0000}"/>
    <cellStyle name="Normal 20 7 3 4 5" xfId="20012" xr:uid="{00000000-0005-0000-0000-0000638D0000}"/>
    <cellStyle name="Normal 20 7 3 5" xfId="10443" xr:uid="{00000000-0005-0000-0000-0000648D0000}"/>
    <cellStyle name="Normal 20 7 3 5 2" xfId="48717" xr:uid="{00000000-0005-0000-0000-0000658D0000}"/>
    <cellStyle name="Normal 20 7 3 5 3" xfId="32617" xr:uid="{00000000-0005-0000-0000-0000668D0000}"/>
    <cellStyle name="Normal 20 7 3 5 4" xfId="23048" xr:uid="{00000000-0005-0000-0000-0000678D0000}"/>
    <cellStyle name="Normal 20 7 3 6" xfId="4371" xr:uid="{00000000-0005-0000-0000-0000688D0000}"/>
    <cellStyle name="Normal 20 7 3 6 2" xfId="52212" xr:uid="{00000000-0005-0000-0000-0000698D0000}"/>
    <cellStyle name="Normal 20 7 3 6 3" xfId="36112" xr:uid="{00000000-0005-0000-0000-00006A8D0000}"/>
    <cellStyle name="Normal 20 7 3 6 4" xfId="16976" xr:uid="{00000000-0005-0000-0000-00006B8D0000}"/>
    <cellStyle name="Normal 20 7 3 7" xfId="42645" xr:uid="{00000000-0005-0000-0000-00006C8D0000}"/>
    <cellStyle name="Normal 20 7 3 8" xfId="26545" xr:uid="{00000000-0005-0000-0000-00006D8D0000}"/>
    <cellStyle name="Normal 20 7 3 9" xfId="13481" xr:uid="{00000000-0005-0000-0000-00006E8D0000}"/>
    <cellStyle name="Normal 20 7 4" xfId="2248" xr:uid="{00000000-0005-0000-0000-00006F8D0000}"/>
    <cellStyle name="Normal 20 7 4 2" xfId="8782" xr:uid="{00000000-0005-0000-0000-0000708D0000}"/>
    <cellStyle name="Normal 20 7 4 2 2" xfId="40523" xr:uid="{00000000-0005-0000-0000-0000718D0000}"/>
    <cellStyle name="Normal 20 7 4 2 2 2" xfId="56623" xr:uid="{00000000-0005-0000-0000-0000728D0000}"/>
    <cellStyle name="Normal 20 7 4 2 3" xfId="47056" xr:uid="{00000000-0005-0000-0000-0000738D0000}"/>
    <cellStyle name="Normal 20 7 4 2 4" xfId="30956" xr:uid="{00000000-0005-0000-0000-0000748D0000}"/>
    <cellStyle name="Normal 20 7 4 2 5" xfId="21387" xr:uid="{00000000-0005-0000-0000-0000758D0000}"/>
    <cellStyle name="Normal 20 7 4 3" xfId="11818" xr:uid="{00000000-0005-0000-0000-0000768D0000}"/>
    <cellStyle name="Normal 20 7 4 3 2" xfId="50092" xr:uid="{00000000-0005-0000-0000-0000778D0000}"/>
    <cellStyle name="Normal 20 7 4 3 3" xfId="33992" xr:uid="{00000000-0005-0000-0000-0000788D0000}"/>
    <cellStyle name="Normal 20 7 4 3 4" xfId="24423" xr:uid="{00000000-0005-0000-0000-0000798D0000}"/>
    <cellStyle name="Normal 20 7 4 4" xfId="5746" xr:uid="{00000000-0005-0000-0000-00007A8D0000}"/>
    <cellStyle name="Normal 20 7 4 4 2" xfId="53587" xr:uid="{00000000-0005-0000-0000-00007B8D0000}"/>
    <cellStyle name="Normal 20 7 4 4 3" xfId="37487" xr:uid="{00000000-0005-0000-0000-00007C8D0000}"/>
    <cellStyle name="Normal 20 7 4 4 4" xfId="18351" xr:uid="{00000000-0005-0000-0000-00007D8D0000}"/>
    <cellStyle name="Normal 20 7 4 5" xfId="44020" xr:uid="{00000000-0005-0000-0000-00007E8D0000}"/>
    <cellStyle name="Normal 20 7 4 6" xfId="27920" xr:uid="{00000000-0005-0000-0000-00007F8D0000}"/>
    <cellStyle name="Normal 20 7 4 7" xfId="14856" xr:uid="{00000000-0005-0000-0000-0000808D0000}"/>
    <cellStyle name="Normal 20 7 5" xfId="1200" xr:uid="{00000000-0005-0000-0000-0000818D0000}"/>
    <cellStyle name="Normal 20 7 5 2" xfId="7734" xr:uid="{00000000-0005-0000-0000-0000828D0000}"/>
    <cellStyle name="Normal 20 7 5 2 2" xfId="39475" xr:uid="{00000000-0005-0000-0000-0000838D0000}"/>
    <cellStyle name="Normal 20 7 5 2 2 2" xfId="55575" xr:uid="{00000000-0005-0000-0000-0000848D0000}"/>
    <cellStyle name="Normal 20 7 5 2 3" xfId="46008" xr:uid="{00000000-0005-0000-0000-0000858D0000}"/>
    <cellStyle name="Normal 20 7 5 2 4" xfId="29908" xr:uid="{00000000-0005-0000-0000-0000868D0000}"/>
    <cellStyle name="Normal 20 7 5 2 5" xfId="20339" xr:uid="{00000000-0005-0000-0000-0000878D0000}"/>
    <cellStyle name="Normal 20 7 5 3" xfId="10770" xr:uid="{00000000-0005-0000-0000-0000888D0000}"/>
    <cellStyle name="Normal 20 7 5 3 2" xfId="49044" xr:uid="{00000000-0005-0000-0000-0000898D0000}"/>
    <cellStyle name="Normal 20 7 5 3 3" xfId="32944" xr:uid="{00000000-0005-0000-0000-00008A8D0000}"/>
    <cellStyle name="Normal 20 7 5 3 4" xfId="23375" xr:uid="{00000000-0005-0000-0000-00008B8D0000}"/>
    <cellStyle name="Normal 20 7 5 4" xfId="4698" xr:uid="{00000000-0005-0000-0000-00008C8D0000}"/>
    <cellStyle name="Normal 20 7 5 4 2" xfId="52539" xr:uid="{00000000-0005-0000-0000-00008D8D0000}"/>
    <cellStyle name="Normal 20 7 5 4 3" xfId="36439" xr:uid="{00000000-0005-0000-0000-00008E8D0000}"/>
    <cellStyle name="Normal 20 7 5 4 4" xfId="17303" xr:uid="{00000000-0005-0000-0000-00008F8D0000}"/>
    <cellStyle name="Normal 20 7 5 5" xfId="42972" xr:uid="{00000000-0005-0000-0000-0000908D0000}"/>
    <cellStyle name="Normal 20 7 5 6" xfId="26872" xr:uid="{00000000-0005-0000-0000-0000918D0000}"/>
    <cellStyle name="Normal 20 7 5 7" xfId="13808" xr:uid="{00000000-0005-0000-0000-0000928D0000}"/>
    <cellStyle name="Normal 20 7 6" xfId="3688" xr:uid="{00000000-0005-0000-0000-0000938D0000}"/>
    <cellStyle name="Normal 20 7 6 2" xfId="35429" xr:uid="{00000000-0005-0000-0000-0000948D0000}"/>
    <cellStyle name="Normal 20 7 6 2 2" xfId="51529" xr:uid="{00000000-0005-0000-0000-0000958D0000}"/>
    <cellStyle name="Normal 20 7 6 3" xfId="41962" xr:uid="{00000000-0005-0000-0000-0000968D0000}"/>
    <cellStyle name="Normal 20 7 6 4" xfId="25862" xr:uid="{00000000-0005-0000-0000-0000978D0000}"/>
    <cellStyle name="Normal 20 7 6 5" xfId="16293" xr:uid="{00000000-0005-0000-0000-0000988D0000}"/>
    <cellStyle name="Normal 20 7 7" xfId="6724" xr:uid="{00000000-0005-0000-0000-0000998D0000}"/>
    <cellStyle name="Normal 20 7 7 2" xfId="38465" xr:uid="{00000000-0005-0000-0000-00009A8D0000}"/>
    <cellStyle name="Normal 20 7 7 2 2" xfId="54565" xr:uid="{00000000-0005-0000-0000-00009B8D0000}"/>
    <cellStyle name="Normal 20 7 7 3" xfId="44998" xr:uid="{00000000-0005-0000-0000-00009C8D0000}"/>
    <cellStyle name="Normal 20 7 7 4" xfId="28898" xr:uid="{00000000-0005-0000-0000-00009D8D0000}"/>
    <cellStyle name="Normal 20 7 7 5" xfId="19329" xr:uid="{00000000-0005-0000-0000-00009E8D0000}"/>
    <cellStyle name="Normal 20 7 8" xfId="9760" xr:uid="{00000000-0005-0000-0000-00009F8D0000}"/>
    <cellStyle name="Normal 20 7 8 2" xfId="48034" xr:uid="{00000000-0005-0000-0000-0000A08D0000}"/>
    <cellStyle name="Normal 20 7 8 3" xfId="31934" xr:uid="{00000000-0005-0000-0000-0000A18D0000}"/>
    <cellStyle name="Normal 20 7 8 4" xfId="22365" xr:uid="{00000000-0005-0000-0000-0000A28D0000}"/>
    <cellStyle name="Normal 20 7 9" xfId="3228" xr:uid="{00000000-0005-0000-0000-0000A38D0000}"/>
    <cellStyle name="Normal 20 7 9 2" xfId="51070" xr:uid="{00000000-0005-0000-0000-0000A48D0000}"/>
    <cellStyle name="Normal 20 7 9 3" xfId="34970" xr:uid="{00000000-0005-0000-0000-0000A58D0000}"/>
    <cellStyle name="Normal 20 7 9 4" xfId="15834" xr:uid="{00000000-0005-0000-0000-0000A68D0000}"/>
    <cellStyle name="Normal 20 8" xfId="46" xr:uid="{00000000-0005-0000-0000-0000A78D0000}"/>
    <cellStyle name="Normal 20 8 10" xfId="41520" xr:uid="{00000000-0005-0000-0000-0000A88D0000}"/>
    <cellStyle name="Normal 20 8 11" xfId="25420" xr:uid="{00000000-0005-0000-0000-0000A98D0000}"/>
    <cellStyle name="Normal 20 8 12" xfId="12815" xr:uid="{00000000-0005-0000-0000-0000AA8D0000}"/>
    <cellStyle name="Normal 20 8 2" xfId="890" xr:uid="{00000000-0005-0000-0000-0000AB8D0000}"/>
    <cellStyle name="Normal 20 8 2 10" xfId="13498" xr:uid="{00000000-0005-0000-0000-0000AC8D0000}"/>
    <cellStyle name="Normal 20 8 2 2" xfId="2918" xr:uid="{00000000-0005-0000-0000-0000AD8D0000}"/>
    <cellStyle name="Normal 20 8 2 2 2" xfId="9450" xr:uid="{00000000-0005-0000-0000-0000AE8D0000}"/>
    <cellStyle name="Normal 20 8 2 2 2 2" xfId="41191" xr:uid="{00000000-0005-0000-0000-0000AF8D0000}"/>
    <cellStyle name="Normal 20 8 2 2 2 2 2" xfId="57291" xr:uid="{00000000-0005-0000-0000-0000B08D0000}"/>
    <cellStyle name="Normal 20 8 2 2 2 3" xfId="47724" xr:uid="{00000000-0005-0000-0000-0000B18D0000}"/>
    <cellStyle name="Normal 20 8 2 2 2 4" xfId="31624" xr:uid="{00000000-0005-0000-0000-0000B28D0000}"/>
    <cellStyle name="Normal 20 8 2 2 2 5" xfId="22055" xr:uid="{00000000-0005-0000-0000-0000B38D0000}"/>
    <cellStyle name="Normal 20 8 2 2 3" xfId="12486" xr:uid="{00000000-0005-0000-0000-0000B48D0000}"/>
    <cellStyle name="Normal 20 8 2 2 3 2" xfId="50760" xr:uid="{00000000-0005-0000-0000-0000B58D0000}"/>
    <cellStyle name="Normal 20 8 2 2 3 3" xfId="34660" xr:uid="{00000000-0005-0000-0000-0000B68D0000}"/>
    <cellStyle name="Normal 20 8 2 2 3 4" xfId="25091" xr:uid="{00000000-0005-0000-0000-0000B78D0000}"/>
    <cellStyle name="Normal 20 8 2 2 4" xfId="6414" xr:uid="{00000000-0005-0000-0000-0000B88D0000}"/>
    <cellStyle name="Normal 20 8 2 2 4 2" xfId="54255" xr:uid="{00000000-0005-0000-0000-0000B98D0000}"/>
    <cellStyle name="Normal 20 8 2 2 4 3" xfId="38155" xr:uid="{00000000-0005-0000-0000-0000BA8D0000}"/>
    <cellStyle name="Normal 20 8 2 2 4 4" xfId="19019" xr:uid="{00000000-0005-0000-0000-0000BB8D0000}"/>
    <cellStyle name="Normal 20 8 2 2 5" xfId="44688" xr:uid="{00000000-0005-0000-0000-0000BC8D0000}"/>
    <cellStyle name="Normal 20 8 2 2 6" xfId="28588" xr:uid="{00000000-0005-0000-0000-0000BD8D0000}"/>
    <cellStyle name="Normal 20 8 2 2 7" xfId="15524" xr:uid="{00000000-0005-0000-0000-0000BE8D0000}"/>
    <cellStyle name="Normal 20 8 2 3" xfId="1900" xr:uid="{00000000-0005-0000-0000-0000BF8D0000}"/>
    <cellStyle name="Normal 20 8 2 3 2" xfId="8434" xr:uid="{00000000-0005-0000-0000-0000C08D0000}"/>
    <cellStyle name="Normal 20 8 2 3 2 2" xfId="40175" xr:uid="{00000000-0005-0000-0000-0000C18D0000}"/>
    <cellStyle name="Normal 20 8 2 3 2 2 2" xfId="56275" xr:uid="{00000000-0005-0000-0000-0000C28D0000}"/>
    <cellStyle name="Normal 20 8 2 3 2 3" xfId="46708" xr:uid="{00000000-0005-0000-0000-0000C38D0000}"/>
    <cellStyle name="Normal 20 8 2 3 2 4" xfId="30608" xr:uid="{00000000-0005-0000-0000-0000C48D0000}"/>
    <cellStyle name="Normal 20 8 2 3 2 5" xfId="21039" xr:uid="{00000000-0005-0000-0000-0000C58D0000}"/>
    <cellStyle name="Normal 20 8 2 3 3" xfId="11470" xr:uid="{00000000-0005-0000-0000-0000C68D0000}"/>
    <cellStyle name="Normal 20 8 2 3 3 2" xfId="49744" xr:uid="{00000000-0005-0000-0000-0000C78D0000}"/>
    <cellStyle name="Normal 20 8 2 3 3 3" xfId="33644" xr:uid="{00000000-0005-0000-0000-0000C88D0000}"/>
    <cellStyle name="Normal 20 8 2 3 3 4" xfId="24075" xr:uid="{00000000-0005-0000-0000-0000C98D0000}"/>
    <cellStyle name="Normal 20 8 2 3 4" xfId="5398" xr:uid="{00000000-0005-0000-0000-0000CA8D0000}"/>
    <cellStyle name="Normal 20 8 2 3 4 2" xfId="53239" xr:uid="{00000000-0005-0000-0000-0000CB8D0000}"/>
    <cellStyle name="Normal 20 8 2 3 4 3" xfId="37139" xr:uid="{00000000-0005-0000-0000-0000CC8D0000}"/>
    <cellStyle name="Normal 20 8 2 3 4 4" xfId="18003" xr:uid="{00000000-0005-0000-0000-0000CD8D0000}"/>
    <cellStyle name="Normal 20 8 2 3 5" xfId="43672" xr:uid="{00000000-0005-0000-0000-0000CE8D0000}"/>
    <cellStyle name="Normal 20 8 2 3 6" xfId="27572" xr:uid="{00000000-0005-0000-0000-0000CF8D0000}"/>
    <cellStyle name="Normal 20 8 2 3 7" xfId="14508" xr:uid="{00000000-0005-0000-0000-0000D08D0000}"/>
    <cellStyle name="Normal 20 8 2 4" xfId="4388" xr:uid="{00000000-0005-0000-0000-0000D18D0000}"/>
    <cellStyle name="Normal 20 8 2 4 2" xfId="36129" xr:uid="{00000000-0005-0000-0000-0000D28D0000}"/>
    <cellStyle name="Normal 20 8 2 4 2 2" xfId="52229" xr:uid="{00000000-0005-0000-0000-0000D38D0000}"/>
    <cellStyle name="Normal 20 8 2 4 3" xfId="42662" xr:uid="{00000000-0005-0000-0000-0000D48D0000}"/>
    <cellStyle name="Normal 20 8 2 4 4" xfId="26562" xr:uid="{00000000-0005-0000-0000-0000D58D0000}"/>
    <cellStyle name="Normal 20 8 2 4 5" xfId="16993" xr:uid="{00000000-0005-0000-0000-0000D68D0000}"/>
    <cellStyle name="Normal 20 8 2 5" xfId="7424" xr:uid="{00000000-0005-0000-0000-0000D78D0000}"/>
    <cellStyle name="Normal 20 8 2 5 2" xfId="39165" xr:uid="{00000000-0005-0000-0000-0000D88D0000}"/>
    <cellStyle name="Normal 20 8 2 5 2 2" xfId="55265" xr:uid="{00000000-0005-0000-0000-0000D98D0000}"/>
    <cellStyle name="Normal 20 8 2 5 3" xfId="45698" xr:uid="{00000000-0005-0000-0000-0000DA8D0000}"/>
    <cellStyle name="Normal 20 8 2 5 4" xfId="29598" xr:uid="{00000000-0005-0000-0000-0000DB8D0000}"/>
    <cellStyle name="Normal 20 8 2 5 5" xfId="20029" xr:uid="{00000000-0005-0000-0000-0000DC8D0000}"/>
    <cellStyle name="Normal 20 8 2 6" xfId="10460" xr:uid="{00000000-0005-0000-0000-0000DD8D0000}"/>
    <cellStyle name="Normal 20 8 2 6 2" xfId="48734" xr:uid="{00000000-0005-0000-0000-0000DE8D0000}"/>
    <cellStyle name="Normal 20 8 2 6 3" xfId="32634" xr:uid="{00000000-0005-0000-0000-0000DF8D0000}"/>
    <cellStyle name="Normal 20 8 2 6 4" xfId="23065" xr:uid="{00000000-0005-0000-0000-0000E08D0000}"/>
    <cellStyle name="Normal 20 8 2 7" xfId="3483" xr:uid="{00000000-0005-0000-0000-0000E18D0000}"/>
    <cellStyle name="Normal 20 8 2 7 2" xfId="51324" xr:uid="{00000000-0005-0000-0000-0000E28D0000}"/>
    <cellStyle name="Normal 20 8 2 7 3" xfId="35224" xr:uid="{00000000-0005-0000-0000-0000E38D0000}"/>
    <cellStyle name="Normal 20 8 2 7 4" xfId="16088" xr:uid="{00000000-0005-0000-0000-0000E48D0000}"/>
    <cellStyle name="Normal 20 8 2 8" xfId="41757" xr:uid="{00000000-0005-0000-0000-0000E58D0000}"/>
    <cellStyle name="Normal 20 8 2 9" xfId="25657" xr:uid="{00000000-0005-0000-0000-0000E68D0000}"/>
    <cellStyle name="Normal 20 8 3" xfId="668" xr:uid="{00000000-0005-0000-0000-0000E78D0000}"/>
    <cellStyle name="Normal 20 8 3 2" xfId="2696" xr:uid="{00000000-0005-0000-0000-0000E88D0000}"/>
    <cellStyle name="Normal 20 8 3 2 2" xfId="9228" xr:uid="{00000000-0005-0000-0000-0000E98D0000}"/>
    <cellStyle name="Normal 20 8 3 2 2 2" xfId="40969" xr:uid="{00000000-0005-0000-0000-0000EA8D0000}"/>
    <cellStyle name="Normal 20 8 3 2 2 2 2" xfId="57069" xr:uid="{00000000-0005-0000-0000-0000EB8D0000}"/>
    <cellStyle name="Normal 20 8 3 2 2 3" xfId="47502" xr:uid="{00000000-0005-0000-0000-0000EC8D0000}"/>
    <cellStyle name="Normal 20 8 3 2 2 4" xfId="31402" xr:uid="{00000000-0005-0000-0000-0000ED8D0000}"/>
    <cellStyle name="Normal 20 8 3 2 2 5" xfId="21833" xr:uid="{00000000-0005-0000-0000-0000EE8D0000}"/>
    <cellStyle name="Normal 20 8 3 2 3" xfId="12264" xr:uid="{00000000-0005-0000-0000-0000EF8D0000}"/>
    <cellStyle name="Normal 20 8 3 2 3 2" xfId="50538" xr:uid="{00000000-0005-0000-0000-0000F08D0000}"/>
    <cellStyle name="Normal 20 8 3 2 3 3" xfId="34438" xr:uid="{00000000-0005-0000-0000-0000F18D0000}"/>
    <cellStyle name="Normal 20 8 3 2 3 4" xfId="24869" xr:uid="{00000000-0005-0000-0000-0000F28D0000}"/>
    <cellStyle name="Normal 20 8 3 2 4" xfId="6192" xr:uid="{00000000-0005-0000-0000-0000F38D0000}"/>
    <cellStyle name="Normal 20 8 3 2 4 2" xfId="54033" xr:uid="{00000000-0005-0000-0000-0000F48D0000}"/>
    <cellStyle name="Normal 20 8 3 2 4 3" xfId="37933" xr:uid="{00000000-0005-0000-0000-0000F58D0000}"/>
    <cellStyle name="Normal 20 8 3 2 4 4" xfId="18797" xr:uid="{00000000-0005-0000-0000-0000F68D0000}"/>
    <cellStyle name="Normal 20 8 3 2 5" xfId="44466" xr:uid="{00000000-0005-0000-0000-0000F78D0000}"/>
    <cellStyle name="Normal 20 8 3 2 6" xfId="28366" xr:uid="{00000000-0005-0000-0000-0000F88D0000}"/>
    <cellStyle name="Normal 20 8 3 2 7" xfId="15302" xr:uid="{00000000-0005-0000-0000-0000F98D0000}"/>
    <cellStyle name="Normal 20 8 3 3" xfId="1678" xr:uid="{00000000-0005-0000-0000-0000FA8D0000}"/>
    <cellStyle name="Normal 20 8 3 3 2" xfId="8212" xr:uid="{00000000-0005-0000-0000-0000FB8D0000}"/>
    <cellStyle name="Normal 20 8 3 3 2 2" xfId="39953" xr:uid="{00000000-0005-0000-0000-0000FC8D0000}"/>
    <cellStyle name="Normal 20 8 3 3 2 2 2" xfId="56053" xr:uid="{00000000-0005-0000-0000-0000FD8D0000}"/>
    <cellStyle name="Normal 20 8 3 3 2 3" xfId="46486" xr:uid="{00000000-0005-0000-0000-0000FE8D0000}"/>
    <cellStyle name="Normal 20 8 3 3 2 4" xfId="30386" xr:uid="{00000000-0005-0000-0000-0000FF8D0000}"/>
    <cellStyle name="Normal 20 8 3 3 2 5" xfId="20817" xr:uid="{00000000-0005-0000-0000-0000008E0000}"/>
    <cellStyle name="Normal 20 8 3 3 3" xfId="11248" xr:uid="{00000000-0005-0000-0000-0000018E0000}"/>
    <cellStyle name="Normal 20 8 3 3 3 2" xfId="49522" xr:uid="{00000000-0005-0000-0000-0000028E0000}"/>
    <cellStyle name="Normal 20 8 3 3 3 3" xfId="33422" xr:uid="{00000000-0005-0000-0000-0000038E0000}"/>
    <cellStyle name="Normal 20 8 3 3 3 4" xfId="23853" xr:uid="{00000000-0005-0000-0000-0000048E0000}"/>
    <cellStyle name="Normal 20 8 3 3 4" xfId="5176" xr:uid="{00000000-0005-0000-0000-0000058E0000}"/>
    <cellStyle name="Normal 20 8 3 3 4 2" xfId="53017" xr:uid="{00000000-0005-0000-0000-0000068E0000}"/>
    <cellStyle name="Normal 20 8 3 3 4 3" xfId="36917" xr:uid="{00000000-0005-0000-0000-0000078E0000}"/>
    <cellStyle name="Normal 20 8 3 3 4 4" xfId="17781" xr:uid="{00000000-0005-0000-0000-0000088E0000}"/>
    <cellStyle name="Normal 20 8 3 3 5" xfId="43450" xr:uid="{00000000-0005-0000-0000-0000098E0000}"/>
    <cellStyle name="Normal 20 8 3 3 6" xfId="27350" xr:uid="{00000000-0005-0000-0000-00000A8E0000}"/>
    <cellStyle name="Normal 20 8 3 3 7" xfId="14286" xr:uid="{00000000-0005-0000-0000-00000B8E0000}"/>
    <cellStyle name="Normal 20 8 3 4" xfId="7202" xr:uid="{00000000-0005-0000-0000-00000C8E0000}"/>
    <cellStyle name="Normal 20 8 3 4 2" xfId="38943" xr:uid="{00000000-0005-0000-0000-00000D8E0000}"/>
    <cellStyle name="Normal 20 8 3 4 2 2" xfId="55043" xr:uid="{00000000-0005-0000-0000-00000E8E0000}"/>
    <cellStyle name="Normal 20 8 3 4 3" xfId="45476" xr:uid="{00000000-0005-0000-0000-00000F8E0000}"/>
    <cellStyle name="Normal 20 8 3 4 4" xfId="29376" xr:uid="{00000000-0005-0000-0000-0000108E0000}"/>
    <cellStyle name="Normal 20 8 3 4 5" xfId="19807" xr:uid="{00000000-0005-0000-0000-0000118E0000}"/>
    <cellStyle name="Normal 20 8 3 5" xfId="10238" xr:uid="{00000000-0005-0000-0000-0000128E0000}"/>
    <cellStyle name="Normal 20 8 3 5 2" xfId="48512" xr:uid="{00000000-0005-0000-0000-0000138E0000}"/>
    <cellStyle name="Normal 20 8 3 5 3" xfId="32412" xr:uid="{00000000-0005-0000-0000-0000148E0000}"/>
    <cellStyle name="Normal 20 8 3 5 4" xfId="22843" xr:uid="{00000000-0005-0000-0000-0000158E0000}"/>
    <cellStyle name="Normal 20 8 3 6" xfId="4166" xr:uid="{00000000-0005-0000-0000-0000168E0000}"/>
    <cellStyle name="Normal 20 8 3 6 2" xfId="52007" xr:uid="{00000000-0005-0000-0000-0000178E0000}"/>
    <cellStyle name="Normal 20 8 3 6 3" xfId="35907" xr:uid="{00000000-0005-0000-0000-0000188E0000}"/>
    <cellStyle name="Normal 20 8 3 6 4" xfId="16771" xr:uid="{00000000-0005-0000-0000-0000198E0000}"/>
    <cellStyle name="Normal 20 8 3 7" xfId="42440" xr:uid="{00000000-0005-0000-0000-00001A8E0000}"/>
    <cellStyle name="Normal 20 8 3 8" xfId="26340" xr:uid="{00000000-0005-0000-0000-00001B8E0000}"/>
    <cellStyle name="Normal 20 8 3 9" xfId="13276" xr:uid="{00000000-0005-0000-0000-00001C8E0000}"/>
    <cellStyle name="Normal 20 8 4" xfId="2468" xr:uid="{00000000-0005-0000-0000-00001D8E0000}"/>
    <cellStyle name="Normal 20 8 4 2" xfId="9000" xr:uid="{00000000-0005-0000-0000-00001E8E0000}"/>
    <cellStyle name="Normal 20 8 4 2 2" xfId="40741" xr:uid="{00000000-0005-0000-0000-00001F8E0000}"/>
    <cellStyle name="Normal 20 8 4 2 2 2" xfId="56841" xr:uid="{00000000-0005-0000-0000-0000208E0000}"/>
    <cellStyle name="Normal 20 8 4 2 3" xfId="47274" xr:uid="{00000000-0005-0000-0000-0000218E0000}"/>
    <cellStyle name="Normal 20 8 4 2 4" xfId="31174" xr:uid="{00000000-0005-0000-0000-0000228E0000}"/>
    <cellStyle name="Normal 20 8 4 2 5" xfId="21605" xr:uid="{00000000-0005-0000-0000-0000238E0000}"/>
    <cellStyle name="Normal 20 8 4 3" xfId="12036" xr:uid="{00000000-0005-0000-0000-0000248E0000}"/>
    <cellStyle name="Normal 20 8 4 3 2" xfId="50310" xr:uid="{00000000-0005-0000-0000-0000258E0000}"/>
    <cellStyle name="Normal 20 8 4 3 3" xfId="34210" xr:uid="{00000000-0005-0000-0000-0000268E0000}"/>
    <cellStyle name="Normal 20 8 4 3 4" xfId="24641" xr:uid="{00000000-0005-0000-0000-0000278E0000}"/>
    <cellStyle name="Normal 20 8 4 4" xfId="5964" xr:uid="{00000000-0005-0000-0000-0000288E0000}"/>
    <cellStyle name="Normal 20 8 4 4 2" xfId="53805" xr:uid="{00000000-0005-0000-0000-0000298E0000}"/>
    <cellStyle name="Normal 20 8 4 4 3" xfId="37705" xr:uid="{00000000-0005-0000-0000-00002A8E0000}"/>
    <cellStyle name="Normal 20 8 4 4 4" xfId="18569" xr:uid="{00000000-0005-0000-0000-00002B8E0000}"/>
    <cellStyle name="Normal 20 8 4 5" xfId="44238" xr:uid="{00000000-0005-0000-0000-00002C8E0000}"/>
    <cellStyle name="Normal 20 8 4 6" xfId="28138" xr:uid="{00000000-0005-0000-0000-00002D8E0000}"/>
    <cellStyle name="Normal 20 8 4 7" xfId="15074" xr:uid="{00000000-0005-0000-0000-00002E8E0000}"/>
    <cellStyle name="Normal 20 8 5" xfId="1217" xr:uid="{00000000-0005-0000-0000-00002F8E0000}"/>
    <cellStyle name="Normal 20 8 5 2" xfId="7751" xr:uid="{00000000-0005-0000-0000-0000308E0000}"/>
    <cellStyle name="Normal 20 8 5 2 2" xfId="39492" xr:uid="{00000000-0005-0000-0000-0000318E0000}"/>
    <cellStyle name="Normal 20 8 5 2 2 2" xfId="55592" xr:uid="{00000000-0005-0000-0000-0000328E0000}"/>
    <cellStyle name="Normal 20 8 5 2 3" xfId="46025" xr:uid="{00000000-0005-0000-0000-0000338E0000}"/>
    <cellStyle name="Normal 20 8 5 2 4" xfId="29925" xr:uid="{00000000-0005-0000-0000-0000348E0000}"/>
    <cellStyle name="Normal 20 8 5 2 5" xfId="20356" xr:uid="{00000000-0005-0000-0000-0000358E0000}"/>
    <cellStyle name="Normal 20 8 5 3" xfId="10787" xr:uid="{00000000-0005-0000-0000-0000368E0000}"/>
    <cellStyle name="Normal 20 8 5 3 2" xfId="49061" xr:uid="{00000000-0005-0000-0000-0000378E0000}"/>
    <cellStyle name="Normal 20 8 5 3 3" xfId="32961" xr:uid="{00000000-0005-0000-0000-0000388E0000}"/>
    <cellStyle name="Normal 20 8 5 3 4" xfId="23392" xr:uid="{00000000-0005-0000-0000-0000398E0000}"/>
    <cellStyle name="Normal 20 8 5 4" xfId="4715" xr:uid="{00000000-0005-0000-0000-00003A8E0000}"/>
    <cellStyle name="Normal 20 8 5 4 2" xfId="52556" xr:uid="{00000000-0005-0000-0000-00003B8E0000}"/>
    <cellStyle name="Normal 20 8 5 4 3" xfId="36456" xr:uid="{00000000-0005-0000-0000-00003C8E0000}"/>
    <cellStyle name="Normal 20 8 5 4 4" xfId="17320" xr:uid="{00000000-0005-0000-0000-00003D8E0000}"/>
    <cellStyle name="Normal 20 8 5 5" xfId="42989" xr:uid="{00000000-0005-0000-0000-00003E8E0000}"/>
    <cellStyle name="Normal 20 8 5 6" xfId="26889" xr:uid="{00000000-0005-0000-0000-00003F8E0000}"/>
    <cellStyle name="Normal 20 8 5 7" xfId="13825" xr:uid="{00000000-0005-0000-0000-0000408E0000}"/>
    <cellStyle name="Normal 20 8 6" xfId="3705" xr:uid="{00000000-0005-0000-0000-0000418E0000}"/>
    <cellStyle name="Normal 20 8 6 2" xfId="35446" xr:uid="{00000000-0005-0000-0000-0000428E0000}"/>
    <cellStyle name="Normal 20 8 6 2 2" xfId="51546" xr:uid="{00000000-0005-0000-0000-0000438E0000}"/>
    <cellStyle name="Normal 20 8 6 3" xfId="41979" xr:uid="{00000000-0005-0000-0000-0000448E0000}"/>
    <cellStyle name="Normal 20 8 6 4" xfId="25879" xr:uid="{00000000-0005-0000-0000-0000458E0000}"/>
    <cellStyle name="Normal 20 8 6 5" xfId="16310" xr:uid="{00000000-0005-0000-0000-0000468E0000}"/>
    <cellStyle name="Normal 20 8 7" xfId="6741" xr:uid="{00000000-0005-0000-0000-0000478E0000}"/>
    <cellStyle name="Normal 20 8 7 2" xfId="38482" xr:uid="{00000000-0005-0000-0000-0000488E0000}"/>
    <cellStyle name="Normal 20 8 7 2 2" xfId="54582" xr:uid="{00000000-0005-0000-0000-0000498E0000}"/>
    <cellStyle name="Normal 20 8 7 3" xfId="45015" xr:uid="{00000000-0005-0000-0000-00004A8E0000}"/>
    <cellStyle name="Normal 20 8 7 4" xfId="28915" xr:uid="{00000000-0005-0000-0000-00004B8E0000}"/>
    <cellStyle name="Normal 20 8 7 5" xfId="19346" xr:uid="{00000000-0005-0000-0000-00004C8E0000}"/>
    <cellStyle name="Normal 20 8 8" xfId="9777" xr:uid="{00000000-0005-0000-0000-00004D8E0000}"/>
    <cellStyle name="Normal 20 8 8 2" xfId="48051" xr:uid="{00000000-0005-0000-0000-00004E8E0000}"/>
    <cellStyle name="Normal 20 8 8 3" xfId="31951" xr:uid="{00000000-0005-0000-0000-00004F8E0000}"/>
    <cellStyle name="Normal 20 8 8 4" xfId="22382" xr:uid="{00000000-0005-0000-0000-0000508E0000}"/>
    <cellStyle name="Normal 20 8 9" xfId="3245" xr:uid="{00000000-0005-0000-0000-0000518E0000}"/>
    <cellStyle name="Normal 20 8 9 2" xfId="51087" xr:uid="{00000000-0005-0000-0000-0000528E0000}"/>
    <cellStyle name="Normal 20 8 9 3" xfId="34987" xr:uid="{00000000-0005-0000-0000-0000538E0000}"/>
    <cellStyle name="Normal 20 8 9 4" xfId="15851" xr:uid="{00000000-0005-0000-0000-0000548E0000}"/>
    <cellStyle name="Normal 20 9" xfId="454" xr:uid="{00000000-0005-0000-0000-0000558E0000}"/>
    <cellStyle name="Normal 20 9 10" xfId="41537" xr:uid="{00000000-0005-0000-0000-0000568E0000}"/>
    <cellStyle name="Normal 20 9 11" xfId="25437" xr:uid="{00000000-0005-0000-0000-0000578E0000}"/>
    <cellStyle name="Normal 20 9 12" xfId="12832" xr:uid="{00000000-0005-0000-0000-0000588E0000}"/>
    <cellStyle name="Normal 20 9 2" xfId="907" xr:uid="{00000000-0005-0000-0000-0000598E0000}"/>
    <cellStyle name="Normal 20 9 2 10" xfId="13515" xr:uid="{00000000-0005-0000-0000-00005A8E0000}"/>
    <cellStyle name="Normal 20 9 2 2" xfId="2935" xr:uid="{00000000-0005-0000-0000-00005B8E0000}"/>
    <cellStyle name="Normal 20 9 2 2 2" xfId="9467" xr:uid="{00000000-0005-0000-0000-00005C8E0000}"/>
    <cellStyle name="Normal 20 9 2 2 2 2" xfId="41208" xr:uid="{00000000-0005-0000-0000-00005D8E0000}"/>
    <cellStyle name="Normal 20 9 2 2 2 2 2" xfId="57308" xr:uid="{00000000-0005-0000-0000-00005E8E0000}"/>
    <cellStyle name="Normal 20 9 2 2 2 3" xfId="47741" xr:uid="{00000000-0005-0000-0000-00005F8E0000}"/>
    <cellStyle name="Normal 20 9 2 2 2 4" xfId="31641" xr:uid="{00000000-0005-0000-0000-0000608E0000}"/>
    <cellStyle name="Normal 20 9 2 2 2 5" xfId="22072" xr:uid="{00000000-0005-0000-0000-0000618E0000}"/>
    <cellStyle name="Normal 20 9 2 2 3" xfId="12503" xr:uid="{00000000-0005-0000-0000-0000628E0000}"/>
    <cellStyle name="Normal 20 9 2 2 3 2" xfId="50777" xr:uid="{00000000-0005-0000-0000-0000638E0000}"/>
    <cellStyle name="Normal 20 9 2 2 3 3" xfId="34677" xr:uid="{00000000-0005-0000-0000-0000648E0000}"/>
    <cellStyle name="Normal 20 9 2 2 3 4" xfId="25108" xr:uid="{00000000-0005-0000-0000-0000658E0000}"/>
    <cellStyle name="Normal 20 9 2 2 4" xfId="6431" xr:uid="{00000000-0005-0000-0000-0000668E0000}"/>
    <cellStyle name="Normal 20 9 2 2 4 2" xfId="54272" xr:uid="{00000000-0005-0000-0000-0000678E0000}"/>
    <cellStyle name="Normal 20 9 2 2 4 3" xfId="38172" xr:uid="{00000000-0005-0000-0000-0000688E0000}"/>
    <cellStyle name="Normal 20 9 2 2 4 4" xfId="19036" xr:uid="{00000000-0005-0000-0000-0000698E0000}"/>
    <cellStyle name="Normal 20 9 2 2 5" xfId="44705" xr:uid="{00000000-0005-0000-0000-00006A8E0000}"/>
    <cellStyle name="Normal 20 9 2 2 6" xfId="28605" xr:uid="{00000000-0005-0000-0000-00006B8E0000}"/>
    <cellStyle name="Normal 20 9 2 2 7" xfId="15541" xr:uid="{00000000-0005-0000-0000-00006C8E0000}"/>
    <cellStyle name="Normal 20 9 2 3" xfId="1917" xr:uid="{00000000-0005-0000-0000-00006D8E0000}"/>
    <cellStyle name="Normal 20 9 2 3 2" xfId="8451" xr:uid="{00000000-0005-0000-0000-00006E8E0000}"/>
    <cellStyle name="Normal 20 9 2 3 2 2" xfId="40192" xr:uid="{00000000-0005-0000-0000-00006F8E0000}"/>
    <cellStyle name="Normal 20 9 2 3 2 2 2" xfId="56292" xr:uid="{00000000-0005-0000-0000-0000708E0000}"/>
    <cellStyle name="Normal 20 9 2 3 2 3" xfId="46725" xr:uid="{00000000-0005-0000-0000-0000718E0000}"/>
    <cellStyle name="Normal 20 9 2 3 2 4" xfId="30625" xr:uid="{00000000-0005-0000-0000-0000728E0000}"/>
    <cellStyle name="Normal 20 9 2 3 2 5" xfId="21056" xr:uid="{00000000-0005-0000-0000-0000738E0000}"/>
    <cellStyle name="Normal 20 9 2 3 3" xfId="11487" xr:uid="{00000000-0005-0000-0000-0000748E0000}"/>
    <cellStyle name="Normal 20 9 2 3 3 2" xfId="49761" xr:uid="{00000000-0005-0000-0000-0000758E0000}"/>
    <cellStyle name="Normal 20 9 2 3 3 3" xfId="33661" xr:uid="{00000000-0005-0000-0000-0000768E0000}"/>
    <cellStyle name="Normal 20 9 2 3 3 4" xfId="24092" xr:uid="{00000000-0005-0000-0000-0000778E0000}"/>
    <cellStyle name="Normal 20 9 2 3 4" xfId="5415" xr:uid="{00000000-0005-0000-0000-0000788E0000}"/>
    <cellStyle name="Normal 20 9 2 3 4 2" xfId="53256" xr:uid="{00000000-0005-0000-0000-0000798E0000}"/>
    <cellStyle name="Normal 20 9 2 3 4 3" xfId="37156" xr:uid="{00000000-0005-0000-0000-00007A8E0000}"/>
    <cellStyle name="Normal 20 9 2 3 4 4" xfId="18020" xr:uid="{00000000-0005-0000-0000-00007B8E0000}"/>
    <cellStyle name="Normal 20 9 2 3 5" xfId="43689" xr:uid="{00000000-0005-0000-0000-00007C8E0000}"/>
    <cellStyle name="Normal 20 9 2 3 6" xfId="27589" xr:uid="{00000000-0005-0000-0000-00007D8E0000}"/>
    <cellStyle name="Normal 20 9 2 3 7" xfId="14525" xr:uid="{00000000-0005-0000-0000-00007E8E0000}"/>
    <cellStyle name="Normal 20 9 2 4" xfId="4405" xr:uid="{00000000-0005-0000-0000-00007F8E0000}"/>
    <cellStyle name="Normal 20 9 2 4 2" xfId="36146" xr:uid="{00000000-0005-0000-0000-0000808E0000}"/>
    <cellStyle name="Normal 20 9 2 4 2 2" xfId="52246" xr:uid="{00000000-0005-0000-0000-0000818E0000}"/>
    <cellStyle name="Normal 20 9 2 4 3" xfId="42679" xr:uid="{00000000-0005-0000-0000-0000828E0000}"/>
    <cellStyle name="Normal 20 9 2 4 4" xfId="26579" xr:uid="{00000000-0005-0000-0000-0000838E0000}"/>
    <cellStyle name="Normal 20 9 2 4 5" xfId="17010" xr:uid="{00000000-0005-0000-0000-0000848E0000}"/>
    <cellStyle name="Normal 20 9 2 5" xfId="7441" xr:uid="{00000000-0005-0000-0000-0000858E0000}"/>
    <cellStyle name="Normal 20 9 2 5 2" xfId="39182" xr:uid="{00000000-0005-0000-0000-0000868E0000}"/>
    <cellStyle name="Normal 20 9 2 5 2 2" xfId="55282" xr:uid="{00000000-0005-0000-0000-0000878E0000}"/>
    <cellStyle name="Normal 20 9 2 5 3" xfId="45715" xr:uid="{00000000-0005-0000-0000-0000888E0000}"/>
    <cellStyle name="Normal 20 9 2 5 4" xfId="29615" xr:uid="{00000000-0005-0000-0000-0000898E0000}"/>
    <cellStyle name="Normal 20 9 2 5 5" xfId="20046" xr:uid="{00000000-0005-0000-0000-00008A8E0000}"/>
    <cellStyle name="Normal 20 9 2 6" xfId="10477" xr:uid="{00000000-0005-0000-0000-00008B8E0000}"/>
    <cellStyle name="Normal 20 9 2 6 2" xfId="48751" xr:uid="{00000000-0005-0000-0000-00008C8E0000}"/>
    <cellStyle name="Normal 20 9 2 6 3" xfId="32651" xr:uid="{00000000-0005-0000-0000-00008D8E0000}"/>
    <cellStyle name="Normal 20 9 2 6 4" xfId="23082" xr:uid="{00000000-0005-0000-0000-00008E8E0000}"/>
    <cellStyle name="Normal 20 9 2 7" xfId="3500" xr:uid="{00000000-0005-0000-0000-00008F8E0000}"/>
    <cellStyle name="Normal 20 9 2 7 2" xfId="51341" xr:uid="{00000000-0005-0000-0000-0000908E0000}"/>
    <cellStyle name="Normal 20 9 2 7 3" xfId="35241" xr:uid="{00000000-0005-0000-0000-0000918E0000}"/>
    <cellStyle name="Normal 20 9 2 7 4" xfId="16105" xr:uid="{00000000-0005-0000-0000-0000928E0000}"/>
    <cellStyle name="Normal 20 9 2 8" xfId="41774" xr:uid="{00000000-0005-0000-0000-0000938E0000}"/>
    <cellStyle name="Normal 20 9 2 9" xfId="25674" xr:uid="{00000000-0005-0000-0000-0000948E0000}"/>
    <cellStyle name="Normal 20 9 3" xfId="685" xr:uid="{00000000-0005-0000-0000-0000958E0000}"/>
    <cellStyle name="Normal 20 9 3 2" xfId="2713" xr:uid="{00000000-0005-0000-0000-0000968E0000}"/>
    <cellStyle name="Normal 20 9 3 2 2" xfId="9245" xr:uid="{00000000-0005-0000-0000-0000978E0000}"/>
    <cellStyle name="Normal 20 9 3 2 2 2" xfId="40986" xr:uid="{00000000-0005-0000-0000-0000988E0000}"/>
    <cellStyle name="Normal 20 9 3 2 2 2 2" xfId="57086" xr:uid="{00000000-0005-0000-0000-0000998E0000}"/>
    <cellStyle name="Normal 20 9 3 2 2 3" xfId="47519" xr:uid="{00000000-0005-0000-0000-00009A8E0000}"/>
    <cellStyle name="Normal 20 9 3 2 2 4" xfId="31419" xr:uid="{00000000-0005-0000-0000-00009B8E0000}"/>
    <cellStyle name="Normal 20 9 3 2 2 5" xfId="21850" xr:uid="{00000000-0005-0000-0000-00009C8E0000}"/>
    <cellStyle name="Normal 20 9 3 2 3" xfId="12281" xr:uid="{00000000-0005-0000-0000-00009D8E0000}"/>
    <cellStyle name="Normal 20 9 3 2 3 2" xfId="50555" xr:uid="{00000000-0005-0000-0000-00009E8E0000}"/>
    <cellStyle name="Normal 20 9 3 2 3 3" xfId="34455" xr:uid="{00000000-0005-0000-0000-00009F8E0000}"/>
    <cellStyle name="Normal 20 9 3 2 3 4" xfId="24886" xr:uid="{00000000-0005-0000-0000-0000A08E0000}"/>
    <cellStyle name="Normal 20 9 3 2 4" xfId="6209" xr:uid="{00000000-0005-0000-0000-0000A18E0000}"/>
    <cellStyle name="Normal 20 9 3 2 4 2" xfId="54050" xr:uid="{00000000-0005-0000-0000-0000A28E0000}"/>
    <cellStyle name="Normal 20 9 3 2 4 3" xfId="37950" xr:uid="{00000000-0005-0000-0000-0000A38E0000}"/>
    <cellStyle name="Normal 20 9 3 2 4 4" xfId="18814" xr:uid="{00000000-0005-0000-0000-0000A48E0000}"/>
    <cellStyle name="Normal 20 9 3 2 5" xfId="44483" xr:uid="{00000000-0005-0000-0000-0000A58E0000}"/>
    <cellStyle name="Normal 20 9 3 2 6" xfId="28383" xr:uid="{00000000-0005-0000-0000-0000A68E0000}"/>
    <cellStyle name="Normal 20 9 3 2 7" xfId="15319" xr:uid="{00000000-0005-0000-0000-0000A78E0000}"/>
    <cellStyle name="Normal 20 9 3 3" xfId="1695" xr:uid="{00000000-0005-0000-0000-0000A88E0000}"/>
    <cellStyle name="Normal 20 9 3 3 2" xfId="8229" xr:uid="{00000000-0005-0000-0000-0000A98E0000}"/>
    <cellStyle name="Normal 20 9 3 3 2 2" xfId="39970" xr:uid="{00000000-0005-0000-0000-0000AA8E0000}"/>
    <cellStyle name="Normal 20 9 3 3 2 2 2" xfId="56070" xr:uid="{00000000-0005-0000-0000-0000AB8E0000}"/>
    <cellStyle name="Normal 20 9 3 3 2 3" xfId="46503" xr:uid="{00000000-0005-0000-0000-0000AC8E0000}"/>
    <cellStyle name="Normal 20 9 3 3 2 4" xfId="30403" xr:uid="{00000000-0005-0000-0000-0000AD8E0000}"/>
    <cellStyle name="Normal 20 9 3 3 2 5" xfId="20834" xr:uid="{00000000-0005-0000-0000-0000AE8E0000}"/>
    <cellStyle name="Normal 20 9 3 3 3" xfId="11265" xr:uid="{00000000-0005-0000-0000-0000AF8E0000}"/>
    <cellStyle name="Normal 20 9 3 3 3 2" xfId="49539" xr:uid="{00000000-0005-0000-0000-0000B08E0000}"/>
    <cellStyle name="Normal 20 9 3 3 3 3" xfId="33439" xr:uid="{00000000-0005-0000-0000-0000B18E0000}"/>
    <cellStyle name="Normal 20 9 3 3 3 4" xfId="23870" xr:uid="{00000000-0005-0000-0000-0000B28E0000}"/>
    <cellStyle name="Normal 20 9 3 3 4" xfId="5193" xr:uid="{00000000-0005-0000-0000-0000B38E0000}"/>
    <cellStyle name="Normal 20 9 3 3 4 2" xfId="53034" xr:uid="{00000000-0005-0000-0000-0000B48E0000}"/>
    <cellStyle name="Normal 20 9 3 3 4 3" xfId="36934" xr:uid="{00000000-0005-0000-0000-0000B58E0000}"/>
    <cellStyle name="Normal 20 9 3 3 4 4" xfId="17798" xr:uid="{00000000-0005-0000-0000-0000B68E0000}"/>
    <cellStyle name="Normal 20 9 3 3 5" xfId="43467" xr:uid="{00000000-0005-0000-0000-0000B78E0000}"/>
    <cellStyle name="Normal 20 9 3 3 6" xfId="27367" xr:uid="{00000000-0005-0000-0000-0000B88E0000}"/>
    <cellStyle name="Normal 20 9 3 3 7" xfId="14303" xr:uid="{00000000-0005-0000-0000-0000B98E0000}"/>
    <cellStyle name="Normal 20 9 3 4" xfId="7219" xr:uid="{00000000-0005-0000-0000-0000BA8E0000}"/>
    <cellStyle name="Normal 20 9 3 4 2" xfId="38960" xr:uid="{00000000-0005-0000-0000-0000BB8E0000}"/>
    <cellStyle name="Normal 20 9 3 4 2 2" xfId="55060" xr:uid="{00000000-0005-0000-0000-0000BC8E0000}"/>
    <cellStyle name="Normal 20 9 3 4 3" xfId="45493" xr:uid="{00000000-0005-0000-0000-0000BD8E0000}"/>
    <cellStyle name="Normal 20 9 3 4 4" xfId="29393" xr:uid="{00000000-0005-0000-0000-0000BE8E0000}"/>
    <cellStyle name="Normal 20 9 3 4 5" xfId="19824" xr:uid="{00000000-0005-0000-0000-0000BF8E0000}"/>
    <cellStyle name="Normal 20 9 3 5" xfId="10255" xr:uid="{00000000-0005-0000-0000-0000C08E0000}"/>
    <cellStyle name="Normal 20 9 3 5 2" xfId="48529" xr:uid="{00000000-0005-0000-0000-0000C18E0000}"/>
    <cellStyle name="Normal 20 9 3 5 3" xfId="32429" xr:uid="{00000000-0005-0000-0000-0000C28E0000}"/>
    <cellStyle name="Normal 20 9 3 5 4" xfId="22860" xr:uid="{00000000-0005-0000-0000-0000C38E0000}"/>
    <cellStyle name="Normal 20 9 3 6" xfId="4183" xr:uid="{00000000-0005-0000-0000-0000C48E0000}"/>
    <cellStyle name="Normal 20 9 3 6 2" xfId="52024" xr:uid="{00000000-0005-0000-0000-0000C58E0000}"/>
    <cellStyle name="Normal 20 9 3 6 3" xfId="35924" xr:uid="{00000000-0005-0000-0000-0000C68E0000}"/>
    <cellStyle name="Normal 20 9 3 6 4" xfId="16788" xr:uid="{00000000-0005-0000-0000-0000C78E0000}"/>
    <cellStyle name="Normal 20 9 3 7" xfId="42457" xr:uid="{00000000-0005-0000-0000-0000C88E0000}"/>
    <cellStyle name="Normal 20 9 3 8" xfId="26357" xr:uid="{00000000-0005-0000-0000-0000C98E0000}"/>
    <cellStyle name="Normal 20 9 3 9" xfId="13293" xr:uid="{00000000-0005-0000-0000-0000CA8E0000}"/>
    <cellStyle name="Normal 20 9 4" xfId="2485" xr:uid="{00000000-0005-0000-0000-0000CB8E0000}"/>
    <cellStyle name="Normal 20 9 4 2" xfId="9017" xr:uid="{00000000-0005-0000-0000-0000CC8E0000}"/>
    <cellStyle name="Normal 20 9 4 2 2" xfId="40758" xr:uid="{00000000-0005-0000-0000-0000CD8E0000}"/>
    <cellStyle name="Normal 20 9 4 2 2 2" xfId="56858" xr:uid="{00000000-0005-0000-0000-0000CE8E0000}"/>
    <cellStyle name="Normal 20 9 4 2 3" xfId="47291" xr:uid="{00000000-0005-0000-0000-0000CF8E0000}"/>
    <cellStyle name="Normal 20 9 4 2 4" xfId="31191" xr:uid="{00000000-0005-0000-0000-0000D08E0000}"/>
    <cellStyle name="Normal 20 9 4 2 5" xfId="21622" xr:uid="{00000000-0005-0000-0000-0000D18E0000}"/>
    <cellStyle name="Normal 20 9 4 3" xfId="12053" xr:uid="{00000000-0005-0000-0000-0000D28E0000}"/>
    <cellStyle name="Normal 20 9 4 3 2" xfId="50327" xr:uid="{00000000-0005-0000-0000-0000D38E0000}"/>
    <cellStyle name="Normal 20 9 4 3 3" xfId="34227" xr:uid="{00000000-0005-0000-0000-0000D48E0000}"/>
    <cellStyle name="Normal 20 9 4 3 4" xfId="24658" xr:uid="{00000000-0005-0000-0000-0000D58E0000}"/>
    <cellStyle name="Normal 20 9 4 4" xfId="5981" xr:uid="{00000000-0005-0000-0000-0000D68E0000}"/>
    <cellStyle name="Normal 20 9 4 4 2" xfId="53822" xr:uid="{00000000-0005-0000-0000-0000D78E0000}"/>
    <cellStyle name="Normal 20 9 4 4 3" xfId="37722" xr:uid="{00000000-0005-0000-0000-0000D88E0000}"/>
    <cellStyle name="Normal 20 9 4 4 4" xfId="18586" xr:uid="{00000000-0005-0000-0000-0000D98E0000}"/>
    <cellStyle name="Normal 20 9 4 5" xfId="44255" xr:uid="{00000000-0005-0000-0000-0000DA8E0000}"/>
    <cellStyle name="Normal 20 9 4 6" xfId="28155" xr:uid="{00000000-0005-0000-0000-0000DB8E0000}"/>
    <cellStyle name="Normal 20 9 4 7" xfId="15091" xr:uid="{00000000-0005-0000-0000-0000DC8E0000}"/>
    <cellStyle name="Normal 20 9 5" xfId="1234" xr:uid="{00000000-0005-0000-0000-0000DD8E0000}"/>
    <cellStyle name="Normal 20 9 5 2" xfId="7768" xr:uid="{00000000-0005-0000-0000-0000DE8E0000}"/>
    <cellStyle name="Normal 20 9 5 2 2" xfId="39509" xr:uid="{00000000-0005-0000-0000-0000DF8E0000}"/>
    <cellStyle name="Normal 20 9 5 2 2 2" xfId="55609" xr:uid="{00000000-0005-0000-0000-0000E08E0000}"/>
    <cellStyle name="Normal 20 9 5 2 3" xfId="46042" xr:uid="{00000000-0005-0000-0000-0000E18E0000}"/>
    <cellStyle name="Normal 20 9 5 2 4" xfId="29942" xr:uid="{00000000-0005-0000-0000-0000E28E0000}"/>
    <cellStyle name="Normal 20 9 5 2 5" xfId="20373" xr:uid="{00000000-0005-0000-0000-0000E38E0000}"/>
    <cellStyle name="Normal 20 9 5 3" xfId="10804" xr:uid="{00000000-0005-0000-0000-0000E48E0000}"/>
    <cellStyle name="Normal 20 9 5 3 2" xfId="49078" xr:uid="{00000000-0005-0000-0000-0000E58E0000}"/>
    <cellStyle name="Normal 20 9 5 3 3" xfId="32978" xr:uid="{00000000-0005-0000-0000-0000E68E0000}"/>
    <cellStyle name="Normal 20 9 5 3 4" xfId="23409" xr:uid="{00000000-0005-0000-0000-0000E78E0000}"/>
    <cellStyle name="Normal 20 9 5 4" xfId="4732" xr:uid="{00000000-0005-0000-0000-0000E88E0000}"/>
    <cellStyle name="Normal 20 9 5 4 2" xfId="52573" xr:uid="{00000000-0005-0000-0000-0000E98E0000}"/>
    <cellStyle name="Normal 20 9 5 4 3" xfId="36473" xr:uid="{00000000-0005-0000-0000-0000EA8E0000}"/>
    <cellStyle name="Normal 20 9 5 4 4" xfId="17337" xr:uid="{00000000-0005-0000-0000-0000EB8E0000}"/>
    <cellStyle name="Normal 20 9 5 5" xfId="43006" xr:uid="{00000000-0005-0000-0000-0000EC8E0000}"/>
    <cellStyle name="Normal 20 9 5 6" xfId="26906" xr:uid="{00000000-0005-0000-0000-0000ED8E0000}"/>
    <cellStyle name="Normal 20 9 5 7" xfId="13842" xr:uid="{00000000-0005-0000-0000-0000EE8E0000}"/>
    <cellStyle name="Normal 20 9 6" xfId="3722" xr:uid="{00000000-0005-0000-0000-0000EF8E0000}"/>
    <cellStyle name="Normal 20 9 6 2" xfId="35463" xr:uid="{00000000-0005-0000-0000-0000F08E0000}"/>
    <cellStyle name="Normal 20 9 6 2 2" xfId="51563" xr:uid="{00000000-0005-0000-0000-0000F18E0000}"/>
    <cellStyle name="Normal 20 9 6 3" xfId="41996" xr:uid="{00000000-0005-0000-0000-0000F28E0000}"/>
    <cellStyle name="Normal 20 9 6 4" xfId="25896" xr:uid="{00000000-0005-0000-0000-0000F38E0000}"/>
    <cellStyle name="Normal 20 9 6 5" xfId="16327" xr:uid="{00000000-0005-0000-0000-0000F48E0000}"/>
    <cellStyle name="Normal 20 9 7" xfId="6758" xr:uid="{00000000-0005-0000-0000-0000F58E0000}"/>
    <cellStyle name="Normal 20 9 7 2" xfId="38499" xr:uid="{00000000-0005-0000-0000-0000F68E0000}"/>
    <cellStyle name="Normal 20 9 7 2 2" xfId="54599" xr:uid="{00000000-0005-0000-0000-0000F78E0000}"/>
    <cellStyle name="Normal 20 9 7 3" xfId="45032" xr:uid="{00000000-0005-0000-0000-0000F88E0000}"/>
    <cellStyle name="Normal 20 9 7 4" xfId="28932" xr:uid="{00000000-0005-0000-0000-0000F98E0000}"/>
    <cellStyle name="Normal 20 9 7 5" xfId="19363" xr:uid="{00000000-0005-0000-0000-0000FA8E0000}"/>
    <cellStyle name="Normal 20 9 8" xfId="9794" xr:uid="{00000000-0005-0000-0000-0000FB8E0000}"/>
    <cellStyle name="Normal 20 9 8 2" xfId="48068" xr:uid="{00000000-0005-0000-0000-0000FC8E0000}"/>
    <cellStyle name="Normal 20 9 8 3" xfId="31968" xr:uid="{00000000-0005-0000-0000-0000FD8E0000}"/>
    <cellStyle name="Normal 20 9 8 4" xfId="22399" xr:uid="{00000000-0005-0000-0000-0000FE8E0000}"/>
    <cellStyle name="Normal 20 9 9" xfId="3262" xr:uid="{00000000-0005-0000-0000-0000FF8E0000}"/>
    <cellStyle name="Normal 20 9 9 2" xfId="51104" xr:uid="{00000000-0005-0000-0000-0000008F0000}"/>
    <cellStyle name="Normal 20 9 9 3" xfId="35004" xr:uid="{00000000-0005-0000-0000-0000018F0000}"/>
    <cellStyle name="Normal 20 9 9 4" xfId="15868" xr:uid="{00000000-0005-0000-0000-0000028F0000}"/>
    <cellStyle name="Normal 20_INL Feedstock" xfId="413" xr:uid="{00000000-0005-0000-0000-0000038F0000}"/>
    <cellStyle name="Normal 21" xfId="56" xr:uid="{00000000-0005-0000-0000-0000048F0000}"/>
    <cellStyle name="Normal 21 10" xfId="3559" xr:uid="{00000000-0005-0000-0000-0000058F0000}"/>
    <cellStyle name="Normal 21 10 2" xfId="35300" xr:uid="{00000000-0005-0000-0000-0000068F0000}"/>
    <cellStyle name="Normal 21 10 2 2" xfId="51400" xr:uid="{00000000-0005-0000-0000-0000078F0000}"/>
    <cellStyle name="Normal 21 10 3" xfId="41833" xr:uid="{00000000-0005-0000-0000-0000088F0000}"/>
    <cellStyle name="Normal 21 10 4" xfId="25733" xr:uid="{00000000-0005-0000-0000-0000098F0000}"/>
    <cellStyle name="Normal 21 10 5" xfId="16164" xr:uid="{00000000-0005-0000-0000-00000A8F0000}"/>
    <cellStyle name="Normal 21 11" xfId="6595" xr:uid="{00000000-0005-0000-0000-00000B8F0000}"/>
    <cellStyle name="Normal 21 11 2" xfId="38336" xr:uid="{00000000-0005-0000-0000-00000C8F0000}"/>
    <cellStyle name="Normal 21 11 2 2" xfId="54436" xr:uid="{00000000-0005-0000-0000-00000D8F0000}"/>
    <cellStyle name="Normal 21 11 3" xfId="44869" xr:uid="{00000000-0005-0000-0000-00000E8F0000}"/>
    <cellStyle name="Normal 21 11 4" xfId="28769" xr:uid="{00000000-0005-0000-0000-00000F8F0000}"/>
    <cellStyle name="Normal 21 11 5" xfId="19200" xr:uid="{00000000-0005-0000-0000-0000108F0000}"/>
    <cellStyle name="Normal 21 12" xfId="9631" xr:uid="{00000000-0005-0000-0000-0000118F0000}"/>
    <cellStyle name="Normal 21 12 2" xfId="47905" xr:uid="{00000000-0005-0000-0000-0000128F0000}"/>
    <cellStyle name="Normal 21 12 3" xfId="31805" xr:uid="{00000000-0005-0000-0000-0000138F0000}"/>
    <cellStyle name="Normal 21 12 4" xfId="22236" xr:uid="{00000000-0005-0000-0000-0000148F0000}"/>
    <cellStyle name="Normal 21 13" xfId="3099" xr:uid="{00000000-0005-0000-0000-0000158F0000}"/>
    <cellStyle name="Normal 21 13 2" xfId="50941" xr:uid="{00000000-0005-0000-0000-0000168F0000}"/>
    <cellStyle name="Normal 21 13 3" xfId="34841" xr:uid="{00000000-0005-0000-0000-0000178F0000}"/>
    <cellStyle name="Normal 21 13 4" xfId="15705" xr:uid="{00000000-0005-0000-0000-0000188F0000}"/>
    <cellStyle name="Normal 21 14" xfId="41374" xr:uid="{00000000-0005-0000-0000-0000198F0000}"/>
    <cellStyle name="Normal 21 15" xfId="25274" xr:uid="{00000000-0005-0000-0000-00001A8F0000}"/>
    <cellStyle name="Normal 21 16" xfId="12669" xr:uid="{00000000-0005-0000-0000-00001B8F0000}"/>
    <cellStyle name="Normal 21 2" xfId="129" xr:uid="{00000000-0005-0000-0000-00001C8F0000}"/>
    <cellStyle name="Normal 21 2 10" xfId="3337" xr:uid="{00000000-0005-0000-0000-00001D8F0000}"/>
    <cellStyle name="Normal 21 2 10 2" xfId="51178" xr:uid="{00000000-0005-0000-0000-00001E8F0000}"/>
    <cellStyle name="Normal 21 2 10 3" xfId="35078" xr:uid="{00000000-0005-0000-0000-00001F8F0000}"/>
    <cellStyle name="Normal 21 2 10 4" xfId="15942" xr:uid="{00000000-0005-0000-0000-0000208F0000}"/>
    <cellStyle name="Normal 21 2 11" xfId="41611" xr:uid="{00000000-0005-0000-0000-0000218F0000}"/>
    <cellStyle name="Normal 21 2 12" xfId="25511" xr:uid="{00000000-0005-0000-0000-0000228F0000}"/>
    <cellStyle name="Normal 21 2 13" xfId="12962" xr:uid="{00000000-0005-0000-0000-0000238F0000}"/>
    <cellStyle name="Normal 21 2 2" xfId="204" xr:uid="{00000000-0005-0000-0000-0000248F0000}"/>
    <cellStyle name="Normal 21 2 2 10" xfId="13033" xr:uid="{00000000-0005-0000-0000-0000258F0000}"/>
    <cellStyle name="Normal 21 2 2 2" xfId="381" xr:uid="{00000000-0005-0000-0000-0000268F0000}"/>
    <cellStyle name="Normal 21 2 2 2 2" xfId="2400" xr:uid="{00000000-0005-0000-0000-0000278F0000}"/>
    <cellStyle name="Normal 21 2 2 2 2 2" xfId="8934" xr:uid="{00000000-0005-0000-0000-0000288F0000}"/>
    <cellStyle name="Normal 21 2 2 2 2 2 2" xfId="40675" xr:uid="{00000000-0005-0000-0000-0000298F0000}"/>
    <cellStyle name="Normal 21 2 2 2 2 2 2 2" xfId="56775" xr:uid="{00000000-0005-0000-0000-00002A8F0000}"/>
    <cellStyle name="Normal 21 2 2 2 2 2 3" xfId="47208" xr:uid="{00000000-0005-0000-0000-00002B8F0000}"/>
    <cellStyle name="Normal 21 2 2 2 2 2 4" xfId="31108" xr:uid="{00000000-0005-0000-0000-00002C8F0000}"/>
    <cellStyle name="Normal 21 2 2 2 2 2 5" xfId="21539" xr:uid="{00000000-0005-0000-0000-00002D8F0000}"/>
    <cellStyle name="Normal 21 2 2 2 2 3" xfId="11970" xr:uid="{00000000-0005-0000-0000-00002E8F0000}"/>
    <cellStyle name="Normal 21 2 2 2 2 3 2" xfId="50244" xr:uid="{00000000-0005-0000-0000-00002F8F0000}"/>
    <cellStyle name="Normal 21 2 2 2 2 3 3" xfId="34144" xr:uid="{00000000-0005-0000-0000-0000308F0000}"/>
    <cellStyle name="Normal 21 2 2 2 2 3 4" xfId="24575" xr:uid="{00000000-0005-0000-0000-0000318F0000}"/>
    <cellStyle name="Normal 21 2 2 2 2 4" xfId="5898" xr:uid="{00000000-0005-0000-0000-0000328F0000}"/>
    <cellStyle name="Normal 21 2 2 2 2 4 2" xfId="53739" xr:uid="{00000000-0005-0000-0000-0000338F0000}"/>
    <cellStyle name="Normal 21 2 2 2 2 4 3" xfId="37639" xr:uid="{00000000-0005-0000-0000-0000348F0000}"/>
    <cellStyle name="Normal 21 2 2 2 2 4 4" xfId="18503" xr:uid="{00000000-0005-0000-0000-0000358F0000}"/>
    <cellStyle name="Normal 21 2 2 2 2 5" xfId="44172" xr:uid="{00000000-0005-0000-0000-0000368F0000}"/>
    <cellStyle name="Normal 21 2 2 2 2 6" xfId="28072" xr:uid="{00000000-0005-0000-0000-0000378F0000}"/>
    <cellStyle name="Normal 21 2 2 2 2 7" xfId="15008" xr:uid="{00000000-0005-0000-0000-0000388F0000}"/>
    <cellStyle name="Normal 21 2 2 2 3" xfId="1612" xr:uid="{00000000-0005-0000-0000-0000398F0000}"/>
    <cellStyle name="Normal 21 2 2 2 3 2" xfId="8146" xr:uid="{00000000-0005-0000-0000-00003A8F0000}"/>
    <cellStyle name="Normal 21 2 2 2 3 2 2" xfId="39887" xr:uid="{00000000-0005-0000-0000-00003B8F0000}"/>
    <cellStyle name="Normal 21 2 2 2 3 2 2 2" xfId="55987" xr:uid="{00000000-0005-0000-0000-00003C8F0000}"/>
    <cellStyle name="Normal 21 2 2 2 3 2 3" xfId="46420" xr:uid="{00000000-0005-0000-0000-00003D8F0000}"/>
    <cellStyle name="Normal 21 2 2 2 3 2 4" xfId="30320" xr:uid="{00000000-0005-0000-0000-00003E8F0000}"/>
    <cellStyle name="Normal 21 2 2 2 3 2 5" xfId="20751" xr:uid="{00000000-0005-0000-0000-00003F8F0000}"/>
    <cellStyle name="Normal 21 2 2 2 3 3" xfId="11182" xr:uid="{00000000-0005-0000-0000-0000408F0000}"/>
    <cellStyle name="Normal 21 2 2 2 3 3 2" xfId="49456" xr:uid="{00000000-0005-0000-0000-0000418F0000}"/>
    <cellStyle name="Normal 21 2 2 2 3 3 3" xfId="33356" xr:uid="{00000000-0005-0000-0000-0000428F0000}"/>
    <cellStyle name="Normal 21 2 2 2 3 3 4" xfId="23787" xr:uid="{00000000-0005-0000-0000-0000438F0000}"/>
    <cellStyle name="Normal 21 2 2 2 3 4" xfId="5110" xr:uid="{00000000-0005-0000-0000-0000448F0000}"/>
    <cellStyle name="Normal 21 2 2 2 3 4 2" xfId="52951" xr:uid="{00000000-0005-0000-0000-0000458F0000}"/>
    <cellStyle name="Normal 21 2 2 2 3 4 3" xfId="36851" xr:uid="{00000000-0005-0000-0000-0000468F0000}"/>
    <cellStyle name="Normal 21 2 2 2 3 4 4" xfId="17715" xr:uid="{00000000-0005-0000-0000-0000478F0000}"/>
    <cellStyle name="Normal 21 2 2 2 3 5" xfId="43384" xr:uid="{00000000-0005-0000-0000-0000488F0000}"/>
    <cellStyle name="Normal 21 2 2 2 3 6" xfId="27284" xr:uid="{00000000-0005-0000-0000-0000498F0000}"/>
    <cellStyle name="Normal 21 2 2 2 3 7" xfId="14220" xr:uid="{00000000-0005-0000-0000-00004A8F0000}"/>
    <cellStyle name="Normal 21 2 2 2 4" xfId="7136" xr:uid="{00000000-0005-0000-0000-00004B8F0000}"/>
    <cellStyle name="Normal 21 2 2 2 4 2" xfId="38877" xr:uid="{00000000-0005-0000-0000-00004C8F0000}"/>
    <cellStyle name="Normal 21 2 2 2 4 2 2" xfId="54977" xr:uid="{00000000-0005-0000-0000-00004D8F0000}"/>
    <cellStyle name="Normal 21 2 2 2 4 3" xfId="45410" xr:uid="{00000000-0005-0000-0000-00004E8F0000}"/>
    <cellStyle name="Normal 21 2 2 2 4 4" xfId="29310" xr:uid="{00000000-0005-0000-0000-00004F8F0000}"/>
    <cellStyle name="Normal 21 2 2 2 4 5" xfId="19741" xr:uid="{00000000-0005-0000-0000-0000508F0000}"/>
    <cellStyle name="Normal 21 2 2 2 5" xfId="10172" xr:uid="{00000000-0005-0000-0000-0000518F0000}"/>
    <cellStyle name="Normal 21 2 2 2 5 2" xfId="48446" xr:uid="{00000000-0005-0000-0000-0000528F0000}"/>
    <cellStyle name="Normal 21 2 2 2 5 3" xfId="32346" xr:uid="{00000000-0005-0000-0000-0000538F0000}"/>
    <cellStyle name="Normal 21 2 2 2 5 4" xfId="22777" xr:uid="{00000000-0005-0000-0000-0000548F0000}"/>
    <cellStyle name="Normal 21 2 2 2 6" xfId="4100" xr:uid="{00000000-0005-0000-0000-0000558F0000}"/>
    <cellStyle name="Normal 21 2 2 2 6 2" xfId="51941" xr:uid="{00000000-0005-0000-0000-0000568F0000}"/>
    <cellStyle name="Normal 21 2 2 2 6 3" xfId="35841" xr:uid="{00000000-0005-0000-0000-0000578F0000}"/>
    <cellStyle name="Normal 21 2 2 2 6 4" xfId="16705" xr:uid="{00000000-0005-0000-0000-0000588F0000}"/>
    <cellStyle name="Normal 21 2 2 2 7" xfId="42374" xr:uid="{00000000-0005-0000-0000-0000598F0000}"/>
    <cellStyle name="Normal 21 2 2 2 8" xfId="26274" xr:uid="{00000000-0005-0000-0000-00005A8F0000}"/>
    <cellStyle name="Normal 21 2 2 2 9" xfId="13210" xr:uid="{00000000-0005-0000-0000-00005B8F0000}"/>
    <cellStyle name="Normal 21 2 2 3" xfId="2223" xr:uid="{00000000-0005-0000-0000-00005C8F0000}"/>
    <cellStyle name="Normal 21 2 2 3 2" xfId="8757" xr:uid="{00000000-0005-0000-0000-00005D8F0000}"/>
    <cellStyle name="Normal 21 2 2 3 2 2" xfId="40498" xr:uid="{00000000-0005-0000-0000-00005E8F0000}"/>
    <cellStyle name="Normal 21 2 2 3 2 2 2" xfId="56598" xr:uid="{00000000-0005-0000-0000-00005F8F0000}"/>
    <cellStyle name="Normal 21 2 2 3 2 3" xfId="47031" xr:uid="{00000000-0005-0000-0000-0000608F0000}"/>
    <cellStyle name="Normal 21 2 2 3 2 4" xfId="30931" xr:uid="{00000000-0005-0000-0000-0000618F0000}"/>
    <cellStyle name="Normal 21 2 2 3 2 5" xfId="21362" xr:uid="{00000000-0005-0000-0000-0000628F0000}"/>
    <cellStyle name="Normal 21 2 2 3 3" xfId="11793" xr:uid="{00000000-0005-0000-0000-0000638F0000}"/>
    <cellStyle name="Normal 21 2 2 3 3 2" xfId="50067" xr:uid="{00000000-0005-0000-0000-0000648F0000}"/>
    <cellStyle name="Normal 21 2 2 3 3 3" xfId="33967" xr:uid="{00000000-0005-0000-0000-0000658F0000}"/>
    <cellStyle name="Normal 21 2 2 3 3 4" xfId="24398" xr:uid="{00000000-0005-0000-0000-0000668F0000}"/>
    <cellStyle name="Normal 21 2 2 3 4" xfId="5721" xr:uid="{00000000-0005-0000-0000-0000678F0000}"/>
    <cellStyle name="Normal 21 2 2 3 4 2" xfId="53562" xr:uid="{00000000-0005-0000-0000-0000688F0000}"/>
    <cellStyle name="Normal 21 2 2 3 4 3" xfId="37462" xr:uid="{00000000-0005-0000-0000-0000698F0000}"/>
    <cellStyle name="Normal 21 2 2 3 4 4" xfId="18326" xr:uid="{00000000-0005-0000-0000-00006A8F0000}"/>
    <cellStyle name="Normal 21 2 2 3 5" xfId="43995" xr:uid="{00000000-0005-0000-0000-00006B8F0000}"/>
    <cellStyle name="Normal 21 2 2 3 6" xfId="27895" xr:uid="{00000000-0005-0000-0000-00006C8F0000}"/>
    <cellStyle name="Normal 21 2 2 3 7" xfId="14831" xr:uid="{00000000-0005-0000-0000-00006D8F0000}"/>
    <cellStyle name="Normal 21 2 2 4" xfId="1435" xr:uid="{00000000-0005-0000-0000-00006E8F0000}"/>
    <cellStyle name="Normal 21 2 2 4 2" xfId="7969" xr:uid="{00000000-0005-0000-0000-00006F8F0000}"/>
    <cellStyle name="Normal 21 2 2 4 2 2" xfId="39710" xr:uid="{00000000-0005-0000-0000-0000708F0000}"/>
    <cellStyle name="Normal 21 2 2 4 2 2 2" xfId="55810" xr:uid="{00000000-0005-0000-0000-0000718F0000}"/>
    <cellStyle name="Normal 21 2 2 4 2 3" xfId="46243" xr:uid="{00000000-0005-0000-0000-0000728F0000}"/>
    <cellStyle name="Normal 21 2 2 4 2 4" xfId="30143" xr:uid="{00000000-0005-0000-0000-0000738F0000}"/>
    <cellStyle name="Normal 21 2 2 4 2 5" xfId="20574" xr:uid="{00000000-0005-0000-0000-0000748F0000}"/>
    <cellStyle name="Normal 21 2 2 4 3" xfId="11005" xr:uid="{00000000-0005-0000-0000-0000758F0000}"/>
    <cellStyle name="Normal 21 2 2 4 3 2" xfId="49279" xr:uid="{00000000-0005-0000-0000-0000768F0000}"/>
    <cellStyle name="Normal 21 2 2 4 3 3" xfId="33179" xr:uid="{00000000-0005-0000-0000-0000778F0000}"/>
    <cellStyle name="Normal 21 2 2 4 3 4" xfId="23610" xr:uid="{00000000-0005-0000-0000-0000788F0000}"/>
    <cellStyle name="Normal 21 2 2 4 4" xfId="4933" xr:uid="{00000000-0005-0000-0000-0000798F0000}"/>
    <cellStyle name="Normal 21 2 2 4 4 2" xfId="52774" xr:uid="{00000000-0005-0000-0000-00007A8F0000}"/>
    <cellStyle name="Normal 21 2 2 4 4 3" xfId="36674" xr:uid="{00000000-0005-0000-0000-00007B8F0000}"/>
    <cellStyle name="Normal 21 2 2 4 4 4" xfId="17538" xr:uid="{00000000-0005-0000-0000-00007C8F0000}"/>
    <cellStyle name="Normal 21 2 2 4 5" xfId="43207" xr:uid="{00000000-0005-0000-0000-00007D8F0000}"/>
    <cellStyle name="Normal 21 2 2 4 6" xfId="27107" xr:uid="{00000000-0005-0000-0000-00007E8F0000}"/>
    <cellStyle name="Normal 21 2 2 4 7" xfId="14043" xr:uid="{00000000-0005-0000-0000-00007F8F0000}"/>
    <cellStyle name="Normal 21 2 2 5" xfId="6959" xr:uid="{00000000-0005-0000-0000-0000808F0000}"/>
    <cellStyle name="Normal 21 2 2 5 2" xfId="38700" xr:uid="{00000000-0005-0000-0000-0000818F0000}"/>
    <cellStyle name="Normal 21 2 2 5 2 2" xfId="54800" xr:uid="{00000000-0005-0000-0000-0000828F0000}"/>
    <cellStyle name="Normal 21 2 2 5 3" xfId="45233" xr:uid="{00000000-0005-0000-0000-0000838F0000}"/>
    <cellStyle name="Normal 21 2 2 5 4" xfId="29133" xr:uid="{00000000-0005-0000-0000-0000848F0000}"/>
    <cellStyle name="Normal 21 2 2 5 5" xfId="19564" xr:uid="{00000000-0005-0000-0000-0000858F0000}"/>
    <cellStyle name="Normal 21 2 2 6" xfId="9995" xr:uid="{00000000-0005-0000-0000-0000868F0000}"/>
    <cellStyle name="Normal 21 2 2 6 2" xfId="48269" xr:uid="{00000000-0005-0000-0000-0000878F0000}"/>
    <cellStyle name="Normal 21 2 2 6 3" xfId="32169" xr:uid="{00000000-0005-0000-0000-0000888F0000}"/>
    <cellStyle name="Normal 21 2 2 6 4" xfId="22600" xr:uid="{00000000-0005-0000-0000-0000898F0000}"/>
    <cellStyle name="Normal 21 2 2 7" xfId="3923" xr:uid="{00000000-0005-0000-0000-00008A8F0000}"/>
    <cellStyle name="Normal 21 2 2 7 2" xfId="51764" xr:uid="{00000000-0005-0000-0000-00008B8F0000}"/>
    <cellStyle name="Normal 21 2 2 7 3" xfId="35664" xr:uid="{00000000-0005-0000-0000-00008C8F0000}"/>
    <cellStyle name="Normal 21 2 2 7 4" xfId="16528" xr:uid="{00000000-0005-0000-0000-00008D8F0000}"/>
    <cellStyle name="Normal 21 2 2 8" xfId="42197" xr:uid="{00000000-0005-0000-0000-00008E8F0000}"/>
    <cellStyle name="Normal 21 2 2 9" xfId="26097" xr:uid="{00000000-0005-0000-0000-00008F8F0000}"/>
    <cellStyle name="Normal 21 2 3" xfId="310" xr:uid="{00000000-0005-0000-0000-0000908F0000}"/>
    <cellStyle name="Normal 21 2 3 2" xfId="2329" xr:uid="{00000000-0005-0000-0000-0000918F0000}"/>
    <cellStyle name="Normal 21 2 3 2 2" xfId="8863" xr:uid="{00000000-0005-0000-0000-0000928F0000}"/>
    <cellStyle name="Normal 21 2 3 2 2 2" xfId="40604" xr:uid="{00000000-0005-0000-0000-0000938F0000}"/>
    <cellStyle name="Normal 21 2 3 2 2 2 2" xfId="56704" xr:uid="{00000000-0005-0000-0000-0000948F0000}"/>
    <cellStyle name="Normal 21 2 3 2 2 3" xfId="47137" xr:uid="{00000000-0005-0000-0000-0000958F0000}"/>
    <cellStyle name="Normal 21 2 3 2 2 4" xfId="31037" xr:uid="{00000000-0005-0000-0000-0000968F0000}"/>
    <cellStyle name="Normal 21 2 3 2 2 5" xfId="21468" xr:uid="{00000000-0005-0000-0000-0000978F0000}"/>
    <cellStyle name="Normal 21 2 3 2 3" xfId="11899" xr:uid="{00000000-0005-0000-0000-0000988F0000}"/>
    <cellStyle name="Normal 21 2 3 2 3 2" xfId="50173" xr:uid="{00000000-0005-0000-0000-0000998F0000}"/>
    <cellStyle name="Normal 21 2 3 2 3 3" xfId="34073" xr:uid="{00000000-0005-0000-0000-00009A8F0000}"/>
    <cellStyle name="Normal 21 2 3 2 3 4" xfId="24504" xr:uid="{00000000-0005-0000-0000-00009B8F0000}"/>
    <cellStyle name="Normal 21 2 3 2 4" xfId="5827" xr:uid="{00000000-0005-0000-0000-00009C8F0000}"/>
    <cellStyle name="Normal 21 2 3 2 4 2" xfId="53668" xr:uid="{00000000-0005-0000-0000-00009D8F0000}"/>
    <cellStyle name="Normal 21 2 3 2 4 3" xfId="37568" xr:uid="{00000000-0005-0000-0000-00009E8F0000}"/>
    <cellStyle name="Normal 21 2 3 2 4 4" xfId="18432" xr:uid="{00000000-0005-0000-0000-00009F8F0000}"/>
    <cellStyle name="Normal 21 2 3 2 5" xfId="44101" xr:uid="{00000000-0005-0000-0000-0000A08F0000}"/>
    <cellStyle name="Normal 21 2 3 2 6" xfId="28001" xr:uid="{00000000-0005-0000-0000-0000A18F0000}"/>
    <cellStyle name="Normal 21 2 3 2 7" xfId="14937" xr:uid="{00000000-0005-0000-0000-0000A28F0000}"/>
    <cellStyle name="Normal 21 2 3 3" xfId="1541" xr:uid="{00000000-0005-0000-0000-0000A38F0000}"/>
    <cellStyle name="Normal 21 2 3 3 2" xfId="8075" xr:uid="{00000000-0005-0000-0000-0000A48F0000}"/>
    <cellStyle name="Normal 21 2 3 3 2 2" xfId="39816" xr:uid="{00000000-0005-0000-0000-0000A58F0000}"/>
    <cellStyle name="Normal 21 2 3 3 2 2 2" xfId="55916" xr:uid="{00000000-0005-0000-0000-0000A68F0000}"/>
    <cellStyle name="Normal 21 2 3 3 2 3" xfId="46349" xr:uid="{00000000-0005-0000-0000-0000A78F0000}"/>
    <cellStyle name="Normal 21 2 3 3 2 4" xfId="30249" xr:uid="{00000000-0005-0000-0000-0000A88F0000}"/>
    <cellStyle name="Normal 21 2 3 3 2 5" xfId="20680" xr:uid="{00000000-0005-0000-0000-0000A98F0000}"/>
    <cellStyle name="Normal 21 2 3 3 3" xfId="11111" xr:uid="{00000000-0005-0000-0000-0000AA8F0000}"/>
    <cellStyle name="Normal 21 2 3 3 3 2" xfId="49385" xr:uid="{00000000-0005-0000-0000-0000AB8F0000}"/>
    <cellStyle name="Normal 21 2 3 3 3 3" xfId="33285" xr:uid="{00000000-0005-0000-0000-0000AC8F0000}"/>
    <cellStyle name="Normal 21 2 3 3 3 4" xfId="23716" xr:uid="{00000000-0005-0000-0000-0000AD8F0000}"/>
    <cellStyle name="Normal 21 2 3 3 4" xfId="5039" xr:uid="{00000000-0005-0000-0000-0000AE8F0000}"/>
    <cellStyle name="Normal 21 2 3 3 4 2" xfId="52880" xr:uid="{00000000-0005-0000-0000-0000AF8F0000}"/>
    <cellStyle name="Normal 21 2 3 3 4 3" xfId="36780" xr:uid="{00000000-0005-0000-0000-0000B08F0000}"/>
    <cellStyle name="Normal 21 2 3 3 4 4" xfId="17644" xr:uid="{00000000-0005-0000-0000-0000B18F0000}"/>
    <cellStyle name="Normal 21 2 3 3 5" xfId="43313" xr:uid="{00000000-0005-0000-0000-0000B28F0000}"/>
    <cellStyle name="Normal 21 2 3 3 6" xfId="27213" xr:uid="{00000000-0005-0000-0000-0000B38F0000}"/>
    <cellStyle name="Normal 21 2 3 3 7" xfId="14149" xr:uid="{00000000-0005-0000-0000-0000B48F0000}"/>
    <cellStyle name="Normal 21 2 3 4" xfId="7065" xr:uid="{00000000-0005-0000-0000-0000B58F0000}"/>
    <cellStyle name="Normal 21 2 3 4 2" xfId="38806" xr:uid="{00000000-0005-0000-0000-0000B68F0000}"/>
    <cellStyle name="Normal 21 2 3 4 2 2" xfId="54906" xr:uid="{00000000-0005-0000-0000-0000B78F0000}"/>
    <cellStyle name="Normal 21 2 3 4 3" xfId="45339" xr:uid="{00000000-0005-0000-0000-0000B88F0000}"/>
    <cellStyle name="Normal 21 2 3 4 4" xfId="29239" xr:uid="{00000000-0005-0000-0000-0000B98F0000}"/>
    <cellStyle name="Normal 21 2 3 4 5" xfId="19670" xr:uid="{00000000-0005-0000-0000-0000BA8F0000}"/>
    <cellStyle name="Normal 21 2 3 5" xfId="10101" xr:uid="{00000000-0005-0000-0000-0000BB8F0000}"/>
    <cellStyle name="Normal 21 2 3 5 2" xfId="48375" xr:uid="{00000000-0005-0000-0000-0000BC8F0000}"/>
    <cellStyle name="Normal 21 2 3 5 3" xfId="32275" xr:uid="{00000000-0005-0000-0000-0000BD8F0000}"/>
    <cellStyle name="Normal 21 2 3 5 4" xfId="22706" xr:uid="{00000000-0005-0000-0000-0000BE8F0000}"/>
    <cellStyle name="Normal 21 2 3 6" xfId="4029" xr:uid="{00000000-0005-0000-0000-0000BF8F0000}"/>
    <cellStyle name="Normal 21 2 3 6 2" xfId="51870" xr:uid="{00000000-0005-0000-0000-0000C08F0000}"/>
    <cellStyle name="Normal 21 2 3 6 3" xfId="35770" xr:uid="{00000000-0005-0000-0000-0000C18F0000}"/>
    <cellStyle name="Normal 21 2 3 6 4" xfId="16634" xr:uid="{00000000-0005-0000-0000-0000C28F0000}"/>
    <cellStyle name="Normal 21 2 3 7" xfId="42303" xr:uid="{00000000-0005-0000-0000-0000C38F0000}"/>
    <cellStyle name="Normal 21 2 3 8" xfId="26203" xr:uid="{00000000-0005-0000-0000-0000C48F0000}"/>
    <cellStyle name="Normal 21 2 3 9" xfId="13139" xr:uid="{00000000-0005-0000-0000-0000C58F0000}"/>
    <cellStyle name="Normal 21 2 4" xfId="984" xr:uid="{00000000-0005-0000-0000-0000C68F0000}"/>
    <cellStyle name="Normal 21 2 4 2" xfId="3012" xr:uid="{00000000-0005-0000-0000-0000C78F0000}"/>
    <cellStyle name="Normal 21 2 4 2 2" xfId="9544" xr:uid="{00000000-0005-0000-0000-0000C88F0000}"/>
    <cellStyle name="Normal 21 2 4 2 2 2" xfId="41285" xr:uid="{00000000-0005-0000-0000-0000C98F0000}"/>
    <cellStyle name="Normal 21 2 4 2 2 2 2" xfId="57385" xr:uid="{00000000-0005-0000-0000-0000CA8F0000}"/>
    <cellStyle name="Normal 21 2 4 2 2 3" xfId="47818" xr:uid="{00000000-0005-0000-0000-0000CB8F0000}"/>
    <cellStyle name="Normal 21 2 4 2 2 4" xfId="31718" xr:uid="{00000000-0005-0000-0000-0000CC8F0000}"/>
    <cellStyle name="Normal 21 2 4 2 2 5" xfId="22149" xr:uid="{00000000-0005-0000-0000-0000CD8F0000}"/>
    <cellStyle name="Normal 21 2 4 2 3" xfId="12580" xr:uid="{00000000-0005-0000-0000-0000CE8F0000}"/>
    <cellStyle name="Normal 21 2 4 2 3 2" xfId="50854" xr:uid="{00000000-0005-0000-0000-0000CF8F0000}"/>
    <cellStyle name="Normal 21 2 4 2 3 3" xfId="34754" xr:uid="{00000000-0005-0000-0000-0000D08F0000}"/>
    <cellStyle name="Normal 21 2 4 2 3 4" xfId="25185" xr:uid="{00000000-0005-0000-0000-0000D18F0000}"/>
    <cellStyle name="Normal 21 2 4 2 4" xfId="6508" xr:uid="{00000000-0005-0000-0000-0000D28F0000}"/>
    <cellStyle name="Normal 21 2 4 2 4 2" xfId="54349" xr:uid="{00000000-0005-0000-0000-0000D38F0000}"/>
    <cellStyle name="Normal 21 2 4 2 4 3" xfId="38249" xr:uid="{00000000-0005-0000-0000-0000D48F0000}"/>
    <cellStyle name="Normal 21 2 4 2 4 4" xfId="19113" xr:uid="{00000000-0005-0000-0000-0000D58F0000}"/>
    <cellStyle name="Normal 21 2 4 2 5" xfId="44782" xr:uid="{00000000-0005-0000-0000-0000D68F0000}"/>
    <cellStyle name="Normal 21 2 4 2 6" xfId="28682" xr:uid="{00000000-0005-0000-0000-0000D78F0000}"/>
    <cellStyle name="Normal 21 2 4 2 7" xfId="15618" xr:uid="{00000000-0005-0000-0000-0000D88F0000}"/>
    <cellStyle name="Normal 21 2 4 3" xfId="1994" xr:uid="{00000000-0005-0000-0000-0000D98F0000}"/>
    <cellStyle name="Normal 21 2 4 3 2" xfId="8528" xr:uid="{00000000-0005-0000-0000-0000DA8F0000}"/>
    <cellStyle name="Normal 21 2 4 3 2 2" xfId="40269" xr:uid="{00000000-0005-0000-0000-0000DB8F0000}"/>
    <cellStyle name="Normal 21 2 4 3 2 2 2" xfId="56369" xr:uid="{00000000-0005-0000-0000-0000DC8F0000}"/>
    <cellStyle name="Normal 21 2 4 3 2 3" xfId="46802" xr:uid="{00000000-0005-0000-0000-0000DD8F0000}"/>
    <cellStyle name="Normal 21 2 4 3 2 4" xfId="30702" xr:uid="{00000000-0005-0000-0000-0000DE8F0000}"/>
    <cellStyle name="Normal 21 2 4 3 2 5" xfId="21133" xr:uid="{00000000-0005-0000-0000-0000DF8F0000}"/>
    <cellStyle name="Normal 21 2 4 3 3" xfId="11564" xr:uid="{00000000-0005-0000-0000-0000E08F0000}"/>
    <cellStyle name="Normal 21 2 4 3 3 2" xfId="49838" xr:uid="{00000000-0005-0000-0000-0000E18F0000}"/>
    <cellStyle name="Normal 21 2 4 3 3 3" xfId="33738" xr:uid="{00000000-0005-0000-0000-0000E28F0000}"/>
    <cellStyle name="Normal 21 2 4 3 3 4" xfId="24169" xr:uid="{00000000-0005-0000-0000-0000E38F0000}"/>
    <cellStyle name="Normal 21 2 4 3 4" xfId="5492" xr:uid="{00000000-0005-0000-0000-0000E48F0000}"/>
    <cellStyle name="Normal 21 2 4 3 4 2" xfId="53333" xr:uid="{00000000-0005-0000-0000-0000E58F0000}"/>
    <cellStyle name="Normal 21 2 4 3 4 3" xfId="37233" xr:uid="{00000000-0005-0000-0000-0000E68F0000}"/>
    <cellStyle name="Normal 21 2 4 3 4 4" xfId="18097" xr:uid="{00000000-0005-0000-0000-0000E78F0000}"/>
    <cellStyle name="Normal 21 2 4 3 5" xfId="43766" xr:uid="{00000000-0005-0000-0000-0000E88F0000}"/>
    <cellStyle name="Normal 21 2 4 3 6" xfId="27666" xr:uid="{00000000-0005-0000-0000-0000E98F0000}"/>
    <cellStyle name="Normal 21 2 4 3 7" xfId="14602" xr:uid="{00000000-0005-0000-0000-0000EA8F0000}"/>
    <cellStyle name="Normal 21 2 4 4" xfId="7518" xr:uid="{00000000-0005-0000-0000-0000EB8F0000}"/>
    <cellStyle name="Normal 21 2 4 4 2" xfId="39259" xr:uid="{00000000-0005-0000-0000-0000EC8F0000}"/>
    <cellStyle name="Normal 21 2 4 4 2 2" xfId="55359" xr:uid="{00000000-0005-0000-0000-0000ED8F0000}"/>
    <cellStyle name="Normal 21 2 4 4 3" xfId="45792" xr:uid="{00000000-0005-0000-0000-0000EE8F0000}"/>
    <cellStyle name="Normal 21 2 4 4 4" xfId="29692" xr:uid="{00000000-0005-0000-0000-0000EF8F0000}"/>
    <cellStyle name="Normal 21 2 4 4 5" xfId="20123" xr:uid="{00000000-0005-0000-0000-0000F08F0000}"/>
    <cellStyle name="Normal 21 2 4 5" xfId="10554" xr:uid="{00000000-0005-0000-0000-0000F18F0000}"/>
    <cellStyle name="Normal 21 2 4 5 2" xfId="48828" xr:uid="{00000000-0005-0000-0000-0000F28F0000}"/>
    <cellStyle name="Normal 21 2 4 5 3" xfId="32728" xr:uid="{00000000-0005-0000-0000-0000F38F0000}"/>
    <cellStyle name="Normal 21 2 4 5 4" xfId="23159" xr:uid="{00000000-0005-0000-0000-0000F48F0000}"/>
    <cellStyle name="Normal 21 2 4 6" xfId="4482" xr:uid="{00000000-0005-0000-0000-0000F58F0000}"/>
    <cellStyle name="Normal 21 2 4 6 2" xfId="52323" xr:uid="{00000000-0005-0000-0000-0000F68F0000}"/>
    <cellStyle name="Normal 21 2 4 6 3" xfId="36223" xr:uid="{00000000-0005-0000-0000-0000F78F0000}"/>
    <cellStyle name="Normal 21 2 4 6 4" xfId="17087" xr:uid="{00000000-0005-0000-0000-0000F88F0000}"/>
    <cellStyle name="Normal 21 2 4 7" xfId="42756" xr:uid="{00000000-0005-0000-0000-0000F98F0000}"/>
    <cellStyle name="Normal 21 2 4 8" xfId="26656" xr:uid="{00000000-0005-0000-0000-0000FA8F0000}"/>
    <cellStyle name="Normal 21 2 4 9" xfId="13592" xr:uid="{00000000-0005-0000-0000-0000FB8F0000}"/>
    <cellStyle name="Normal 21 2 5" xfId="2152" xr:uid="{00000000-0005-0000-0000-0000FC8F0000}"/>
    <cellStyle name="Normal 21 2 5 2" xfId="8686" xr:uid="{00000000-0005-0000-0000-0000FD8F0000}"/>
    <cellStyle name="Normal 21 2 5 2 2" xfId="40427" xr:uid="{00000000-0005-0000-0000-0000FE8F0000}"/>
    <cellStyle name="Normal 21 2 5 2 2 2" xfId="56527" xr:uid="{00000000-0005-0000-0000-0000FF8F0000}"/>
    <cellStyle name="Normal 21 2 5 2 3" xfId="46960" xr:uid="{00000000-0005-0000-0000-000000900000}"/>
    <cellStyle name="Normal 21 2 5 2 4" xfId="30860" xr:uid="{00000000-0005-0000-0000-000001900000}"/>
    <cellStyle name="Normal 21 2 5 2 5" xfId="21291" xr:uid="{00000000-0005-0000-0000-000002900000}"/>
    <cellStyle name="Normal 21 2 5 3" xfId="11722" xr:uid="{00000000-0005-0000-0000-000003900000}"/>
    <cellStyle name="Normal 21 2 5 3 2" xfId="49996" xr:uid="{00000000-0005-0000-0000-000004900000}"/>
    <cellStyle name="Normal 21 2 5 3 3" xfId="33896" xr:uid="{00000000-0005-0000-0000-000005900000}"/>
    <cellStyle name="Normal 21 2 5 3 4" xfId="24327" xr:uid="{00000000-0005-0000-0000-000006900000}"/>
    <cellStyle name="Normal 21 2 5 4" xfId="5650" xr:uid="{00000000-0005-0000-0000-000007900000}"/>
    <cellStyle name="Normal 21 2 5 4 2" xfId="53491" xr:uid="{00000000-0005-0000-0000-000008900000}"/>
    <cellStyle name="Normal 21 2 5 4 3" xfId="37391" xr:uid="{00000000-0005-0000-0000-000009900000}"/>
    <cellStyle name="Normal 21 2 5 4 4" xfId="18255" xr:uid="{00000000-0005-0000-0000-00000A900000}"/>
    <cellStyle name="Normal 21 2 5 5" xfId="43924" xr:uid="{00000000-0005-0000-0000-00000B900000}"/>
    <cellStyle name="Normal 21 2 5 6" xfId="27824" xr:uid="{00000000-0005-0000-0000-00000C900000}"/>
    <cellStyle name="Normal 21 2 5 7" xfId="14760" xr:uid="{00000000-0005-0000-0000-00000D900000}"/>
    <cellStyle name="Normal 21 2 6" xfId="1364" xr:uid="{00000000-0005-0000-0000-00000E900000}"/>
    <cellStyle name="Normal 21 2 6 2" xfId="7898" xr:uid="{00000000-0005-0000-0000-00000F900000}"/>
    <cellStyle name="Normal 21 2 6 2 2" xfId="39639" xr:uid="{00000000-0005-0000-0000-000010900000}"/>
    <cellStyle name="Normal 21 2 6 2 2 2" xfId="55739" xr:uid="{00000000-0005-0000-0000-000011900000}"/>
    <cellStyle name="Normal 21 2 6 2 3" xfId="46172" xr:uid="{00000000-0005-0000-0000-000012900000}"/>
    <cellStyle name="Normal 21 2 6 2 4" xfId="30072" xr:uid="{00000000-0005-0000-0000-000013900000}"/>
    <cellStyle name="Normal 21 2 6 2 5" xfId="20503" xr:uid="{00000000-0005-0000-0000-000014900000}"/>
    <cellStyle name="Normal 21 2 6 3" xfId="10934" xr:uid="{00000000-0005-0000-0000-000015900000}"/>
    <cellStyle name="Normal 21 2 6 3 2" xfId="49208" xr:uid="{00000000-0005-0000-0000-000016900000}"/>
    <cellStyle name="Normal 21 2 6 3 3" xfId="33108" xr:uid="{00000000-0005-0000-0000-000017900000}"/>
    <cellStyle name="Normal 21 2 6 3 4" xfId="23539" xr:uid="{00000000-0005-0000-0000-000018900000}"/>
    <cellStyle name="Normal 21 2 6 4" xfId="4862" xr:uid="{00000000-0005-0000-0000-000019900000}"/>
    <cellStyle name="Normal 21 2 6 4 2" xfId="52703" xr:uid="{00000000-0005-0000-0000-00001A900000}"/>
    <cellStyle name="Normal 21 2 6 4 3" xfId="36603" xr:uid="{00000000-0005-0000-0000-00001B900000}"/>
    <cellStyle name="Normal 21 2 6 4 4" xfId="17467" xr:uid="{00000000-0005-0000-0000-00001C900000}"/>
    <cellStyle name="Normal 21 2 6 5" xfId="43136" xr:uid="{00000000-0005-0000-0000-00001D900000}"/>
    <cellStyle name="Normal 21 2 6 6" xfId="27036" xr:uid="{00000000-0005-0000-0000-00001E900000}"/>
    <cellStyle name="Normal 21 2 6 7" xfId="13972" xr:uid="{00000000-0005-0000-0000-00001F900000}"/>
    <cellStyle name="Normal 21 2 7" xfId="3852" xr:uid="{00000000-0005-0000-0000-000020900000}"/>
    <cellStyle name="Normal 21 2 7 2" xfId="35593" xr:uid="{00000000-0005-0000-0000-000021900000}"/>
    <cellStyle name="Normal 21 2 7 2 2" xfId="51693" xr:uid="{00000000-0005-0000-0000-000022900000}"/>
    <cellStyle name="Normal 21 2 7 3" xfId="42126" xr:uid="{00000000-0005-0000-0000-000023900000}"/>
    <cellStyle name="Normal 21 2 7 4" xfId="26026" xr:uid="{00000000-0005-0000-0000-000024900000}"/>
    <cellStyle name="Normal 21 2 7 5" xfId="16457" xr:uid="{00000000-0005-0000-0000-000025900000}"/>
    <cellStyle name="Normal 21 2 8" xfId="6888" xr:uid="{00000000-0005-0000-0000-000026900000}"/>
    <cellStyle name="Normal 21 2 8 2" xfId="38629" xr:uid="{00000000-0005-0000-0000-000027900000}"/>
    <cellStyle name="Normal 21 2 8 2 2" xfId="54729" xr:uid="{00000000-0005-0000-0000-000028900000}"/>
    <cellStyle name="Normal 21 2 8 3" xfId="45162" xr:uid="{00000000-0005-0000-0000-000029900000}"/>
    <cellStyle name="Normal 21 2 8 4" xfId="29062" xr:uid="{00000000-0005-0000-0000-00002A900000}"/>
    <cellStyle name="Normal 21 2 8 5" xfId="19493" xr:uid="{00000000-0005-0000-0000-00002B900000}"/>
    <cellStyle name="Normal 21 2 9" xfId="9924" xr:uid="{00000000-0005-0000-0000-00002C900000}"/>
    <cellStyle name="Normal 21 2 9 2" xfId="48198" xr:uid="{00000000-0005-0000-0000-00002D900000}"/>
    <cellStyle name="Normal 21 2 9 3" xfId="32098" xr:uid="{00000000-0005-0000-0000-00002E900000}"/>
    <cellStyle name="Normal 21 2 9 4" xfId="22529" xr:uid="{00000000-0005-0000-0000-00002F900000}"/>
    <cellStyle name="Normal 21 3" xfId="93" xr:uid="{00000000-0005-0000-0000-000030900000}"/>
    <cellStyle name="Normal 21 3 10" xfId="25990" xr:uid="{00000000-0005-0000-0000-000031900000}"/>
    <cellStyle name="Normal 21 3 11" xfId="12926" xr:uid="{00000000-0005-0000-0000-000032900000}"/>
    <cellStyle name="Normal 21 3 2" xfId="274" xr:uid="{00000000-0005-0000-0000-000033900000}"/>
    <cellStyle name="Normal 21 3 2 2" xfId="2293" xr:uid="{00000000-0005-0000-0000-000034900000}"/>
    <cellStyle name="Normal 21 3 2 2 2" xfId="8827" xr:uid="{00000000-0005-0000-0000-000035900000}"/>
    <cellStyle name="Normal 21 3 2 2 2 2" xfId="40568" xr:uid="{00000000-0005-0000-0000-000036900000}"/>
    <cellStyle name="Normal 21 3 2 2 2 2 2" xfId="56668" xr:uid="{00000000-0005-0000-0000-000037900000}"/>
    <cellStyle name="Normal 21 3 2 2 2 3" xfId="47101" xr:uid="{00000000-0005-0000-0000-000038900000}"/>
    <cellStyle name="Normal 21 3 2 2 2 4" xfId="31001" xr:uid="{00000000-0005-0000-0000-000039900000}"/>
    <cellStyle name="Normal 21 3 2 2 2 5" xfId="21432" xr:uid="{00000000-0005-0000-0000-00003A900000}"/>
    <cellStyle name="Normal 21 3 2 2 3" xfId="11863" xr:uid="{00000000-0005-0000-0000-00003B900000}"/>
    <cellStyle name="Normal 21 3 2 2 3 2" xfId="50137" xr:uid="{00000000-0005-0000-0000-00003C900000}"/>
    <cellStyle name="Normal 21 3 2 2 3 3" xfId="34037" xr:uid="{00000000-0005-0000-0000-00003D900000}"/>
    <cellStyle name="Normal 21 3 2 2 3 4" xfId="24468" xr:uid="{00000000-0005-0000-0000-00003E900000}"/>
    <cellStyle name="Normal 21 3 2 2 4" xfId="5791" xr:uid="{00000000-0005-0000-0000-00003F900000}"/>
    <cellStyle name="Normal 21 3 2 2 4 2" xfId="53632" xr:uid="{00000000-0005-0000-0000-000040900000}"/>
    <cellStyle name="Normal 21 3 2 2 4 3" xfId="37532" xr:uid="{00000000-0005-0000-0000-000041900000}"/>
    <cellStyle name="Normal 21 3 2 2 4 4" xfId="18396" xr:uid="{00000000-0005-0000-0000-000042900000}"/>
    <cellStyle name="Normal 21 3 2 2 5" xfId="44065" xr:uid="{00000000-0005-0000-0000-000043900000}"/>
    <cellStyle name="Normal 21 3 2 2 6" xfId="27965" xr:uid="{00000000-0005-0000-0000-000044900000}"/>
    <cellStyle name="Normal 21 3 2 2 7" xfId="14901" xr:uid="{00000000-0005-0000-0000-000045900000}"/>
    <cellStyle name="Normal 21 3 2 3" xfId="1505" xr:uid="{00000000-0005-0000-0000-000046900000}"/>
    <cellStyle name="Normal 21 3 2 3 2" xfId="8039" xr:uid="{00000000-0005-0000-0000-000047900000}"/>
    <cellStyle name="Normal 21 3 2 3 2 2" xfId="39780" xr:uid="{00000000-0005-0000-0000-000048900000}"/>
    <cellStyle name="Normal 21 3 2 3 2 2 2" xfId="55880" xr:uid="{00000000-0005-0000-0000-000049900000}"/>
    <cellStyle name="Normal 21 3 2 3 2 3" xfId="46313" xr:uid="{00000000-0005-0000-0000-00004A900000}"/>
    <cellStyle name="Normal 21 3 2 3 2 4" xfId="30213" xr:uid="{00000000-0005-0000-0000-00004B900000}"/>
    <cellStyle name="Normal 21 3 2 3 2 5" xfId="20644" xr:uid="{00000000-0005-0000-0000-00004C900000}"/>
    <cellStyle name="Normal 21 3 2 3 3" xfId="11075" xr:uid="{00000000-0005-0000-0000-00004D900000}"/>
    <cellStyle name="Normal 21 3 2 3 3 2" xfId="49349" xr:uid="{00000000-0005-0000-0000-00004E900000}"/>
    <cellStyle name="Normal 21 3 2 3 3 3" xfId="33249" xr:uid="{00000000-0005-0000-0000-00004F900000}"/>
    <cellStyle name="Normal 21 3 2 3 3 4" xfId="23680" xr:uid="{00000000-0005-0000-0000-000050900000}"/>
    <cellStyle name="Normal 21 3 2 3 4" xfId="5003" xr:uid="{00000000-0005-0000-0000-000051900000}"/>
    <cellStyle name="Normal 21 3 2 3 4 2" xfId="52844" xr:uid="{00000000-0005-0000-0000-000052900000}"/>
    <cellStyle name="Normal 21 3 2 3 4 3" xfId="36744" xr:uid="{00000000-0005-0000-0000-000053900000}"/>
    <cellStyle name="Normal 21 3 2 3 4 4" xfId="17608" xr:uid="{00000000-0005-0000-0000-000054900000}"/>
    <cellStyle name="Normal 21 3 2 3 5" xfId="43277" xr:uid="{00000000-0005-0000-0000-000055900000}"/>
    <cellStyle name="Normal 21 3 2 3 6" xfId="27177" xr:uid="{00000000-0005-0000-0000-000056900000}"/>
    <cellStyle name="Normal 21 3 2 3 7" xfId="14113" xr:uid="{00000000-0005-0000-0000-000057900000}"/>
    <cellStyle name="Normal 21 3 2 4" xfId="7029" xr:uid="{00000000-0005-0000-0000-000058900000}"/>
    <cellStyle name="Normal 21 3 2 4 2" xfId="38770" xr:uid="{00000000-0005-0000-0000-000059900000}"/>
    <cellStyle name="Normal 21 3 2 4 2 2" xfId="54870" xr:uid="{00000000-0005-0000-0000-00005A900000}"/>
    <cellStyle name="Normal 21 3 2 4 3" xfId="45303" xr:uid="{00000000-0005-0000-0000-00005B900000}"/>
    <cellStyle name="Normal 21 3 2 4 4" xfId="29203" xr:uid="{00000000-0005-0000-0000-00005C900000}"/>
    <cellStyle name="Normal 21 3 2 4 5" xfId="19634" xr:uid="{00000000-0005-0000-0000-00005D900000}"/>
    <cellStyle name="Normal 21 3 2 5" xfId="10065" xr:uid="{00000000-0005-0000-0000-00005E900000}"/>
    <cellStyle name="Normal 21 3 2 5 2" xfId="48339" xr:uid="{00000000-0005-0000-0000-00005F900000}"/>
    <cellStyle name="Normal 21 3 2 5 3" xfId="32239" xr:uid="{00000000-0005-0000-0000-000060900000}"/>
    <cellStyle name="Normal 21 3 2 5 4" xfId="22670" xr:uid="{00000000-0005-0000-0000-000061900000}"/>
    <cellStyle name="Normal 21 3 2 6" xfId="3993" xr:uid="{00000000-0005-0000-0000-000062900000}"/>
    <cellStyle name="Normal 21 3 2 6 2" xfId="51834" xr:uid="{00000000-0005-0000-0000-000063900000}"/>
    <cellStyle name="Normal 21 3 2 6 3" xfId="35734" xr:uid="{00000000-0005-0000-0000-000064900000}"/>
    <cellStyle name="Normal 21 3 2 6 4" xfId="16598" xr:uid="{00000000-0005-0000-0000-000065900000}"/>
    <cellStyle name="Normal 21 3 2 7" xfId="42267" xr:uid="{00000000-0005-0000-0000-000066900000}"/>
    <cellStyle name="Normal 21 3 2 8" xfId="26167" xr:uid="{00000000-0005-0000-0000-000067900000}"/>
    <cellStyle name="Normal 21 3 2 9" xfId="13103" xr:uid="{00000000-0005-0000-0000-000068900000}"/>
    <cellStyle name="Normal 21 3 3" xfId="966" xr:uid="{00000000-0005-0000-0000-000069900000}"/>
    <cellStyle name="Normal 21 3 3 2" xfId="2994" xr:uid="{00000000-0005-0000-0000-00006A900000}"/>
    <cellStyle name="Normal 21 3 3 2 2" xfId="9526" xr:uid="{00000000-0005-0000-0000-00006B900000}"/>
    <cellStyle name="Normal 21 3 3 2 2 2" xfId="41267" xr:uid="{00000000-0005-0000-0000-00006C900000}"/>
    <cellStyle name="Normal 21 3 3 2 2 2 2" xfId="57367" xr:uid="{00000000-0005-0000-0000-00006D900000}"/>
    <cellStyle name="Normal 21 3 3 2 2 3" xfId="47800" xr:uid="{00000000-0005-0000-0000-00006E900000}"/>
    <cellStyle name="Normal 21 3 3 2 2 4" xfId="31700" xr:uid="{00000000-0005-0000-0000-00006F900000}"/>
    <cellStyle name="Normal 21 3 3 2 2 5" xfId="22131" xr:uid="{00000000-0005-0000-0000-000070900000}"/>
    <cellStyle name="Normal 21 3 3 2 3" xfId="12562" xr:uid="{00000000-0005-0000-0000-000071900000}"/>
    <cellStyle name="Normal 21 3 3 2 3 2" xfId="50836" xr:uid="{00000000-0005-0000-0000-000072900000}"/>
    <cellStyle name="Normal 21 3 3 2 3 3" xfId="34736" xr:uid="{00000000-0005-0000-0000-000073900000}"/>
    <cellStyle name="Normal 21 3 3 2 3 4" xfId="25167" xr:uid="{00000000-0005-0000-0000-000074900000}"/>
    <cellStyle name="Normal 21 3 3 2 4" xfId="6490" xr:uid="{00000000-0005-0000-0000-000075900000}"/>
    <cellStyle name="Normal 21 3 3 2 4 2" xfId="54331" xr:uid="{00000000-0005-0000-0000-000076900000}"/>
    <cellStyle name="Normal 21 3 3 2 4 3" xfId="38231" xr:uid="{00000000-0005-0000-0000-000077900000}"/>
    <cellStyle name="Normal 21 3 3 2 4 4" xfId="19095" xr:uid="{00000000-0005-0000-0000-000078900000}"/>
    <cellStyle name="Normal 21 3 3 2 5" xfId="44764" xr:uid="{00000000-0005-0000-0000-000079900000}"/>
    <cellStyle name="Normal 21 3 3 2 6" xfId="28664" xr:uid="{00000000-0005-0000-0000-00007A900000}"/>
    <cellStyle name="Normal 21 3 3 2 7" xfId="15600" xr:uid="{00000000-0005-0000-0000-00007B900000}"/>
    <cellStyle name="Normal 21 3 3 3" xfId="1976" xr:uid="{00000000-0005-0000-0000-00007C900000}"/>
    <cellStyle name="Normal 21 3 3 3 2" xfId="8510" xr:uid="{00000000-0005-0000-0000-00007D900000}"/>
    <cellStyle name="Normal 21 3 3 3 2 2" xfId="40251" xr:uid="{00000000-0005-0000-0000-00007E900000}"/>
    <cellStyle name="Normal 21 3 3 3 2 2 2" xfId="56351" xr:uid="{00000000-0005-0000-0000-00007F900000}"/>
    <cellStyle name="Normal 21 3 3 3 2 3" xfId="46784" xr:uid="{00000000-0005-0000-0000-000080900000}"/>
    <cellStyle name="Normal 21 3 3 3 2 4" xfId="30684" xr:uid="{00000000-0005-0000-0000-000081900000}"/>
    <cellStyle name="Normal 21 3 3 3 2 5" xfId="21115" xr:uid="{00000000-0005-0000-0000-000082900000}"/>
    <cellStyle name="Normal 21 3 3 3 3" xfId="11546" xr:uid="{00000000-0005-0000-0000-000083900000}"/>
    <cellStyle name="Normal 21 3 3 3 3 2" xfId="49820" xr:uid="{00000000-0005-0000-0000-000084900000}"/>
    <cellStyle name="Normal 21 3 3 3 3 3" xfId="33720" xr:uid="{00000000-0005-0000-0000-000085900000}"/>
    <cellStyle name="Normal 21 3 3 3 3 4" xfId="24151" xr:uid="{00000000-0005-0000-0000-000086900000}"/>
    <cellStyle name="Normal 21 3 3 3 4" xfId="5474" xr:uid="{00000000-0005-0000-0000-000087900000}"/>
    <cellStyle name="Normal 21 3 3 3 4 2" xfId="53315" xr:uid="{00000000-0005-0000-0000-000088900000}"/>
    <cellStyle name="Normal 21 3 3 3 4 3" xfId="37215" xr:uid="{00000000-0005-0000-0000-000089900000}"/>
    <cellStyle name="Normal 21 3 3 3 4 4" xfId="18079" xr:uid="{00000000-0005-0000-0000-00008A900000}"/>
    <cellStyle name="Normal 21 3 3 3 5" xfId="43748" xr:uid="{00000000-0005-0000-0000-00008B900000}"/>
    <cellStyle name="Normal 21 3 3 3 6" xfId="27648" xr:uid="{00000000-0005-0000-0000-00008C900000}"/>
    <cellStyle name="Normal 21 3 3 3 7" xfId="14584" xr:uid="{00000000-0005-0000-0000-00008D900000}"/>
    <cellStyle name="Normal 21 3 3 4" xfId="7500" xr:uid="{00000000-0005-0000-0000-00008E900000}"/>
    <cellStyle name="Normal 21 3 3 4 2" xfId="39241" xr:uid="{00000000-0005-0000-0000-00008F900000}"/>
    <cellStyle name="Normal 21 3 3 4 2 2" xfId="55341" xr:uid="{00000000-0005-0000-0000-000090900000}"/>
    <cellStyle name="Normal 21 3 3 4 3" xfId="45774" xr:uid="{00000000-0005-0000-0000-000091900000}"/>
    <cellStyle name="Normal 21 3 3 4 4" xfId="29674" xr:uid="{00000000-0005-0000-0000-000092900000}"/>
    <cellStyle name="Normal 21 3 3 4 5" xfId="20105" xr:uid="{00000000-0005-0000-0000-000093900000}"/>
    <cellStyle name="Normal 21 3 3 5" xfId="10536" xr:uid="{00000000-0005-0000-0000-000094900000}"/>
    <cellStyle name="Normal 21 3 3 5 2" xfId="48810" xr:uid="{00000000-0005-0000-0000-000095900000}"/>
    <cellStyle name="Normal 21 3 3 5 3" xfId="32710" xr:uid="{00000000-0005-0000-0000-000096900000}"/>
    <cellStyle name="Normal 21 3 3 5 4" xfId="23141" xr:uid="{00000000-0005-0000-0000-000097900000}"/>
    <cellStyle name="Normal 21 3 3 6" xfId="4464" xr:uid="{00000000-0005-0000-0000-000098900000}"/>
    <cellStyle name="Normal 21 3 3 6 2" xfId="52305" xr:uid="{00000000-0005-0000-0000-000099900000}"/>
    <cellStyle name="Normal 21 3 3 6 3" xfId="36205" xr:uid="{00000000-0005-0000-0000-00009A900000}"/>
    <cellStyle name="Normal 21 3 3 6 4" xfId="17069" xr:uid="{00000000-0005-0000-0000-00009B900000}"/>
    <cellStyle name="Normal 21 3 3 7" xfId="42738" xr:uid="{00000000-0005-0000-0000-00009C900000}"/>
    <cellStyle name="Normal 21 3 3 8" xfId="26638" xr:uid="{00000000-0005-0000-0000-00009D900000}"/>
    <cellStyle name="Normal 21 3 3 9" xfId="13574" xr:uid="{00000000-0005-0000-0000-00009E900000}"/>
    <cellStyle name="Normal 21 3 4" xfId="2116" xr:uid="{00000000-0005-0000-0000-00009F900000}"/>
    <cellStyle name="Normal 21 3 4 2" xfId="8650" xr:uid="{00000000-0005-0000-0000-0000A0900000}"/>
    <cellStyle name="Normal 21 3 4 2 2" xfId="40391" xr:uid="{00000000-0005-0000-0000-0000A1900000}"/>
    <cellStyle name="Normal 21 3 4 2 2 2" xfId="56491" xr:uid="{00000000-0005-0000-0000-0000A2900000}"/>
    <cellStyle name="Normal 21 3 4 2 3" xfId="46924" xr:uid="{00000000-0005-0000-0000-0000A3900000}"/>
    <cellStyle name="Normal 21 3 4 2 4" xfId="30824" xr:uid="{00000000-0005-0000-0000-0000A4900000}"/>
    <cellStyle name="Normal 21 3 4 2 5" xfId="21255" xr:uid="{00000000-0005-0000-0000-0000A5900000}"/>
    <cellStyle name="Normal 21 3 4 3" xfId="11686" xr:uid="{00000000-0005-0000-0000-0000A6900000}"/>
    <cellStyle name="Normal 21 3 4 3 2" xfId="49960" xr:uid="{00000000-0005-0000-0000-0000A7900000}"/>
    <cellStyle name="Normal 21 3 4 3 3" xfId="33860" xr:uid="{00000000-0005-0000-0000-0000A8900000}"/>
    <cellStyle name="Normal 21 3 4 3 4" xfId="24291" xr:uid="{00000000-0005-0000-0000-0000A9900000}"/>
    <cellStyle name="Normal 21 3 4 4" xfId="5614" xr:uid="{00000000-0005-0000-0000-0000AA900000}"/>
    <cellStyle name="Normal 21 3 4 4 2" xfId="53455" xr:uid="{00000000-0005-0000-0000-0000AB900000}"/>
    <cellStyle name="Normal 21 3 4 4 3" xfId="37355" xr:uid="{00000000-0005-0000-0000-0000AC900000}"/>
    <cellStyle name="Normal 21 3 4 4 4" xfId="18219" xr:uid="{00000000-0005-0000-0000-0000AD900000}"/>
    <cellStyle name="Normal 21 3 4 5" xfId="43888" xr:uid="{00000000-0005-0000-0000-0000AE900000}"/>
    <cellStyle name="Normal 21 3 4 6" xfId="27788" xr:uid="{00000000-0005-0000-0000-0000AF900000}"/>
    <cellStyle name="Normal 21 3 4 7" xfId="14724" xr:uid="{00000000-0005-0000-0000-0000B0900000}"/>
    <cellStyle name="Normal 21 3 5" xfId="1328" xr:uid="{00000000-0005-0000-0000-0000B1900000}"/>
    <cellStyle name="Normal 21 3 5 2" xfId="7862" xr:uid="{00000000-0005-0000-0000-0000B2900000}"/>
    <cellStyle name="Normal 21 3 5 2 2" xfId="39603" xr:uid="{00000000-0005-0000-0000-0000B3900000}"/>
    <cellStyle name="Normal 21 3 5 2 2 2" xfId="55703" xr:uid="{00000000-0005-0000-0000-0000B4900000}"/>
    <cellStyle name="Normal 21 3 5 2 3" xfId="46136" xr:uid="{00000000-0005-0000-0000-0000B5900000}"/>
    <cellStyle name="Normal 21 3 5 2 4" xfId="30036" xr:uid="{00000000-0005-0000-0000-0000B6900000}"/>
    <cellStyle name="Normal 21 3 5 2 5" xfId="20467" xr:uid="{00000000-0005-0000-0000-0000B7900000}"/>
    <cellStyle name="Normal 21 3 5 3" xfId="10898" xr:uid="{00000000-0005-0000-0000-0000B8900000}"/>
    <cellStyle name="Normal 21 3 5 3 2" xfId="49172" xr:uid="{00000000-0005-0000-0000-0000B9900000}"/>
    <cellStyle name="Normal 21 3 5 3 3" xfId="33072" xr:uid="{00000000-0005-0000-0000-0000BA900000}"/>
    <cellStyle name="Normal 21 3 5 3 4" xfId="23503" xr:uid="{00000000-0005-0000-0000-0000BB900000}"/>
    <cellStyle name="Normal 21 3 5 4" xfId="4826" xr:uid="{00000000-0005-0000-0000-0000BC900000}"/>
    <cellStyle name="Normal 21 3 5 4 2" xfId="52667" xr:uid="{00000000-0005-0000-0000-0000BD900000}"/>
    <cellStyle name="Normal 21 3 5 4 3" xfId="36567" xr:uid="{00000000-0005-0000-0000-0000BE900000}"/>
    <cellStyle name="Normal 21 3 5 4 4" xfId="17431" xr:uid="{00000000-0005-0000-0000-0000BF900000}"/>
    <cellStyle name="Normal 21 3 5 5" xfId="43100" xr:uid="{00000000-0005-0000-0000-0000C0900000}"/>
    <cellStyle name="Normal 21 3 5 6" xfId="27000" xr:uid="{00000000-0005-0000-0000-0000C1900000}"/>
    <cellStyle name="Normal 21 3 5 7" xfId="13936" xr:uid="{00000000-0005-0000-0000-0000C2900000}"/>
    <cellStyle name="Normal 21 3 6" xfId="6852" xr:uid="{00000000-0005-0000-0000-0000C3900000}"/>
    <cellStyle name="Normal 21 3 6 2" xfId="38593" xr:uid="{00000000-0005-0000-0000-0000C4900000}"/>
    <cellStyle name="Normal 21 3 6 2 2" xfId="54693" xr:uid="{00000000-0005-0000-0000-0000C5900000}"/>
    <cellStyle name="Normal 21 3 6 3" xfId="45126" xr:uid="{00000000-0005-0000-0000-0000C6900000}"/>
    <cellStyle name="Normal 21 3 6 4" xfId="29026" xr:uid="{00000000-0005-0000-0000-0000C7900000}"/>
    <cellStyle name="Normal 21 3 6 5" xfId="19457" xr:uid="{00000000-0005-0000-0000-0000C8900000}"/>
    <cellStyle name="Normal 21 3 7" xfId="9888" xr:uid="{00000000-0005-0000-0000-0000C9900000}"/>
    <cellStyle name="Normal 21 3 7 2" xfId="48162" xr:uid="{00000000-0005-0000-0000-0000CA900000}"/>
    <cellStyle name="Normal 21 3 7 3" xfId="32062" xr:uid="{00000000-0005-0000-0000-0000CB900000}"/>
    <cellStyle name="Normal 21 3 7 4" xfId="22493" xr:uid="{00000000-0005-0000-0000-0000CC900000}"/>
    <cellStyle name="Normal 21 3 8" xfId="3816" xr:uid="{00000000-0005-0000-0000-0000CD900000}"/>
    <cellStyle name="Normal 21 3 8 2" xfId="51657" xr:uid="{00000000-0005-0000-0000-0000CE900000}"/>
    <cellStyle name="Normal 21 3 8 3" xfId="35557" xr:uid="{00000000-0005-0000-0000-0000CF900000}"/>
    <cellStyle name="Normal 21 3 8 4" xfId="16421" xr:uid="{00000000-0005-0000-0000-0000D0900000}"/>
    <cellStyle name="Normal 21 3 9" xfId="42090" xr:uid="{00000000-0005-0000-0000-0000D1900000}"/>
    <cellStyle name="Normal 21 4" xfId="168" xr:uid="{00000000-0005-0000-0000-0000D2900000}"/>
    <cellStyle name="Normal 21 4 10" xfId="26061" xr:uid="{00000000-0005-0000-0000-0000D3900000}"/>
    <cellStyle name="Normal 21 4 11" xfId="12997" xr:uid="{00000000-0005-0000-0000-0000D4900000}"/>
    <cellStyle name="Normal 21 4 2" xfId="345" xr:uid="{00000000-0005-0000-0000-0000D5900000}"/>
    <cellStyle name="Normal 21 4 2 2" xfId="2364" xr:uid="{00000000-0005-0000-0000-0000D6900000}"/>
    <cellStyle name="Normal 21 4 2 2 2" xfId="8898" xr:uid="{00000000-0005-0000-0000-0000D7900000}"/>
    <cellStyle name="Normal 21 4 2 2 2 2" xfId="40639" xr:uid="{00000000-0005-0000-0000-0000D8900000}"/>
    <cellStyle name="Normal 21 4 2 2 2 2 2" xfId="56739" xr:uid="{00000000-0005-0000-0000-0000D9900000}"/>
    <cellStyle name="Normal 21 4 2 2 2 3" xfId="47172" xr:uid="{00000000-0005-0000-0000-0000DA900000}"/>
    <cellStyle name="Normal 21 4 2 2 2 4" xfId="31072" xr:uid="{00000000-0005-0000-0000-0000DB900000}"/>
    <cellStyle name="Normal 21 4 2 2 2 5" xfId="21503" xr:uid="{00000000-0005-0000-0000-0000DC900000}"/>
    <cellStyle name="Normal 21 4 2 2 3" xfId="11934" xr:uid="{00000000-0005-0000-0000-0000DD900000}"/>
    <cellStyle name="Normal 21 4 2 2 3 2" xfId="50208" xr:uid="{00000000-0005-0000-0000-0000DE900000}"/>
    <cellStyle name="Normal 21 4 2 2 3 3" xfId="34108" xr:uid="{00000000-0005-0000-0000-0000DF900000}"/>
    <cellStyle name="Normal 21 4 2 2 3 4" xfId="24539" xr:uid="{00000000-0005-0000-0000-0000E0900000}"/>
    <cellStyle name="Normal 21 4 2 2 4" xfId="5862" xr:uid="{00000000-0005-0000-0000-0000E1900000}"/>
    <cellStyle name="Normal 21 4 2 2 4 2" xfId="53703" xr:uid="{00000000-0005-0000-0000-0000E2900000}"/>
    <cellStyle name="Normal 21 4 2 2 4 3" xfId="37603" xr:uid="{00000000-0005-0000-0000-0000E3900000}"/>
    <cellStyle name="Normal 21 4 2 2 4 4" xfId="18467" xr:uid="{00000000-0005-0000-0000-0000E4900000}"/>
    <cellStyle name="Normal 21 4 2 2 5" xfId="44136" xr:uid="{00000000-0005-0000-0000-0000E5900000}"/>
    <cellStyle name="Normal 21 4 2 2 6" xfId="28036" xr:uid="{00000000-0005-0000-0000-0000E6900000}"/>
    <cellStyle name="Normal 21 4 2 2 7" xfId="14972" xr:uid="{00000000-0005-0000-0000-0000E7900000}"/>
    <cellStyle name="Normal 21 4 2 3" xfId="1576" xr:uid="{00000000-0005-0000-0000-0000E8900000}"/>
    <cellStyle name="Normal 21 4 2 3 2" xfId="8110" xr:uid="{00000000-0005-0000-0000-0000E9900000}"/>
    <cellStyle name="Normal 21 4 2 3 2 2" xfId="39851" xr:uid="{00000000-0005-0000-0000-0000EA900000}"/>
    <cellStyle name="Normal 21 4 2 3 2 2 2" xfId="55951" xr:uid="{00000000-0005-0000-0000-0000EB900000}"/>
    <cellStyle name="Normal 21 4 2 3 2 3" xfId="46384" xr:uid="{00000000-0005-0000-0000-0000EC900000}"/>
    <cellStyle name="Normal 21 4 2 3 2 4" xfId="30284" xr:uid="{00000000-0005-0000-0000-0000ED900000}"/>
    <cellStyle name="Normal 21 4 2 3 2 5" xfId="20715" xr:uid="{00000000-0005-0000-0000-0000EE900000}"/>
    <cellStyle name="Normal 21 4 2 3 3" xfId="11146" xr:uid="{00000000-0005-0000-0000-0000EF900000}"/>
    <cellStyle name="Normal 21 4 2 3 3 2" xfId="49420" xr:uid="{00000000-0005-0000-0000-0000F0900000}"/>
    <cellStyle name="Normal 21 4 2 3 3 3" xfId="33320" xr:uid="{00000000-0005-0000-0000-0000F1900000}"/>
    <cellStyle name="Normal 21 4 2 3 3 4" xfId="23751" xr:uid="{00000000-0005-0000-0000-0000F2900000}"/>
    <cellStyle name="Normal 21 4 2 3 4" xfId="5074" xr:uid="{00000000-0005-0000-0000-0000F3900000}"/>
    <cellStyle name="Normal 21 4 2 3 4 2" xfId="52915" xr:uid="{00000000-0005-0000-0000-0000F4900000}"/>
    <cellStyle name="Normal 21 4 2 3 4 3" xfId="36815" xr:uid="{00000000-0005-0000-0000-0000F5900000}"/>
    <cellStyle name="Normal 21 4 2 3 4 4" xfId="17679" xr:uid="{00000000-0005-0000-0000-0000F6900000}"/>
    <cellStyle name="Normal 21 4 2 3 5" xfId="43348" xr:uid="{00000000-0005-0000-0000-0000F7900000}"/>
    <cellStyle name="Normal 21 4 2 3 6" xfId="27248" xr:uid="{00000000-0005-0000-0000-0000F8900000}"/>
    <cellStyle name="Normal 21 4 2 3 7" xfId="14184" xr:uid="{00000000-0005-0000-0000-0000F9900000}"/>
    <cellStyle name="Normal 21 4 2 4" xfId="7100" xr:uid="{00000000-0005-0000-0000-0000FA900000}"/>
    <cellStyle name="Normal 21 4 2 4 2" xfId="38841" xr:uid="{00000000-0005-0000-0000-0000FB900000}"/>
    <cellStyle name="Normal 21 4 2 4 2 2" xfId="54941" xr:uid="{00000000-0005-0000-0000-0000FC900000}"/>
    <cellStyle name="Normal 21 4 2 4 3" xfId="45374" xr:uid="{00000000-0005-0000-0000-0000FD900000}"/>
    <cellStyle name="Normal 21 4 2 4 4" xfId="29274" xr:uid="{00000000-0005-0000-0000-0000FE900000}"/>
    <cellStyle name="Normal 21 4 2 4 5" xfId="19705" xr:uid="{00000000-0005-0000-0000-0000FF900000}"/>
    <cellStyle name="Normal 21 4 2 5" xfId="10136" xr:uid="{00000000-0005-0000-0000-000000910000}"/>
    <cellStyle name="Normal 21 4 2 5 2" xfId="48410" xr:uid="{00000000-0005-0000-0000-000001910000}"/>
    <cellStyle name="Normal 21 4 2 5 3" xfId="32310" xr:uid="{00000000-0005-0000-0000-000002910000}"/>
    <cellStyle name="Normal 21 4 2 5 4" xfId="22741" xr:uid="{00000000-0005-0000-0000-000003910000}"/>
    <cellStyle name="Normal 21 4 2 6" xfId="4064" xr:uid="{00000000-0005-0000-0000-000004910000}"/>
    <cellStyle name="Normal 21 4 2 6 2" xfId="51905" xr:uid="{00000000-0005-0000-0000-000005910000}"/>
    <cellStyle name="Normal 21 4 2 6 3" xfId="35805" xr:uid="{00000000-0005-0000-0000-000006910000}"/>
    <cellStyle name="Normal 21 4 2 6 4" xfId="16669" xr:uid="{00000000-0005-0000-0000-000007910000}"/>
    <cellStyle name="Normal 21 4 2 7" xfId="42338" xr:uid="{00000000-0005-0000-0000-000008910000}"/>
    <cellStyle name="Normal 21 4 2 8" xfId="26238" xr:uid="{00000000-0005-0000-0000-000009910000}"/>
    <cellStyle name="Normal 21 4 2 9" xfId="13174" xr:uid="{00000000-0005-0000-0000-00000A910000}"/>
    <cellStyle name="Normal 21 4 3" xfId="985" xr:uid="{00000000-0005-0000-0000-00000B910000}"/>
    <cellStyle name="Normal 21 4 3 2" xfId="3013" xr:uid="{00000000-0005-0000-0000-00000C910000}"/>
    <cellStyle name="Normal 21 4 3 2 2" xfId="9545" xr:uid="{00000000-0005-0000-0000-00000D910000}"/>
    <cellStyle name="Normal 21 4 3 2 2 2" xfId="41286" xr:uid="{00000000-0005-0000-0000-00000E910000}"/>
    <cellStyle name="Normal 21 4 3 2 2 2 2" xfId="57386" xr:uid="{00000000-0005-0000-0000-00000F910000}"/>
    <cellStyle name="Normal 21 4 3 2 2 3" xfId="47819" xr:uid="{00000000-0005-0000-0000-000010910000}"/>
    <cellStyle name="Normal 21 4 3 2 2 4" xfId="31719" xr:uid="{00000000-0005-0000-0000-000011910000}"/>
    <cellStyle name="Normal 21 4 3 2 2 5" xfId="22150" xr:uid="{00000000-0005-0000-0000-000012910000}"/>
    <cellStyle name="Normal 21 4 3 2 3" xfId="12581" xr:uid="{00000000-0005-0000-0000-000013910000}"/>
    <cellStyle name="Normal 21 4 3 2 3 2" xfId="50855" xr:uid="{00000000-0005-0000-0000-000014910000}"/>
    <cellStyle name="Normal 21 4 3 2 3 3" xfId="34755" xr:uid="{00000000-0005-0000-0000-000015910000}"/>
    <cellStyle name="Normal 21 4 3 2 3 4" xfId="25186" xr:uid="{00000000-0005-0000-0000-000016910000}"/>
    <cellStyle name="Normal 21 4 3 2 4" xfId="6509" xr:uid="{00000000-0005-0000-0000-000017910000}"/>
    <cellStyle name="Normal 21 4 3 2 4 2" xfId="54350" xr:uid="{00000000-0005-0000-0000-000018910000}"/>
    <cellStyle name="Normal 21 4 3 2 4 3" xfId="38250" xr:uid="{00000000-0005-0000-0000-000019910000}"/>
    <cellStyle name="Normal 21 4 3 2 4 4" xfId="19114" xr:uid="{00000000-0005-0000-0000-00001A910000}"/>
    <cellStyle name="Normal 21 4 3 2 5" xfId="44783" xr:uid="{00000000-0005-0000-0000-00001B910000}"/>
    <cellStyle name="Normal 21 4 3 2 6" xfId="28683" xr:uid="{00000000-0005-0000-0000-00001C910000}"/>
    <cellStyle name="Normal 21 4 3 2 7" xfId="15619" xr:uid="{00000000-0005-0000-0000-00001D910000}"/>
    <cellStyle name="Normal 21 4 3 3" xfId="1995" xr:uid="{00000000-0005-0000-0000-00001E910000}"/>
    <cellStyle name="Normal 21 4 3 3 2" xfId="8529" xr:uid="{00000000-0005-0000-0000-00001F910000}"/>
    <cellStyle name="Normal 21 4 3 3 2 2" xfId="40270" xr:uid="{00000000-0005-0000-0000-000020910000}"/>
    <cellStyle name="Normal 21 4 3 3 2 2 2" xfId="56370" xr:uid="{00000000-0005-0000-0000-000021910000}"/>
    <cellStyle name="Normal 21 4 3 3 2 3" xfId="46803" xr:uid="{00000000-0005-0000-0000-000022910000}"/>
    <cellStyle name="Normal 21 4 3 3 2 4" xfId="30703" xr:uid="{00000000-0005-0000-0000-000023910000}"/>
    <cellStyle name="Normal 21 4 3 3 2 5" xfId="21134" xr:uid="{00000000-0005-0000-0000-000024910000}"/>
    <cellStyle name="Normal 21 4 3 3 3" xfId="11565" xr:uid="{00000000-0005-0000-0000-000025910000}"/>
    <cellStyle name="Normal 21 4 3 3 3 2" xfId="49839" xr:uid="{00000000-0005-0000-0000-000026910000}"/>
    <cellStyle name="Normal 21 4 3 3 3 3" xfId="33739" xr:uid="{00000000-0005-0000-0000-000027910000}"/>
    <cellStyle name="Normal 21 4 3 3 3 4" xfId="24170" xr:uid="{00000000-0005-0000-0000-000028910000}"/>
    <cellStyle name="Normal 21 4 3 3 4" xfId="5493" xr:uid="{00000000-0005-0000-0000-000029910000}"/>
    <cellStyle name="Normal 21 4 3 3 4 2" xfId="53334" xr:uid="{00000000-0005-0000-0000-00002A910000}"/>
    <cellStyle name="Normal 21 4 3 3 4 3" xfId="37234" xr:uid="{00000000-0005-0000-0000-00002B910000}"/>
    <cellStyle name="Normal 21 4 3 3 4 4" xfId="18098" xr:uid="{00000000-0005-0000-0000-00002C910000}"/>
    <cellStyle name="Normal 21 4 3 3 5" xfId="43767" xr:uid="{00000000-0005-0000-0000-00002D910000}"/>
    <cellStyle name="Normal 21 4 3 3 6" xfId="27667" xr:uid="{00000000-0005-0000-0000-00002E910000}"/>
    <cellStyle name="Normal 21 4 3 3 7" xfId="14603" xr:uid="{00000000-0005-0000-0000-00002F910000}"/>
    <cellStyle name="Normal 21 4 3 4" xfId="7519" xr:uid="{00000000-0005-0000-0000-000030910000}"/>
    <cellStyle name="Normal 21 4 3 4 2" xfId="39260" xr:uid="{00000000-0005-0000-0000-000031910000}"/>
    <cellStyle name="Normal 21 4 3 4 2 2" xfId="55360" xr:uid="{00000000-0005-0000-0000-000032910000}"/>
    <cellStyle name="Normal 21 4 3 4 3" xfId="45793" xr:uid="{00000000-0005-0000-0000-000033910000}"/>
    <cellStyle name="Normal 21 4 3 4 4" xfId="29693" xr:uid="{00000000-0005-0000-0000-000034910000}"/>
    <cellStyle name="Normal 21 4 3 4 5" xfId="20124" xr:uid="{00000000-0005-0000-0000-000035910000}"/>
    <cellStyle name="Normal 21 4 3 5" xfId="10555" xr:uid="{00000000-0005-0000-0000-000036910000}"/>
    <cellStyle name="Normal 21 4 3 5 2" xfId="48829" xr:uid="{00000000-0005-0000-0000-000037910000}"/>
    <cellStyle name="Normal 21 4 3 5 3" xfId="32729" xr:uid="{00000000-0005-0000-0000-000038910000}"/>
    <cellStyle name="Normal 21 4 3 5 4" xfId="23160" xr:uid="{00000000-0005-0000-0000-000039910000}"/>
    <cellStyle name="Normal 21 4 3 6" xfId="4483" xr:uid="{00000000-0005-0000-0000-00003A910000}"/>
    <cellStyle name="Normal 21 4 3 6 2" xfId="52324" xr:uid="{00000000-0005-0000-0000-00003B910000}"/>
    <cellStyle name="Normal 21 4 3 6 3" xfId="36224" xr:uid="{00000000-0005-0000-0000-00003C910000}"/>
    <cellStyle name="Normal 21 4 3 6 4" xfId="17088" xr:uid="{00000000-0005-0000-0000-00003D910000}"/>
    <cellStyle name="Normal 21 4 3 7" xfId="42757" xr:uid="{00000000-0005-0000-0000-00003E910000}"/>
    <cellStyle name="Normal 21 4 3 8" xfId="26657" xr:uid="{00000000-0005-0000-0000-00003F910000}"/>
    <cellStyle name="Normal 21 4 3 9" xfId="13593" xr:uid="{00000000-0005-0000-0000-000040910000}"/>
    <cellStyle name="Normal 21 4 4" xfId="2187" xr:uid="{00000000-0005-0000-0000-000041910000}"/>
    <cellStyle name="Normal 21 4 4 2" xfId="8721" xr:uid="{00000000-0005-0000-0000-000042910000}"/>
    <cellStyle name="Normal 21 4 4 2 2" xfId="40462" xr:uid="{00000000-0005-0000-0000-000043910000}"/>
    <cellStyle name="Normal 21 4 4 2 2 2" xfId="56562" xr:uid="{00000000-0005-0000-0000-000044910000}"/>
    <cellStyle name="Normal 21 4 4 2 3" xfId="46995" xr:uid="{00000000-0005-0000-0000-000045910000}"/>
    <cellStyle name="Normal 21 4 4 2 4" xfId="30895" xr:uid="{00000000-0005-0000-0000-000046910000}"/>
    <cellStyle name="Normal 21 4 4 2 5" xfId="21326" xr:uid="{00000000-0005-0000-0000-000047910000}"/>
    <cellStyle name="Normal 21 4 4 3" xfId="11757" xr:uid="{00000000-0005-0000-0000-000048910000}"/>
    <cellStyle name="Normal 21 4 4 3 2" xfId="50031" xr:uid="{00000000-0005-0000-0000-000049910000}"/>
    <cellStyle name="Normal 21 4 4 3 3" xfId="33931" xr:uid="{00000000-0005-0000-0000-00004A910000}"/>
    <cellStyle name="Normal 21 4 4 3 4" xfId="24362" xr:uid="{00000000-0005-0000-0000-00004B910000}"/>
    <cellStyle name="Normal 21 4 4 4" xfId="5685" xr:uid="{00000000-0005-0000-0000-00004C910000}"/>
    <cellStyle name="Normal 21 4 4 4 2" xfId="53526" xr:uid="{00000000-0005-0000-0000-00004D910000}"/>
    <cellStyle name="Normal 21 4 4 4 3" xfId="37426" xr:uid="{00000000-0005-0000-0000-00004E910000}"/>
    <cellStyle name="Normal 21 4 4 4 4" xfId="18290" xr:uid="{00000000-0005-0000-0000-00004F910000}"/>
    <cellStyle name="Normal 21 4 4 5" xfId="43959" xr:uid="{00000000-0005-0000-0000-000050910000}"/>
    <cellStyle name="Normal 21 4 4 6" xfId="27859" xr:uid="{00000000-0005-0000-0000-000051910000}"/>
    <cellStyle name="Normal 21 4 4 7" xfId="14795" xr:uid="{00000000-0005-0000-0000-000052910000}"/>
    <cellStyle name="Normal 21 4 5" xfId="1399" xr:uid="{00000000-0005-0000-0000-000053910000}"/>
    <cellStyle name="Normal 21 4 5 2" xfId="7933" xr:uid="{00000000-0005-0000-0000-000054910000}"/>
    <cellStyle name="Normal 21 4 5 2 2" xfId="39674" xr:uid="{00000000-0005-0000-0000-000055910000}"/>
    <cellStyle name="Normal 21 4 5 2 2 2" xfId="55774" xr:uid="{00000000-0005-0000-0000-000056910000}"/>
    <cellStyle name="Normal 21 4 5 2 3" xfId="46207" xr:uid="{00000000-0005-0000-0000-000057910000}"/>
    <cellStyle name="Normal 21 4 5 2 4" xfId="30107" xr:uid="{00000000-0005-0000-0000-000058910000}"/>
    <cellStyle name="Normal 21 4 5 2 5" xfId="20538" xr:uid="{00000000-0005-0000-0000-000059910000}"/>
    <cellStyle name="Normal 21 4 5 3" xfId="10969" xr:uid="{00000000-0005-0000-0000-00005A910000}"/>
    <cellStyle name="Normal 21 4 5 3 2" xfId="49243" xr:uid="{00000000-0005-0000-0000-00005B910000}"/>
    <cellStyle name="Normal 21 4 5 3 3" xfId="33143" xr:uid="{00000000-0005-0000-0000-00005C910000}"/>
    <cellStyle name="Normal 21 4 5 3 4" xfId="23574" xr:uid="{00000000-0005-0000-0000-00005D910000}"/>
    <cellStyle name="Normal 21 4 5 4" xfId="4897" xr:uid="{00000000-0005-0000-0000-00005E910000}"/>
    <cellStyle name="Normal 21 4 5 4 2" xfId="52738" xr:uid="{00000000-0005-0000-0000-00005F910000}"/>
    <cellStyle name="Normal 21 4 5 4 3" xfId="36638" xr:uid="{00000000-0005-0000-0000-000060910000}"/>
    <cellStyle name="Normal 21 4 5 4 4" xfId="17502" xr:uid="{00000000-0005-0000-0000-000061910000}"/>
    <cellStyle name="Normal 21 4 5 5" xfId="43171" xr:uid="{00000000-0005-0000-0000-000062910000}"/>
    <cellStyle name="Normal 21 4 5 6" xfId="27071" xr:uid="{00000000-0005-0000-0000-000063910000}"/>
    <cellStyle name="Normal 21 4 5 7" xfId="14007" xr:uid="{00000000-0005-0000-0000-000064910000}"/>
    <cellStyle name="Normal 21 4 6" xfId="6923" xr:uid="{00000000-0005-0000-0000-000065910000}"/>
    <cellStyle name="Normal 21 4 6 2" xfId="38664" xr:uid="{00000000-0005-0000-0000-000066910000}"/>
    <cellStyle name="Normal 21 4 6 2 2" xfId="54764" xr:uid="{00000000-0005-0000-0000-000067910000}"/>
    <cellStyle name="Normal 21 4 6 3" xfId="45197" xr:uid="{00000000-0005-0000-0000-000068910000}"/>
    <cellStyle name="Normal 21 4 6 4" xfId="29097" xr:uid="{00000000-0005-0000-0000-000069910000}"/>
    <cellStyle name="Normal 21 4 6 5" xfId="19528" xr:uid="{00000000-0005-0000-0000-00006A910000}"/>
    <cellStyle name="Normal 21 4 7" xfId="9959" xr:uid="{00000000-0005-0000-0000-00006B910000}"/>
    <cellStyle name="Normal 21 4 7 2" xfId="48233" xr:uid="{00000000-0005-0000-0000-00006C910000}"/>
    <cellStyle name="Normal 21 4 7 3" xfId="32133" xr:uid="{00000000-0005-0000-0000-00006D910000}"/>
    <cellStyle name="Normal 21 4 7 4" xfId="22564" xr:uid="{00000000-0005-0000-0000-00006E910000}"/>
    <cellStyle name="Normal 21 4 8" xfId="3887" xr:uid="{00000000-0005-0000-0000-00006F910000}"/>
    <cellStyle name="Normal 21 4 8 2" xfId="51728" xr:uid="{00000000-0005-0000-0000-000070910000}"/>
    <cellStyle name="Normal 21 4 8 3" xfId="35628" xr:uid="{00000000-0005-0000-0000-000071910000}"/>
    <cellStyle name="Normal 21 4 8 4" xfId="16492" xr:uid="{00000000-0005-0000-0000-000072910000}"/>
    <cellStyle name="Normal 21 4 9" xfId="42161" xr:uid="{00000000-0005-0000-0000-000073910000}"/>
    <cellStyle name="Normal 21 5" xfId="239" xr:uid="{00000000-0005-0000-0000-000074910000}"/>
    <cellStyle name="Normal 21 5 2" xfId="2258" xr:uid="{00000000-0005-0000-0000-000075910000}"/>
    <cellStyle name="Normal 21 5 2 2" xfId="8792" xr:uid="{00000000-0005-0000-0000-000076910000}"/>
    <cellStyle name="Normal 21 5 2 2 2" xfId="40533" xr:uid="{00000000-0005-0000-0000-000077910000}"/>
    <cellStyle name="Normal 21 5 2 2 2 2" xfId="56633" xr:uid="{00000000-0005-0000-0000-000078910000}"/>
    <cellStyle name="Normal 21 5 2 2 3" xfId="47066" xr:uid="{00000000-0005-0000-0000-000079910000}"/>
    <cellStyle name="Normal 21 5 2 2 4" xfId="30966" xr:uid="{00000000-0005-0000-0000-00007A910000}"/>
    <cellStyle name="Normal 21 5 2 2 5" xfId="21397" xr:uid="{00000000-0005-0000-0000-00007B910000}"/>
    <cellStyle name="Normal 21 5 2 3" xfId="11828" xr:uid="{00000000-0005-0000-0000-00007C910000}"/>
    <cellStyle name="Normal 21 5 2 3 2" xfId="50102" xr:uid="{00000000-0005-0000-0000-00007D910000}"/>
    <cellStyle name="Normal 21 5 2 3 3" xfId="34002" xr:uid="{00000000-0005-0000-0000-00007E910000}"/>
    <cellStyle name="Normal 21 5 2 3 4" xfId="24433" xr:uid="{00000000-0005-0000-0000-00007F910000}"/>
    <cellStyle name="Normal 21 5 2 4" xfId="5756" xr:uid="{00000000-0005-0000-0000-000080910000}"/>
    <cellStyle name="Normal 21 5 2 4 2" xfId="53597" xr:uid="{00000000-0005-0000-0000-000081910000}"/>
    <cellStyle name="Normal 21 5 2 4 3" xfId="37497" xr:uid="{00000000-0005-0000-0000-000082910000}"/>
    <cellStyle name="Normal 21 5 2 4 4" xfId="18361" xr:uid="{00000000-0005-0000-0000-000083910000}"/>
    <cellStyle name="Normal 21 5 2 5" xfId="44030" xr:uid="{00000000-0005-0000-0000-000084910000}"/>
    <cellStyle name="Normal 21 5 2 6" xfId="27930" xr:uid="{00000000-0005-0000-0000-000085910000}"/>
    <cellStyle name="Normal 21 5 2 7" xfId="14866" xr:uid="{00000000-0005-0000-0000-000086910000}"/>
    <cellStyle name="Normal 21 5 3" xfId="1470" xr:uid="{00000000-0005-0000-0000-000087910000}"/>
    <cellStyle name="Normal 21 5 3 2" xfId="8004" xr:uid="{00000000-0005-0000-0000-000088910000}"/>
    <cellStyle name="Normal 21 5 3 2 2" xfId="39745" xr:uid="{00000000-0005-0000-0000-000089910000}"/>
    <cellStyle name="Normal 21 5 3 2 2 2" xfId="55845" xr:uid="{00000000-0005-0000-0000-00008A910000}"/>
    <cellStyle name="Normal 21 5 3 2 3" xfId="46278" xr:uid="{00000000-0005-0000-0000-00008B910000}"/>
    <cellStyle name="Normal 21 5 3 2 4" xfId="30178" xr:uid="{00000000-0005-0000-0000-00008C910000}"/>
    <cellStyle name="Normal 21 5 3 2 5" xfId="20609" xr:uid="{00000000-0005-0000-0000-00008D910000}"/>
    <cellStyle name="Normal 21 5 3 3" xfId="11040" xr:uid="{00000000-0005-0000-0000-00008E910000}"/>
    <cellStyle name="Normal 21 5 3 3 2" xfId="49314" xr:uid="{00000000-0005-0000-0000-00008F910000}"/>
    <cellStyle name="Normal 21 5 3 3 3" xfId="33214" xr:uid="{00000000-0005-0000-0000-000090910000}"/>
    <cellStyle name="Normal 21 5 3 3 4" xfId="23645" xr:uid="{00000000-0005-0000-0000-000091910000}"/>
    <cellStyle name="Normal 21 5 3 4" xfId="4968" xr:uid="{00000000-0005-0000-0000-000092910000}"/>
    <cellStyle name="Normal 21 5 3 4 2" xfId="52809" xr:uid="{00000000-0005-0000-0000-000093910000}"/>
    <cellStyle name="Normal 21 5 3 4 3" xfId="36709" xr:uid="{00000000-0005-0000-0000-000094910000}"/>
    <cellStyle name="Normal 21 5 3 4 4" xfId="17573" xr:uid="{00000000-0005-0000-0000-000095910000}"/>
    <cellStyle name="Normal 21 5 3 5" xfId="43242" xr:uid="{00000000-0005-0000-0000-000096910000}"/>
    <cellStyle name="Normal 21 5 3 6" xfId="27142" xr:uid="{00000000-0005-0000-0000-000097910000}"/>
    <cellStyle name="Normal 21 5 3 7" xfId="14078" xr:uid="{00000000-0005-0000-0000-000098910000}"/>
    <cellStyle name="Normal 21 5 4" xfId="6994" xr:uid="{00000000-0005-0000-0000-000099910000}"/>
    <cellStyle name="Normal 21 5 4 2" xfId="38735" xr:uid="{00000000-0005-0000-0000-00009A910000}"/>
    <cellStyle name="Normal 21 5 4 2 2" xfId="54835" xr:uid="{00000000-0005-0000-0000-00009B910000}"/>
    <cellStyle name="Normal 21 5 4 3" xfId="45268" xr:uid="{00000000-0005-0000-0000-00009C910000}"/>
    <cellStyle name="Normal 21 5 4 4" xfId="29168" xr:uid="{00000000-0005-0000-0000-00009D910000}"/>
    <cellStyle name="Normal 21 5 4 5" xfId="19599" xr:uid="{00000000-0005-0000-0000-00009E910000}"/>
    <cellStyle name="Normal 21 5 5" xfId="10030" xr:uid="{00000000-0005-0000-0000-00009F910000}"/>
    <cellStyle name="Normal 21 5 5 2" xfId="48304" xr:uid="{00000000-0005-0000-0000-0000A0910000}"/>
    <cellStyle name="Normal 21 5 5 3" xfId="32204" xr:uid="{00000000-0005-0000-0000-0000A1910000}"/>
    <cellStyle name="Normal 21 5 5 4" xfId="22635" xr:uid="{00000000-0005-0000-0000-0000A2910000}"/>
    <cellStyle name="Normal 21 5 6" xfId="3958" xr:uid="{00000000-0005-0000-0000-0000A3910000}"/>
    <cellStyle name="Normal 21 5 6 2" xfId="51799" xr:uid="{00000000-0005-0000-0000-0000A4910000}"/>
    <cellStyle name="Normal 21 5 6 3" xfId="35699" xr:uid="{00000000-0005-0000-0000-0000A5910000}"/>
    <cellStyle name="Normal 21 5 6 4" xfId="16563" xr:uid="{00000000-0005-0000-0000-0000A6910000}"/>
    <cellStyle name="Normal 21 5 7" xfId="42232" xr:uid="{00000000-0005-0000-0000-0000A7910000}"/>
    <cellStyle name="Normal 21 5 8" xfId="26132" xr:uid="{00000000-0005-0000-0000-0000A8910000}"/>
    <cellStyle name="Normal 21 5 9" xfId="13068" xr:uid="{00000000-0005-0000-0000-0000A9910000}"/>
    <cellStyle name="Normal 21 6" xfId="514" xr:uid="{00000000-0005-0000-0000-0000AA910000}"/>
    <cellStyle name="Normal 21 6 2" xfId="2544" xr:uid="{00000000-0005-0000-0000-0000AB910000}"/>
    <cellStyle name="Normal 21 6 2 2" xfId="9076" xr:uid="{00000000-0005-0000-0000-0000AC910000}"/>
    <cellStyle name="Normal 21 6 2 2 2" xfId="40817" xr:uid="{00000000-0005-0000-0000-0000AD910000}"/>
    <cellStyle name="Normal 21 6 2 2 2 2" xfId="56917" xr:uid="{00000000-0005-0000-0000-0000AE910000}"/>
    <cellStyle name="Normal 21 6 2 2 3" xfId="47350" xr:uid="{00000000-0005-0000-0000-0000AF910000}"/>
    <cellStyle name="Normal 21 6 2 2 4" xfId="31250" xr:uid="{00000000-0005-0000-0000-0000B0910000}"/>
    <cellStyle name="Normal 21 6 2 2 5" xfId="21681" xr:uid="{00000000-0005-0000-0000-0000B1910000}"/>
    <cellStyle name="Normal 21 6 2 3" xfId="12112" xr:uid="{00000000-0005-0000-0000-0000B2910000}"/>
    <cellStyle name="Normal 21 6 2 3 2" xfId="50386" xr:uid="{00000000-0005-0000-0000-0000B3910000}"/>
    <cellStyle name="Normal 21 6 2 3 3" xfId="34286" xr:uid="{00000000-0005-0000-0000-0000B4910000}"/>
    <cellStyle name="Normal 21 6 2 3 4" xfId="24717" xr:uid="{00000000-0005-0000-0000-0000B5910000}"/>
    <cellStyle name="Normal 21 6 2 4" xfId="6040" xr:uid="{00000000-0005-0000-0000-0000B6910000}"/>
    <cellStyle name="Normal 21 6 2 4 2" xfId="53881" xr:uid="{00000000-0005-0000-0000-0000B7910000}"/>
    <cellStyle name="Normal 21 6 2 4 3" xfId="37781" xr:uid="{00000000-0005-0000-0000-0000B8910000}"/>
    <cellStyle name="Normal 21 6 2 4 4" xfId="18645" xr:uid="{00000000-0005-0000-0000-0000B9910000}"/>
    <cellStyle name="Normal 21 6 2 5" xfId="44314" xr:uid="{00000000-0005-0000-0000-0000BA910000}"/>
    <cellStyle name="Normal 21 6 2 6" xfId="28214" xr:uid="{00000000-0005-0000-0000-0000BB910000}"/>
    <cellStyle name="Normal 21 6 2 7" xfId="15150" xr:uid="{00000000-0005-0000-0000-0000BC910000}"/>
    <cellStyle name="Normal 21 6 3" xfId="1293" xr:uid="{00000000-0005-0000-0000-0000BD910000}"/>
    <cellStyle name="Normal 21 6 3 2" xfId="7827" xr:uid="{00000000-0005-0000-0000-0000BE910000}"/>
    <cellStyle name="Normal 21 6 3 2 2" xfId="39568" xr:uid="{00000000-0005-0000-0000-0000BF910000}"/>
    <cellStyle name="Normal 21 6 3 2 2 2" xfId="55668" xr:uid="{00000000-0005-0000-0000-0000C0910000}"/>
    <cellStyle name="Normal 21 6 3 2 3" xfId="46101" xr:uid="{00000000-0005-0000-0000-0000C1910000}"/>
    <cellStyle name="Normal 21 6 3 2 4" xfId="30001" xr:uid="{00000000-0005-0000-0000-0000C2910000}"/>
    <cellStyle name="Normal 21 6 3 2 5" xfId="20432" xr:uid="{00000000-0005-0000-0000-0000C3910000}"/>
    <cellStyle name="Normal 21 6 3 3" xfId="10863" xr:uid="{00000000-0005-0000-0000-0000C4910000}"/>
    <cellStyle name="Normal 21 6 3 3 2" xfId="49137" xr:uid="{00000000-0005-0000-0000-0000C5910000}"/>
    <cellStyle name="Normal 21 6 3 3 3" xfId="33037" xr:uid="{00000000-0005-0000-0000-0000C6910000}"/>
    <cellStyle name="Normal 21 6 3 3 4" xfId="23468" xr:uid="{00000000-0005-0000-0000-0000C7910000}"/>
    <cellStyle name="Normal 21 6 3 4" xfId="4791" xr:uid="{00000000-0005-0000-0000-0000C8910000}"/>
    <cellStyle name="Normal 21 6 3 4 2" xfId="52632" xr:uid="{00000000-0005-0000-0000-0000C9910000}"/>
    <cellStyle name="Normal 21 6 3 4 3" xfId="36532" xr:uid="{00000000-0005-0000-0000-0000CA910000}"/>
    <cellStyle name="Normal 21 6 3 4 4" xfId="17396" xr:uid="{00000000-0005-0000-0000-0000CB910000}"/>
    <cellStyle name="Normal 21 6 3 5" xfId="43065" xr:uid="{00000000-0005-0000-0000-0000CC910000}"/>
    <cellStyle name="Normal 21 6 3 6" xfId="26965" xr:uid="{00000000-0005-0000-0000-0000CD910000}"/>
    <cellStyle name="Normal 21 6 3 7" xfId="13901" xr:uid="{00000000-0005-0000-0000-0000CE910000}"/>
    <cellStyle name="Normal 21 6 4" xfId="6817" xr:uid="{00000000-0005-0000-0000-0000CF910000}"/>
    <cellStyle name="Normal 21 6 4 2" xfId="38558" xr:uid="{00000000-0005-0000-0000-0000D0910000}"/>
    <cellStyle name="Normal 21 6 4 2 2" xfId="54658" xr:uid="{00000000-0005-0000-0000-0000D1910000}"/>
    <cellStyle name="Normal 21 6 4 3" xfId="45091" xr:uid="{00000000-0005-0000-0000-0000D2910000}"/>
    <cellStyle name="Normal 21 6 4 4" xfId="28991" xr:uid="{00000000-0005-0000-0000-0000D3910000}"/>
    <cellStyle name="Normal 21 6 4 5" xfId="19422" xr:uid="{00000000-0005-0000-0000-0000D4910000}"/>
    <cellStyle name="Normal 21 6 5" xfId="9853" xr:uid="{00000000-0005-0000-0000-0000D5910000}"/>
    <cellStyle name="Normal 21 6 5 2" xfId="48127" xr:uid="{00000000-0005-0000-0000-0000D6910000}"/>
    <cellStyle name="Normal 21 6 5 3" xfId="32027" xr:uid="{00000000-0005-0000-0000-0000D7910000}"/>
    <cellStyle name="Normal 21 6 5 4" xfId="22458" xr:uid="{00000000-0005-0000-0000-0000D8910000}"/>
    <cellStyle name="Normal 21 6 6" xfId="3781" xr:uid="{00000000-0005-0000-0000-0000D9910000}"/>
    <cellStyle name="Normal 21 6 6 2" xfId="51622" xr:uid="{00000000-0005-0000-0000-0000DA910000}"/>
    <cellStyle name="Normal 21 6 6 3" xfId="35522" xr:uid="{00000000-0005-0000-0000-0000DB910000}"/>
    <cellStyle name="Normal 21 6 6 4" xfId="16386" xr:uid="{00000000-0005-0000-0000-0000DC910000}"/>
    <cellStyle name="Normal 21 6 7" xfId="42055" xr:uid="{00000000-0005-0000-0000-0000DD910000}"/>
    <cellStyle name="Normal 21 6 8" xfId="25955" xr:uid="{00000000-0005-0000-0000-0000DE910000}"/>
    <cellStyle name="Normal 21 6 9" xfId="12891" xr:uid="{00000000-0005-0000-0000-0000DF910000}"/>
    <cellStyle name="Normal 21 7" xfId="744" xr:uid="{00000000-0005-0000-0000-0000E0910000}"/>
    <cellStyle name="Normal 21 7 2" xfId="2772" xr:uid="{00000000-0005-0000-0000-0000E1910000}"/>
    <cellStyle name="Normal 21 7 2 2" xfId="9304" xr:uid="{00000000-0005-0000-0000-0000E2910000}"/>
    <cellStyle name="Normal 21 7 2 2 2" xfId="41045" xr:uid="{00000000-0005-0000-0000-0000E3910000}"/>
    <cellStyle name="Normal 21 7 2 2 2 2" xfId="57145" xr:uid="{00000000-0005-0000-0000-0000E4910000}"/>
    <cellStyle name="Normal 21 7 2 2 3" xfId="47578" xr:uid="{00000000-0005-0000-0000-0000E5910000}"/>
    <cellStyle name="Normal 21 7 2 2 4" xfId="31478" xr:uid="{00000000-0005-0000-0000-0000E6910000}"/>
    <cellStyle name="Normal 21 7 2 2 5" xfId="21909" xr:uid="{00000000-0005-0000-0000-0000E7910000}"/>
    <cellStyle name="Normal 21 7 2 3" xfId="12340" xr:uid="{00000000-0005-0000-0000-0000E8910000}"/>
    <cellStyle name="Normal 21 7 2 3 2" xfId="50614" xr:uid="{00000000-0005-0000-0000-0000E9910000}"/>
    <cellStyle name="Normal 21 7 2 3 3" xfId="34514" xr:uid="{00000000-0005-0000-0000-0000EA910000}"/>
    <cellStyle name="Normal 21 7 2 3 4" xfId="24945" xr:uid="{00000000-0005-0000-0000-0000EB910000}"/>
    <cellStyle name="Normal 21 7 2 4" xfId="6268" xr:uid="{00000000-0005-0000-0000-0000EC910000}"/>
    <cellStyle name="Normal 21 7 2 4 2" xfId="54109" xr:uid="{00000000-0005-0000-0000-0000ED910000}"/>
    <cellStyle name="Normal 21 7 2 4 3" xfId="38009" xr:uid="{00000000-0005-0000-0000-0000EE910000}"/>
    <cellStyle name="Normal 21 7 2 4 4" xfId="18873" xr:uid="{00000000-0005-0000-0000-0000EF910000}"/>
    <cellStyle name="Normal 21 7 2 5" xfId="44542" xr:uid="{00000000-0005-0000-0000-0000F0910000}"/>
    <cellStyle name="Normal 21 7 2 6" xfId="28442" xr:uid="{00000000-0005-0000-0000-0000F1910000}"/>
    <cellStyle name="Normal 21 7 2 7" xfId="15378" xr:uid="{00000000-0005-0000-0000-0000F2910000}"/>
    <cellStyle name="Normal 21 7 3" xfId="1754" xr:uid="{00000000-0005-0000-0000-0000F3910000}"/>
    <cellStyle name="Normal 21 7 3 2" xfId="8288" xr:uid="{00000000-0005-0000-0000-0000F4910000}"/>
    <cellStyle name="Normal 21 7 3 2 2" xfId="40029" xr:uid="{00000000-0005-0000-0000-0000F5910000}"/>
    <cellStyle name="Normal 21 7 3 2 2 2" xfId="56129" xr:uid="{00000000-0005-0000-0000-0000F6910000}"/>
    <cellStyle name="Normal 21 7 3 2 3" xfId="46562" xr:uid="{00000000-0005-0000-0000-0000F7910000}"/>
    <cellStyle name="Normal 21 7 3 2 4" xfId="30462" xr:uid="{00000000-0005-0000-0000-0000F8910000}"/>
    <cellStyle name="Normal 21 7 3 2 5" xfId="20893" xr:uid="{00000000-0005-0000-0000-0000F9910000}"/>
    <cellStyle name="Normal 21 7 3 3" xfId="11324" xr:uid="{00000000-0005-0000-0000-0000FA910000}"/>
    <cellStyle name="Normal 21 7 3 3 2" xfId="49598" xr:uid="{00000000-0005-0000-0000-0000FB910000}"/>
    <cellStyle name="Normal 21 7 3 3 3" xfId="33498" xr:uid="{00000000-0005-0000-0000-0000FC910000}"/>
    <cellStyle name="Normal 21 7 3 3 4" xfId="23929" xr:uid="{00000000-0005-0000-0000-0000FD910000}"/>
    <cellStyle name="Normal 21 7 3 4" xfId="5252" xr:uid="{00000000-0005-0000-0000-0000FE910000}"/>
    <cellStyle name="Normal 21 7 3 4 2" xfId="53093" xr:uid="{00000000-0005-0000-0000-0000FF910000}"/>
    <cellStyle name="Normal 21 7 3 4 3" xfId="36993" xr:uid="{00000000-0005-0000-0000-000000920000}"/>
    <cellStyle name="Normal 21 7 3 4 4" xfId="17857" xr:uid="{00000000-0005-0000-0000-000001920000}"/>
    <cellStyle name="Normal 21 7 3 5" xfId="43526" xr:uid="{00000000-0005-0000-0000-000002920000}"/>
    <cellStyle name="Normal 21 7 3 6" xfId="27426" xr:uid="{00000000-0005-0000-0000-000003920000}"/>
    <cellStyle name="Normal 21 7 3 7" xfId="14362" xr:uid="{00000000-0005-0000-0000-000004920000}"/>
    <cellStyle name="Normal 21 7 4" xfId="7278" xr:uid="{00000000-0005-0000-0000-000005920000}"/>
    <cellStyle name="Normal 21 7 4 2" xfId="39019" xr:uid="{00000000-0005-0000-0000-000006920000}"/>
    <cellStyle name="Normal 21 7 4 2 2" xfId="55119" xr:uid="{00000000-0005-0000-0000-000007920000}"/>
    <cellStyle name="Normal 21 7 4 3" xfId="45552" xr:uid="{00000000-0005-0000-0000-000008920000}"/>
    <cellStyle name="Normal 21 7 4 4" xfId="29452" xr:uid="{00000000-0005-0000-0000-000009920000}"/>
    <cellStyle name="Normal 21 7 4 5" xfId="19883" xr:uid="{00000000-0005-0000-0000-00000A920000}"/>
    <cellStyle name="Normal 21 7 5" xfId="10314" xr:uid="{00000000-0005-0000-0000-00000B920000}"/>
    <cellStyle name="Normal 21 7 5 2" xfId="48588" xr:uid="{00000000-0005-0000-0000-00000C920000}"/>
    <cellStyle name="Normal 21 7 5 3" xfId="32488" xr:uid="{00000000-0005-0000-0000-00000D920000}"/>
    <cellStyle name="Normal 21 7 5 4" xfId="22919" xr:uid="{00000000-0005-0000-0000-00000E920000}"/>
    <cellStyle name="Normal 21 7 6" xfId="4242" xr:uid="{00000000-0005-0000-0000-00000F920000}"/>
    <cellStyle name="Normal 21 7 6 2" xfId="52083" xr:uid="{00000000-0005-0000-0000-000010920000}"/>
    <cellStyle name="Normal 21 7 6 3" xfId="35983" xr:uid="{00000000-0005-0000-0000-000011920000}"/>
    <cellStyle name="Normal 21 7 6 4" xfId="16847" xr:uid="{00000000-0005-0000-0000-000012920000}"/>
    <cellStyle name="Normal 21 7 7" xfId="42516" xr:uid="{00000000-0005-0000-0000-000013920000}"/>
    <cellStyle name="Normal 21 7 8" xfId="26416" xr:uid="{00000000-0005-0000-0000-000014920000}"/>
    <cellStyle name="Normal 21 7 9" xfId="13352" xr:uid="{00000000-0005-0000-0000-000015920000}"/>
    <cellStyle name="Normal 21 8" xfId="2081" xr:uid="{00000000-0005-0000-0000-000016920000}"/>
    <cellStyle name="Normal 21 8 2" xfId="8615" xr:uid="{00000000-0005-0000-0000-000017920000}"/>
    <cellStyle name="Normal 21 8 2 2" xfId="40356" xr:uid="{00000000-0005-0000-0000-000018920000}"/>
    <cellStyle name="Normal 21 8 2 2 2" xfId="56456" xr:uid="{00000000-0005-0000-0000-000019920000}"/>
    <cellStyle name="Normal 21 8 2 3" xfId="46889" xr:uid="{00000000-0005-0000-0000-00001A920000}"/>
    <cellStyle name="Normal 21 8 2 4" xfId="30789" xr:uid="{00000000-0005-0000-0000-00001B920000}"/>
    <cellStyle name="Normal 21 8 2 5" xfId="21220" xr:uid="{00000000-0005-0000-0000-00001C920000}"/>
    <cellStyle name="Normal 21 8 3" xfId="11651" xr:uid="{00000000-0005-0000-0000-00001D920000}"/>
    <cellStyle name="Normal 21 8 3 2" xfId="49925" xr:uid="{00000000-0005-0000-0000-00001E920000}"/>
    <cellStyle name="Normal 21 8 3 3" xfId="33825" xr:uid="{00000000-0005-0000-0000-00001F920000}"/>
    <cellStyle name="Normal 21 8 3 4" xfId="24256" xr:uid="{00000000-0005-0000-0000-000020920000}"/>
    <cellStyle name="Normal 21 8 4" xfId="5579" xr:uid="{00000000-0005-0000-0000-000021920000}"/>
    <cellStyle name="Normal 21 8 4 2" xfId="53420" xr:uid="{00000000-0005-0000-0000-000022920000}"/>
    <cellStyle name="Normal 21 8 4 3" xfId="37320" xr:uid="{00000000-0005-0000-0000-000023920000}"/>
    <cellStyle name="Normal 21 8 4 4" xfId="18184" xr:uid="{00000000-0005-0000-0000-000024920000}"/>
    <cellStyle name="Normal 21 8 5" xfId="43853" xr:uid="{00000000-0005-0000-0000-000025920000}"/>
    <cellStyle name="Normal 21 8 6" xfId="27753" xr:uid="{00000000-0005-0000-0000-000026920000}"/>
    <cellStyle name="Normal 21 8 7" xfId="14689" xr:uid="{00000000-0005-0000-0000-000027920000}"/>
    <cellStyle name="Normal 21 9" xfId="1071" xr:uid="{00000000-0005-0000-0000-000028920000}"/>
    <cellStyle name="Normal 21 9 2" xfId="7605" xr:uid="{00000000-0005-0000-0000-000029920000}"/>
    <cellStyle name="Normal 21 9 2 2" xfId="39346" xr:uid="{00000000-0005-0000-0000-00002A920000}"/>
    <cellStyle name="Normal 21 9 2 2 2" xfId="55446" xr:uid="{00000000-0005-0000-0000-00002B920000}"/>
    <cellStyle name="Normal 21 9 2 3" xfId="45879" xr:uid="{00000000-0005-0000-0000-00002C920000}"/>
    <cellStyle name="Normal 21 9 2 4" xfId="29779" xr:uid="{00000000-0005-0000-0000-00002D920000}"/>
    <cellStyle name="Normal 21 9 2 5" xfId="20210" xr:uid="{00000000-0005-0000-0000-00002E920000}"/>
    <cellStyle name="Normal 21 9 3" xfId="10641" xr:uid="{00000000-0005-0000-0000-00002F920000}"/>
    <cellStyle name="Normal 21 9 3 2" xfId="48915" xr:uid="{00000000-0005-0000-0000-000030920000}"/>
    <cellStyle name="Normal 21 9 3 3" xfId="32815" xr:uid="{00000000-0005-0000-0000-000031920000}"/>
    <cellStyle name="Normal 21 9 3 4" xfId="23246" xr:uid="{00000000-0005-0000-0000-000032920000}"/>
    <cellStyle name="Normal 21 9 4" xfId="4569" xr:uid="{00000000-0005-0000-0000-000033920000}"/>
    <cellStyle name="Normal 21 9 4 2" xfId="52410" xr:uid="{00000000-0005-0000-0000-000034920000}"/>
    <cellStyle name="Normal 21 9 4 3" xfId="36310" xr:uid="{00000000-0005-0000-0000-000035920000}"/>
    <cellStyle name="Normal 21 9 4 4" xfId="17174" xr:uid="{00000000-0005-0000-0000-000036920000}"/>
    <cellStyle name="Normal 21 9 5" xfId="42843" xr:uid="{00000000-0005-0000-0000-000037920000}"/>
    <cellStyle name="Normal 21 9 6" xfId="26743" xr:uid="{00000000-0005-0000-0000-000038920000}"/>
    <cellStyle name="Normal 21 9 7" xfId="13679" xr:uid="{00000000-0005-0000-0000-000039920000}"/>
    <cellStyle name="Normal 22" xfId="111" xr:uid="{00000000-0005-0000-0000-00003A920000}"/>
    <cellStyle name="Normal 22 2" xfId="186" xr:uid="{00000000-0005-0000-0000-00003B920000}"/>
    <cellStyle name="Normal 22 2 10" xfId="13015" xr:uid="{00000000-0005-0000-0000-00003C920000}"/>
    <cellStyle name="Normal 22 2 2" xfId="363" xr:uid="{00000000-0005-0000-0000-00003D920000}"/>
    <cellStyle name="Normal 22 2 2 2" xfId="2382" xr:uid="{00000000-0005-0000-0000-00003E920000}"/>
    <cellStyle name="Normal 22 2 2 2 2" xfId="8916" xr:uid="{00000000-0005-0000-0000-00003F920000}"/>
    <cellStyle name="Normal 22 2 2 2 2 2" xfId="40657" xr:uid="{00000000-0005-0000-0000-000040920000}"/>
    <cellStyle name="Normal 22 2 2 2 2 2 2" xfId="56757" xr:uid="{00000000-0005-0000-0000-000041920000}"/>
    <cellStyle name="Normal 22 2 2 2 2 3" xfId="47190" xr:uid="{00000000-0005-0000-0000-000042920000}"/>
    <cellStyle name="Normal 22 2 2 2 2 4" xfId="31090" xr:uid="{00000000-0005-0000-0000-000043920000}"/>
    <cellStyle name="Normal 22 2 2 2 2 5" xfId="21521" xr:uid="{00000000-0005-0000-0000-000044920000}"/>
    <cellStyle name="Normal 22 2 2 2 3" xfId="11952" xr:uid="{00000000-0005-0000-0000-000045920000}"/>
    <cellStyle name="Normal 22 2 2 2 3 2" xfId="50226" xr:uid="{00000000-0005-0000-0000-000046920000}"/>
    <cellStyle name="Normal 22 2 2 2 3 3" xfId="34126" xr:uid="{00000000-0005-0000-0000-000047920000}"/>
    <cellStyle name="Normal 22 2 2 2 3 4" xfId="24557" xr:uid="{00000000-0005-0000-0000-000048920000}"/>
    <cellStyle name="Normal 22 2 2 2 4" xfId="5880" xr:uid="{00000000-0005-0000-0000-000049920000}"/>
    <cellStyle name="Normal 22 2 2 2 4 2" xfId="53721" xr:uid="{00000000-0005-0000-0000-00004A920000}"/>
    <cellStyle name="Normal 22 2 2 2 4 3" xfId="37621" xr:uid="{00000000-0005-0000-0000-00004B920000}"/>
    <cellStyle name="Normal 22 2 2 2 4 4" xfId="18485" xr:uid="{00000000-0005-0000-0000-00004C920000}"/>
    <cellStyle name="Normal 22 2 2 2 5" xfId="44154" xr:uid="{00000000-0005-0000-0000-00004D920000}"/>
    <cellStyle name="Normal 22 2 2 2 6" xfId="28054" xr:uid="{00000000-0005-0000-0000-00004E920000}"/>
    <cellStyle name="Normal 22 2 2 2 7" xfId="14990" xr:uid="{00000000-0005-0000-0000-00004F920000}"/>
    <cellStyle name="Normal 22 2 2 3" xfId="1594" xr:uid="{00000000-0005-0000-0000-000050920000}"/>
    <cellStyle name="Normal 22 2 2 3 2" xfId="8128" xr:uid="{00000000-0005-0000-0000-000051920000}"/>
    <cellStyle name="Normal 22 2 2 3 2 2" xfId="39869" xr:uid="{00000000-0005-0000-0000-000052920000}"/>
    <cellStyle name="Normal 22 2 2 3 2 2 2" xfId="55969" xr:uid="{00000000-0005-0000-0000-000053920000}"/>
    <cellStyle name="Normal 22 2 2 3 2 3" xfId="46402" xr:uid="{00000000-0005-0000-0000-000054920000}"/>
    <cellStyle name="Normal 22 2 2 3 2 4" xfId="30302" xr:uid="{00000000-0005-0000-0000-000055920000}"/>
    <cellStyle name="Normal 22 2 2 3 2 5" xfId="20733" xr:uid="{00000000-0005-0000-0000-000056920000}"/>
    <cellStyle name="Normal 22 2 2 3 3" xfId="11164" xr:uid="{00000000-0005-0000-0000-000057920000}"/>
    <cellStyle name="Normal 22 2 2 3 3 2" xfId="49438" xr:uid="{00000000-0005-0000-0000-000058920000}"/>
    <cellStyle name="Normal 22 2 2 3 3 3" xfId="33338" xr:uid="{00000000-0005-0000-0000-000059920000}"/>
    <cellStyle name="Normal 22 2 2 3 3 4" xfId="23769" xr:uid="{00000000-0005-0000-0000-00005A920000}"/>
    <cellStyle name="Normal 22 2 2 3 4" xfId="5092" xr:uid="{00000000-0005-0000-0000-00005B920000}"/>
    <cellStyle name="Normal 22 2 2 3 4 2" xfId="52933" xr:uid="{00000000-0005-0000-0000-00005C920000}"/>
    <cellStyle name="Normal 22 2 2 3 4 3" xfId="36833" xr:uid="{00000000-0005-0000-0000-00005D920000}"/>
    <cellStyle name="Normal 22 2 2 3 4 4" xfId="17697" xr:uid="{00000000-0005-0000-0000-00005E920000}"/>
    <cellStyle name="Normal 22 2 2 3 5" xfId="43366" xr:uid="{00000000-0005-0000-0000-00005F920000}"/>
    <cellStyle name="Normal 22 2 2 3 6" xfId="27266" xr:uid="{00000000-0005-0000-0000-000060920000}"/>
    <cellStyle name="Normal 22 2 2 3 7" xfId="14202" xr:uid="{00000000-0005-0000-0000-000061920000}"/>
    <cellStyle name="Normal 22 2 2 4" xfId="7118" xr:uid="{00000000-0005-0000-0000-000062920000}"/>
    <cellStyle name="Normal 22 2 2 4 2" xfId="38859" xr:uid="{00000000-0005-0000-0000-000063920000}"/>
    <cellStyle name="Normal 22 2 2 4 2 2" xfId="54959" xr:uid="{00000000-0005-0000-0000-000064920000}"/>
    <cellStyle name="Normal 22 2 2 4 3" xfId="45392" xr:uid="{00000000-0005-0000-0000-000065920000}"/>
    <cellStyle name="Normal 22 2 2 4 4" xfId="29292" xr:uid="{00000000-0005-0000-0000-000066920000}"/>
    <cellStyle name="Normal 22 2 2 4 5" xfId="19723" xr:uid="{00000000-0005-0000-0000-000067920000}"/>
    <cellStyle name="Normal 22 2 2 5" xfId="10154" xr:uid="{00000000-0005-0000-0000-000068920000}"/>
    <cellStyle name="Normal 22 2 2 5 2" xfId="48428" xr:uid="{00000000-0005-0000-0000-000069920000}"/>
    <cellStyle name="Normal 22 2 2 5 3" xfId="32328" xr:uid="{00000000-0005-0000-0000-00006A920000}"/>
    <cellStyle name="Normal 22 2 2 5 4" xfId="22759" xr:uid="{00000000-0005-0000-0000-00006B920000}"/>
    <cellStyle name="Normal 22 2 2 6" xfId="4082" xr:uid="{00000000-0005-0000-0000-00006C920000}"/>
    <cellStyle name="Normal 22 2 2 6 2" xfId="51923" xr:uid="{00000000-0005-0000-0000-00006D920000}"/>
    <cellStyle name="Normal 22 2 2 6 3" xfId="35823" xr:uid="{00000000-0005-0000-0000-00006E920000}"/>
    <cellStyle name="Normal 22 2 2 6 4" xfId="16687" xr:uid="{00000000-0005-0000-0000-00006F920000}"/>
    <cellStyle name="Normal 22 2 2 7" xfId="42356" xr:uid="{00000000-0005-0000-0000-000070920000}"/>
    <cellStyle name="Normal 22 2 2 8" xfId="26256" xr:uid="{00000000-0005-0000-0000-000071920000}"/>
    <cellStyle name="Normal 22 2 2 9" xfId="13192" xr:uid="{00000000-0005-0000-0000-000072920000}"/>
    <cellStyle name="Normal 22 2 3" xfId="2205" xr:uid="{00000000-0005-0000-0000-000073920000}"/>
    <cellStyle name="Normal 22 2 3 2" xfId="8739" xr:uid="{00000000-0005-0000-0000-000074920000}"/>
    <cellStyle name="Normal 22 2 3 2 2" xfId="40480" xr:uid="{00000000-0005-0000-0000-000075920000}"/>
    <cellStyle name="Normal 22 2 3 2 2 2" xfId="56580" xr:uid="{00000000-0005-0000-0000-000076920000}"/>
    <cellStyle name="Normal 22 2 3 2 3" xfId="47013" xr:uid="{00000000-0005-0000-0000-000077920000}"/>
    <cellStyle name="Normal 22 2 3 2 4" xfId="30913" xr:uid="{00000000-0005-0000-0000-000078920000}"/>
    <cellStyle name="Normal 22 2 3 2 5" xfId="21344" xr:uid="{00000000-0005-0000-0000-000079920000}"/>
    <cellStyle name="Normal 22 2 3 3" xfId="11775" xr:uid="{00000000-0005-0000-0000-00007A920000}"/>
    <cellStyle name="Normal 22 2 3 3 2" xfId="50049" xr:uid="{00000000-0005-0000-0000-00007B920000}"/>
    <cellStyle name="Normal 22 2 3 3 3" xfId="33949" xr:uid="{00000000-0005-0000-0000-00007C920000}"/>
    <cellStyle name="Normal 22 2 3 3 4" xfId="24380" xr:uid="{00000000-0005-0000-0000-00007D920000}"/>
    <cellStyle name="Normal 22 2 3 4" xfId="5703" xr:uid="{00000000-0005-0000-0000-00007E920000}"/>
    <cellStyle name="Normal 22 2 3 4 2" xfId="53544" xr:uid="{00000000-0005-0000-0000-00007F920000}"/>
    <cellStyle name="Normal 22 2 3 4 3" xfId="37444" xr:uid="{00000000-0005-0000-0000-000080920000}"/>
    <cellStyle name="Normal 22 2 3 4 4" xfId="18308" xr:uid="{00000000-0005-0000-0000-000081920000}"/>
    <cellStyle name="Normal 22 2 3 5" xfId="43977" xr:uid="{00000000-0005-0000-0000-000082920000}"/>
    <cellStyle name="Normal 22 2 3 6" xfId="27877" xr:uid="{00000000-0005-0000-0000-000083920000}"/>
    <cellStyle name="Normal 22 2 3 7" xfId="14813" xr:uid="{00000000-0005-0000-0000-000084920000}"/>
    <cellStyle name="Normal 22 2 4" xfId="1417" xr:uid="{00000000-0005-0000-0000-000085920000}"/>
    <cellStyle name="Normal 22 2 4 2" xfId="7951" xr:uid="{00000000-0005-0000-0000-000086920000}"/>
    <cellStyle name="Normal 22 2 4 2 2" xfId="39692" xr:uid="{00000000-0005-0000-0000-000087920000}"/>
    <cellStyle name="Normal 22 2 4 2 2 2" xfId="55792" xr:uid="{00000000-0005-0000-0000-000088920000}"/>
    <cellStyle name="Normal 22 2 4 2 3" xfId="46225" xr:uid="{00000000-0005-0000-0000-000089920000}"/>
    <cellStyle name="Normal 22 2 4 2 4" xfId="30125" xr:uid="{00000000-0005-0000-0000-00008A920000}"/>
    <cellStyle name="Normal 22 2 4 2 5" xfId="20556" xr:uid="{00000000-0005-0000-0000-00008B920000}"/>
    <cellStyle name="Normal 22 2 4 3" xfId="10987" xr:uid="{00000000-0005-0000-0000-00008C920000}"/>
    <cellStyle name="Normal 22 2 4 3 2" xfId="49261" xr:uid="{00000000-0005-0000-0000-00008D920000}"/>
    <cellStyle name="Normal 22 2 4 3 3" xfId="33161" xr:uid="{00000000-0005-0000-0000-00008E920000}"/>
    <cellStyle name="Normal 22 2 4 3 4" xfId="23592" xr:uid="{00000000-0005-0000-0000-00008F920000}"/>
    <cellStyle name="Normal 22 2 4 4" xfId="4915" xr:uid="{00000000-0005-0000-0000-000090920000}"/>
    <cellStyle name="Normal 22 2 4 4 2" xfId="52756" xr:uid="{00000000-0005-0000-0000-000091920000}"/>
    <cellStyle name="Normal 22 2 4 4 3" xfId="36656" xr:uid="{00000000-0005-0000-0000-000092920000}"/>
    <cellStyle name="Normal 22 2 4 4 4" xfId="17520" xr:uid="{00000000-0005-0000-0000-000093920000}"/>
    <cellStyle name="Normal 22 2 4 5" xfId="43189" xr:uid="{00000000-0005-0000-0000-000094920000}"/>
    <cellStyle name="Normal 22 2 4 6" xfId="27089" xr:uid="{00000000-0005-0000-0000-000095920000}"/>
    <cellStyle name="Normal 22 2 4 7" xfId="14025" xr:uid="{00000000-0005-0000-0000-000096920000}"/>
    <cellStyle name="Normal 22 2 5" xfId="6941" xr:uid="{00000000-0005-0000-0000-000097920000}"/>
    <cellStyle name="Normal 22 2 5 2" xfId="38682" xr:uid="{00000000-0005-0000-0000-000098920000}"/>
    <cellStyle name="Normal 22 2 5 2 2" xfId="54782" xr:uid="{00000000-0005-0000-0000-000099920000}"/>
    <cellStyle name="Normal 22 2 5 3" xfId="45215" xr:uid="{00000000-0005-0000-0000-00009A920000}"/>
    <cellStyle name="Normal 22 2 5 4" xfId="29115" xr:uid="{00000000-0005-0000-0000-00009B920000}"/>
    <cellStyle name="Normal 22 2 5 5" xfId="19546" xr:uid="{00000000-0005-0000-0000-00009C920000}"/>
    <cellStyle name="Normal 22 2 6" xfId="9977" xr:uid="{00000000-0005-0000-0000-00009D920000}"/>
    <cellStyle name="Normal 22 2 6 2" xfId="48251" xr:uid="{00000000-0005-0000-0000-00009E920000}"/>
    <cellStyle name="Normal 22 2 6 3" xfId="32151" xr:uid="{00000000-0005-0000-0000-00009F920000}"/>
    <cellStyle name="Normal 22 2 6 4" xfId="22582" xr:uid="{00000000-0005-0000-0000-0000A0920000}"/>
    <cellStyle name="Normal 22 2 7" xfId="3905" xr:uid="{00000000-0005-0000-0000-0000A1920000}"/>
    <cellStyle name="Normal 22 2 7 2" xfId="51746" xr:uid="{00000000-0005-0000-0000-0000A2920000}"/>
    <cellStyle name="Normal 22 2 7 3" xfId="35646" xr:uid="{00000000-0005-0000-0000-0000A3920000}"/>
    <cellStyle name="Normal 22 2 7 4" xfId="16510" xr:uid="{00000000-0005-0000-0000-0000A4920000}"/>
    <cellStyle name="Normal 22 2 8" xfId="42179" xr:uid="{00000000-0005-0000-0000-0000A5920000}"/>
    <cellStyle name="Normal 22 2 9" xfId="26079" xr:uid="{00000000-0005-0000-0000-0000A6920000}"/>
    <cellStyle name="Normal 22 3" xfId="292" xr:uid="{00000000-0005-0000-0000-0000A7920000}"/>
    <cellStyle name="Normal 22 3 2" xfId="2311" xr:uid="{00000000-0005-0000-0000-0000A8920000}"/>
    <cellStyle name="Normal 22 3 2 2" xfId="8845" xr:uid="{00000000-0005-0000-0000-0000A9920000}"/>
    <cellStyle name="Normal 22 3 2 2 2" xfId="40586" xr:uid="{00000000-0005-0000-0000-0000AA920000}"/>
    <cellStyle name="Normal 22 3 2 2 2 2" xfId="56686" xr:uid="{00000000-0005-0000-0000-0000AB920000}"/>
    <cellStyle name="Normal 22 3 2 2 3" xfId="47119" xr:uid="{00000000-0005-0000-0000-0000AC920000}"/>
    <cellStyle name="Normal 22 3 2 2 4" xfId="31019" xr:uid="{00000000-0005-0000-0000-0000AD920000}"/>
    <cellStyle name="Normal 22 3 2 2 5" xfId="21450" xr:uid="{00000000-0005-0000-0000-0000AE920000}"/>
    <cellStyle name="Normal 22 3 2 3" xfId="11881" xr:uid="{00000000-0005-0000-0000-0000AF920000}"/>
    <cellStyle name="Normal 22 3 2 3 2" xfId="50155" xr:uid="{00000000-0005-0000-0000-0000B0920000}"/>
    <cellStyle name="Normal 22 3 2 3 3" xfId="34055" xr:uid="{00000000-0005-0000-0000-0000B1920000}"/>
    <cellStyle name="Normal 22 3 2 3 4" xfId="24486" xr:uid="{00000000-0005-0000-0000-0000B2920000}"/>
    <cellStyle name="Normal 22 3 2 4" xfId="5809" xr:uid="{00000000-0005-0000-0000-0000B3920000}"/>
    <cellStyle name="Normal 22 3 2 4 2" xfId="53650" xr:uid="{00000000-0005-0000-0000-0000B4920000}"/>
    <cellStyle name="Normal 22 3 2 4 3" xfId="37550" xr:uid="{00000000-0005-0000-0000-0000B5920000}"/>
    <cellStyle name="Normal 22 3 2 4 4" xfId="18414" xr:uid="{00000000-0005-0000-0000-0000B6920000}"/>
    <cellStyle name="Normal 22 3 2 5" xfId="44083" xr:uid="{00000000-0005-0000-0000-0000B7920000}"/>
    <cellStyle name="Normal 22 3 2 6" xfId="27983" xr:uid="{00000000-0005-0000-0000-0000B8920000}"/>
    <cellStyle name="Normal 22 3 2 7" xfId="14919" xr:uid="{00000000-0005-0000-0000-0000B9920000}"/>
    <cellStyle name="Normal 22 3 3" xfId="1523" xr:uid="{00000000-0005-0000-0000-0000BA920000}"/>
    <cellStyle name="Normal 22 3 3 2" xfId="8057" xr:uid="{00000000-0005-0000-0000-0000BB920000}"/>
    <cellStyle name="Normal 22 3 3 2 2" xfId="39798" xr:uid="{00000000-0005-0000-0000-0000BC920000}"/>
    <cellStyle name="Normal 22 3 3 2 2 2" xfId="55898" xr:uid="{00000000-0005-0000-0000-0000BD920000}"/>
    <cellStyle name="Normal 22 3 3 2 3" xfId="46331" xr:uid="{00000000-0005-0000-0000-0000BE920000}"/>
    <cellStyle name="Normal 22 3 3 2 4" xfId="30231" xr:uid="{00000000-0005-0000-0000-0000BF920000}"/>
    <cellStyle name="Normal 22 3 3 2 5" xfId="20662" xr:uid="{00000000-0005-0000-0000-0000C0920000}"/>
    <cellStyle name="Normal 22 3 3 3" xfId="11093" xr:uid="{00000000-0005-0000-0000-0000C1920000}"/>
    <cellStyle name="Normal 22 3 3 3 2" xfId="49367" xr:uid="{00000000-0005-0000-0000-0000C2920000}"/>
    <cellStyle name="Normal 22 3 3 3 3" xfId="33267" xr:uid="{00000000-0005-0000-0000-0000C3920000}"/>
    <cellStyle name="Normal 22 3 3 3 4" xfId="23698" xr:uid="{00000000-0005-0000-0000-0000C4920000}"/>
    <cellStyle name="Normal 22 3 3 4" xfId="5021" xr:uid="{00000000-0005-0000-0000-0000C5920000}"/>
    <cellStyle name="Normal 22 3 3 4 2" xfId="52862" xr:uid="{00000000-0005-0000-0000-0000C6920000}"/>
    <cellStyle name="Normal 22 3 3 4 3" xfId="36762" xr:uid="{00000000-0005-0000-0000-0000C7920000}"/>
    <cellStyle name="Normal 22 3 3 4 4" xfId="17626" xr:uid="{00000000-0005-0000-0000-0000C8920000}"/>
    <cellStyle name="Normal 22 3 3 5" xfId="43295" xr:uid="{00000000-0005-0000-0000-0000C9920000}"/>
    <cellStyle name="Normal 22 3 3 6" xfId="27195" xr:uid="{00000000-0005-0000-0000-0000CA920000}"/>
    <cellStyle name="Normal 22 3 3 7" xfId="14131" xr:uid="{00000000-0005-0000-0000-0000CB920000}"/>
    <cellStyle name="Normal 22 3 4" xfId="7047" xr:uid="{00000000-0005-0000-0000-0000CC920000}"/>
    <cellStyle name="Normal 22 3 4 2" xfId="38788" xr:uid="{00000000-0005-0000-0000-0000CD920000}"/>
    <cellStyle name="Normal 22 3 4 2 2" xfId="54888" xr:uid="{00000000-0005-0000-0000-0000CE920000}"/>
    <cellStyle name="Normal 22 3 4 3" xfId="45321" xr:uid="{00000000-0005-0000-0000-0000CF920000}"/>
    <cellStyle name="Normal 22 3 4 4" xfId="29221" xr:uid="{00000000-0005-0000-0000-0000D0920000}"/>
    <cellStyle name="Normal 22 3 4 5" xfId="19652" xr:uid="{00000000-0005-0000-0000-0000D1920000}"/>
    <cellStyle name="Normal 22 3 5" xfId="10083" xr:uid="{00000000-0005-0000-0000-0000D2920000}"/>
    <cellStyle name="Normal 22 3 5 2" xfId="48357" xr:uid="{00000000-0005-0000-0000-0000D3920000}"/>
    <cellStyle name="Normal 22 3 5 3" xfId="32257" xr:uid="{00000000-0005-0000-0000-0000D4920000}"/>
    <cellStyle name="Normal 22 3 5 4" xfId="22688" xr:uid="{00000000-0005-0000-0000-0000D5920000}"/>
    <cellStyle name="Normal 22 3 6" xfId="4011" xr:uid="{00000000-0005-0000-0000-0000D6920000}"/>
    <cellStyle name="Normal 22 3 6 2" xfId="51852" xr:uid="{00000000-0005-0000-0000-0000D7920000}"/>
    <cellStyle name="Normal 22 3 6 3" xfId="35752" xr:uid="{00000000-0005-0000-0000-0000D8920000}"/>
    <cellStyle name="Normal 22 3 6 4" xfId="16616" xr:uid="{00000000-0005-0000-0000-0000D9920000}"/>
    <cellStyle name="Normal 22 3 7" xfId="42285" xr:uid="{00000000-0005-0000-0000-0000DA920000}"/>
    <cellStyle name="Normal 22 3 8" xfId="26185" xr:uid="{00000000-0005-0000-0000-0000DB920000}"/>
    <cellStyle name="Normal 22 3 9" xfId="13121" xr:uid="{00000000-0005-0000-0000-0000DC920000}"/>
    <cellStyle name="Normal 22 4" xfId="549" xr:uid="{00000000-0005-0000-0000-0000DD920000}"/>
    <cellStyle name="Normal 22 4 2" xfId="2579" xr:uid="{00000000-0005-0000-0000-0000DE920000}"/>
    <cellStyle name="Normal 22 4 2 2" xfId="9111" xr:uid="{00000000-0005-0000-0000-0000DF920000}"/>
    <cellStyle name="Normal 22 4 2 2 2" xfId="40852" xr:uid="{00000000-0005-0000-0000-0000E0920000}"/>
    <cellStyle name="Normal 22 4 2 2 2 2" xfId="56952" xr:uid="{00000000-0005-0000-0000-0000E1920000}"/>
    <cellStyle name="Normal 22 4 2 2 3" xfId="47385" xr:uid="{00000000-0005-0000-0000-0000E2920000}"/>
    <cellStyle name="Normal 22 4 2 2 4" xfId="31285" xr:uid="{00000000-0005-0000-0000-0000E3920000}"/>
    <cellStyle name="Normal 22 4 2 2 5" xfId="21716" xr:uid="{00000000-0005-0000-0000-0000E4920000}"/>
    <cellStyle name="Normal 22 4 2 3" xfId="12147" xr:uid="{00000000-0005-0000-0000-0000E5920000}"/>
    <cellStyle name="Normal 22 4 2 3 2" xfId="50421" xr:uid="{00000000-0005-0000-0000-0000E6920000}"/>
    <cellStyle name="Normal 22 4 2 3 3" xfId="34321" xr:uid="{00000000-0005-0000-0000-0000E7920000}"/>
    <cellStyle name="Normal 22 4 2 3 4" xfId="24752" xr:uid="{00000000-0005-0000-0000-0000E8920000}"/>
    <cellStyle name="Normal 22 4 2 4" xfId="6075" xr:uid="{00000000-0005-0000-0000-0000E9920000}"/>
    <cellStyle name="Normal 22 4 2 4 2" xfId="53916" xr:uid="{00000000-0005-0000-0000-0000EA920000}"/>
    <cellStyle name="Normal 22 4 2 4 3" xfId="37816" xr:uid="{00000000-0005-0000-0000-0000EB920000}"/>
    <cellStyle name="Normal 22 4 2 4 4" xfId="18680" xr:uid="{00000000-0005-0000-0000-0000EC920000}"/>
    <cellStyle name="Normal 22 4 2 5" xfId="44349" xr:uid="{00000000-0005-0000-0000-0000ED920000}"/>
    <cellStyle name="Normal 22 4 2 6" xfId="28249" xr:uid="{00000000-0005-0000-0000-0000EE920000}"/>
    <cellStyle name="Normal 22 4 2 7" xfId="15185" xr:uid="{00000000-0005-0000-0000-0000EF920000}"/>
    <cellStyle name="Normal 22 4 3" xfId="1346" xr:uid="{00000000-0005-0000-0000-0000F0920000}"/>
    <cellStyle name="Normal 22 4 3 2" xfId="7880" xr:uid="{00000000-0005-0000-0000-0000F1920000}"/>
    <cellStyle name="Normal 22 4 3 2 2" xfId="39621" xr:uid="{00000000-0005-0000-0000-0000F2920000}"/>
    <cellStyle name="Normal 22 4 3 2 2 2" xfId="55721" xr:uid="{00000000-0005-0000-0000-0000F3920000}"/>
    <cellStyle name="Normal 22 4 3 2 3" xfId="46154" xr:uid="{00000000-0005-0000-0000-0000F4920000}"/>
    <cellStyle name="Normal 22 4 3 2 4" xfId="30054" xr:uid="{00000000-0005-0000-0000-0000F5920000}"/>
    <cellStyle name="Normal 22 4 3 2 5" xfId="20485" xr:uid="{00000000-0005-0000-0000-0000F6920000}"/>
    <cellStyle name="Normal 22 4 3 3" xfId="10916" xr:uid="{00000000-0005-0000-0000-0000F7920000}"/>
    <cellStyle name="Normal 22 4 3 3 2" xfId="49190" xr:uid="{00000000-0005-0000-0000-0000F8920000}"/>
    <cellStyle name="Normal 22 4 3 3 3" xfId="33090" xr:uid="{00000000-0005-0000-0000-0000F9920000}"/>
    <cellStyle name="Normal 22 4 3 3 4" xfId="23521" xr:uid="{00000000-0005-0000-0000-0000FA920000}"/>
    <cellStyle name="Normal 22 4 3 4" xfId="4844" xr:uid="{00000000-0005-0000-0000-0000FB920000}"/>
    <cellStyle name="Normal 22 4 3 4 2" xfId="52685" xr:uid="{00000000-0005-0000-0000-0000FC920000}"/>
    <cellStyle name="Normal 22 4 3 4 3" xfId="36585" xr:uid="{00000000-0005-0000-0000-0000FD920000}"/>
    <cellStyle name="Normal 22 4 3 4 4" xfId="17449" xr:uid="{00000000-0005-0000-0000-0000FE920000}"/>
    <cellStyle name="Normal 22 4 3 5" xfId="43118" xr:uid="{00000000-0005-0000-0000-0000FF920000}"/>
    <cellStyle name="Normal 22 4 3 6" xfId="27018" xr:uid="{00000000-0005-0000-0000-000000930000}"/>
    <cellStyle name="Normal 22 4 3 7" xfId="13954" xr:uid="{00000000-0005-0000-0000-000001930000}"/>
    <cellStyle name="Normal 22 4 4" xfId="6870" xr:uid="{00000000-0005-0000-0000-000002930000}"/>
    <cellStyle name="Normal 22 4 4 2" xfId="38611" xr:uid="{00000000-0005-0000-0000-000003930000}"/>
    <cellStyle name="Normal 22 4 4 2 2" xfId="54711" xr:uid="{00000000-0005-0000-0000-000004930000}"/>
    <cellStyle name="Normal 22 4 4 3" xfId="45144" xr:uid="{00000000-0005-0000-0000-000005930000}"/>
    <cellStyle name="Normal 22 4 4 4" xfId="29044" xr:uid="{00000000-0005-0000-0000-000006930000}"/>
    <cellStyle name="Normal 22 4 4 5" xfId="19475" xr:uid="{00000000-0005-0000-0000-000007930000}"/>
    <cellStyle name="Normal 22 4 5" xfId="9906" xr:uid="{00000000-0005-0000-0000-000008930000}"/>
    <cellStyle name="Normal 22 4 5 2" xfId="48180" xr:uid="{00000000-0005-0000-0000-000009930000}"/>
    <cellStyle name="Normal 22 4 5 3" xfId="32080" xr:uid="{00000000-0005-0000-0000-00000A930000}"/>
    <cellStyle name="Normal 22 4 5 4" xfId="22511" xr:uid="{00000000-0005-0000-0000-00000B930000}"/>
    <cellStyle name="Normal 22 4 6" xfId="3834" xr:uid="{00000000-0005-0000-0000-00000C930000}"/>
    <cellStyle name="Normal 22 4 6 2" xfId="51675" xr:uid="{00000000-0005-0000-0000-00000D930000}"/>
    <cellStyle name="Normal 22 4 6 3" xfId="35575" xr:uid="{00000000-0005-0000-0000-00000E930000}"/>
    <cellStyle name="Normal 22 4 6 4" xfId="16439" xr:uid="{00000000-0005-0000-0000-00000F930000}"/>
    <cellStyle name="Normal 22 4 7" xfId="42108" xr:uid="{00000000-0005-0000-0000-000010930000}"/>
    <cellStyle name="Normal 22 4 8" xfId="26008" xr:uid="{00000000-0005-0000-0000-000011930000}"/>
    <cellStyle name="Normal 22 4 9" xfId="12944" xr:uid="{00000000-0005-0000-0000-000012930000}"/>
    <cellStyle name="Normal 22 5" xfId="2134" xr:uid="{00000000-0005-0000-0000-000013930000}"/>
    <cellStyle name="Normal 22 5 2" xfId="2418" xr:uid="{00000000-0005-0000-0000-000014930000}"/>
    <cellStyle name="Normal 22 5 3" xfId="8668" xr:uid="{00000000-0005-0000-0000-000015930000}"/>
    <cellStyle name="Normal 22 5 3 2" xfId="40409" xr:uid="{00000000-0005-0000-0000-000016930000}"/>
    <cellStyle name="Normal 22 5 3 2 2" xfId="56509" xr:uid="{00000000-0005-0000-0000-000017930000}"/>
    <cellStyle name="Normal 22 5 3 3" xfId="46942" xr:uid="{00000000-0005-0000-0000-000018930000}"/>
    <cellStyle name="Normal 22 5 3 4" xfId="30842" xr:uid="{00000000-0005-0000-0000-000019930000}"/>
    <cellStyle name="Normal 22 5 3 5" xfId="21273" xr:uid="{00000000-0005-0000-0000-00001A930000}"/>
    <cellStyle name="Normal 22 5 4" xfId="11704" xr:uid="{00000000-0005-0000-0000-00001B930000}"/>
    <cellStyle name="Normal 22 5 4 2" xfId="49978" xr:uid="{00000000-0005-0000-0000-00001C930000}"/>
    <cellStyle name="Normal 22 5 4 3" xfId="33878" xr:uid="{00000000-0005-0000-0000-00001D930000}"/>
    <cellStyle name="Normal 22 5 4 4" xfId="24309" xr:uid="{00000000-0005-0000-0000-00001E930000}"/>
    <cellStyle name="Normal 22 5 5" xfId="5632" xr:uid="{00000000-0005-0000-0000-00001F930000}"/>
    <cellStyle name="Normal 22 5 5 2" xfId="53473" xr:uid="{00000000-0005-0000-0000-000020930000}"/>
    <cellStyle name="Normal 22 5 5 3" xfId="37373" xr:uid="{00000000-0005-0000-0000-000021930000}"/>
    <cellStyle name="Normal 22 5 5 4" xfId="18237" xr:uid="{00000000-0005-0000-0000-000022930000}"/>
    <cellStyle name="Normal 22 5 6" xfId="43906" xr:uid="{00000000-0005-0000-0000-000023930000}"/>
    <cellStyle name="Normal 22 5 7" xfId="27806" xr:uid="{00000000-0005-0000-0000-000024930000}"/>
    <cellStyle name="Normal 22 5 8" xfId="14742" xr:uid="{00000000-0005-0000-0000-000025930000}"/>
    <cellStyle name="Normal 22 6" xfId="399" xr:uid="{00000000-0005-0000-0000-000026930000}"/>
    <cellStyle name="Normal 23" xfId="147" xr:uid="{00000000-0005-0000-0000-000027930000}"/>
    <cellStyle name="Normal 23 2" xfId="585" xr:uid="{00000000-0005-0000-0000-000028930000}"/>
    <cellStyle name="Normal 23 3" xfId="421" xr:uid="{00000000-0005-0000-0000-000029930000}"/>
    <cellStyle name="Normal 24" xfId="12650" xr:uid="{00000000-0005-0000-0000-00002A930000}"/>
    <cellStyle name="Normal 24 2" xfId="57455" xr:uid="{00000000-0005-0000-0000-00002B930000}"/>
    <cellStyle name="Normal 24 3" xfId="41355" xr:uid="{00000000-0005-0000-0000-00002C930000}"/>
    <cellStyle name="Normal 24 4" xfId="25255" xr:uid="{00000000-0005-0000-0000-00002D930000}"/>
    <cellStyle name="Normal 25" xfId="12651" xr:uid="{00000000-0005-0000-0000-00002E930000}"/>
    <cellStyle name="Normal 25 2" xfId="57456" xr:uid="{00000000-0005-0000-0000-00002F930000}"/>
    <cellStyle name="Normal 25 3" xfId="41356" xr:uid="{00000000-0005-0000-0000-000030930000}"/>
    <cellStyle name="Normal 25 4" xfId="25256" xr:uid="{00000000-0005-0000-0000-000031930000}"/>
    <cellStyle name="Normal 3" xfId="11" xr:uid="{00000000-0005-0000-0000-000032930000}"/>
    <cellStyle name="Normal 3 2" xfId="38" xr:uid="{00000000-0005-0000-0000-000033930000}"/>
    <cellStyle name="Normal 4" xfId="13" xr:uid="{00000000-0005-0000-0000-000034930000}"/>
    <cellStyle name="Normal 4 10" xfId="490" xr:uid="{00000000-0005-0000-0000-000035930000}"/>
    <cellStyle name="Normal 4 10 10" xfId="41573" xr:uid="{00000000-0005-0000-0000-000036930000}"/>
    <cellStyle name="Normal 4 10 11" xfId="25473" xr:uid="{00000000-0005-0000-0000-000037930000}"/>
    <cellStyle name="Normal 4 10 12" xfId="12868" xr:uid="{00000000-0005-0000-0000-000038930000}"/>
    <cellStyle name="Normal 4 10 2" xfId="943" xr:uid="{00000000-0005-0000-0000-000039930000}"/>
    <cellStyle name="Normal 4 10 2 10" xfId="13551" xr:uid="{00000000-0005-0000-0000-00003A930000}"/>
    <cellStyle name="Normal 4 10 2 2" xfId="2971" xr:uid="{00000000-0005-0000-0000-00003B930000}"/>
    <cellStyle name="Normal 4 10 2 2 2" xfId="9503" xr:uid="{00000000-0005-0000-0000-00003C930000}"/>
    <cellStyle name="Normal 4 10 2 2 2 2" xfId="41244" xr:uid="{00000000-0005-0000-0000-00003D930000}"/>
    <cellStyle name="Normal 4 10 2 2 2 2 2" xfId="57344" xr:uid="{00000000-0005-0000-0000-00003E930000}"/>
    <cellStyle name="Normal 4 10 2 2 2 3" xfId="47777" xr:uid="{00000000-0005-0000-0000-00003F930000}"/>
    <cellStyle name="Normal 4 10 2 2 2 4" xfId="31677" xr:uid="{00000000-0005-0000-0000-000040930000}"/>
    <cellStyle name="Normal 4 10 2 2 2 5" xfId="22108" xr:uid="{00000000-0005-0000-0000-000041930000}"/>
    <cellStyle name="Normal 4 10 2 2 3" xfId="12539" xr:uid="{00000000-0005-0000-0000-000042930000}"/>
    <cellStyle name="Normal 4 10 2 2 3 2" xfId="50813" xr:uid="{00000000-0005-0000-0000-000043930000}"/>
    <cellStyle name="Normal 4 10 2 2 3 3" xfId="34713" xr:uid="{00000000-0005-0000-0000-000044930000}"/>
    <cellStyle name="Normal 4 10 2 2 3 4" xfId="25144" xr:uid="{00000000-0005-0000-0000-000045930000}"/>
    <cellStyle name="Normal 4 10 2 2 4" xfId="6467" xr:uid="{00000000-0005-0000-0000-000046930000}"/>
    <cellStyle name="Normal 4 10 2 2 4 2" xfId="54308" xr:uid="{00000000-0005-0000-0000-000047930000}"/>
    <cellStyle name="Normal 4 10 2 2 4 3" xfId="38208" xr:uid="{00000000-0005-0000-0000-000048930000}"/>
    <cellStyle name="Normal 4 10 2 2 4 4" xfId="19072" xr:uid="{00000000-0005-0000-0000-000049930000}"/>
    <cellStyle name="Normal 4 10 2 2 5" xfId="44741" xr:uid="{00000000-0005-0000-0000-00004A930000}"/>
    <cellStyle name="Normal 4 10 2 2 6" xfId="28641" xr:uid="{00000000-0005-0000-0000-00004B930000}"/>
    <cellStyle name="Normal 4 10 2 2 7" xfId="15577" xr:uid="{00000000-0005-0000-0000-00004C930000}"/>
    <cellStyle name="Normal 4 10 2 3" xfId="1953" xr:uid="{00000000-0005-0000-0000-00004D930000}"/>
    <cellStyle name="Normal 4 10 2 3 2" xfId="8487" xr:uid="{00000000-0005-0000-0000-00004E930000}"/>
    <cellStyle name="Normal 4 10 2 3 2 2" xfId="40228" xr:uid="{00000000-0005-0000-0000-00004F930000}"/>
    <cellStyle name="Normal 4 10 2 3 2 2 2" xfId="56328" xr:uid="{00000000-0005-0000-0000-000050930000}"/>
    <cellStyle name="Normal 4 10 2 3 2 3" xfId="46761" xr:uid="{00000000-0005-0000-0000-000051930000}"/>
    <cellStyle name="Normal 4 10 2 3 2 4" xfId="30661" xr:uid="{00000000-0005-0000-0000-000052930000}"/>
    <cellStyle name="Normal 4 10 2 3 2 5" xfId="21092" xr:uid="{00000000-0005-0000-0000-000053930000}"/>
    <cellStyle name="Normal 4 10 2 3 3" xfId="11523" xr:uid="{00000000-0005-0000-0000-000054930000}"/>
    <cellStyle name="Normal 4 10 2 3 3 2" xfId="49797" xr:uid="{00000000-0005-0000-0000-000055930000}"/>
    <cellStyle name="Normal 4 10 2 3 3 3" xfId="33697" xr:uid="{00000000-0005-0000-0000-000056930000}"/>
    <cellStyle name="Normal 4 10 2 3 3 4" xfId="24128" xr:uid="{00000000-0005-0000-0000-000057930000}"/>
    <cellStyle name="Normal 4 10 2 3 4" xfId="5451" xr:uid="{00000000-0005-0000-0000-000058930000}"/>
    <cellStyle name="Normal 4 10 2 3 4 2" xfId="53292" xr:uid="{00000000-0005-0000-0000-000059930000}"/>
    <cellStyle name="Normal 4 10 2 3 4 3" xfId="37192" xr:uid="{00000000-0005-0000-0000-00005A930000}"/>
    <cellStyle name="Normal 4 10 2 3 4 4" xfId="18056" xr:uid="{00000000-0005-0000-0000-00005B930000}"/>
    <cellStyle name="Normal 4 10 2 3 5" xfId="43725" xr:uid="{00000000-0005-0000-0000-00005C930000}"/>
    <cellStyle name="Normal 4 10 2 3 6" xfId="27625" xr:uid="{00000000-0005-0000-0000-00005D930000}"/>
    <cellStyle name="Normal 4 10 2 3 7" xfId="14561" xr:uid="{00000000-0005-0000-0000-00005E930000}"/>
    <cellStyle name="Normal 4 10 2 4" xfId="4441" xr:uid="{00000000-0005-0000-0000-00005F930000}"/>
    <cellStyle name="Normal 4 10 2 4 2" xfId="36182" xr:uid="{00000000-0005-0000-0000-000060930000}"/>
    <cellStyle name="Normal 4 10 2 4 2 2" xfId="52282" xr:uid="{00000000-0005-0000-0000-000061930000}"/>
    <cellStyle name="Normal 4 10 2 4 3" xfId="42715" xr:uid="{00000000-0005-0000-0000-000062930000}"/>
    <cellStyle name="Normal 4 10 2 4 4" xfId="26615" xr:uid="{00000000-0005-0000-0000-000063930000}"/>
    <cellStyle name="Normal 4 10 2 4 5" xfId="17046" xr:uid="{00000000-0005-0000-0000-000064930000}"/>
    <cellStyle name="Normal 4 10 2 5" xfId="7477" xr:uid="{00000000-0005-0000-0000-000065930000}"/>
    <cellStyle name="Normal 4 10 2 5 2" xfId="39218" xr:uid="{00000000-0005-0000-0000-000066930000}"/>
    <cellStyle name="Normal 4 10 2 5 2 2" xfId="55318" xr:uid="{00000000-0005-0000-0000-000067930000}"/>
    <cellStyle name="Normal 4 10 2 5 3" xfId="45751" xr:uid="{00000000-0005-0000-0000-000068930000}"/>
    <cellStyle name="Normal 4 10 2 5 4" xfId="29651" xr:uid="{00000000-0005-0000-0000-000069930000}"/>
    <cellStyle name="Normal 4 10 2 5 5" xfId="20082" xr:uid="{00000000-0005-0000-0000-00006A930000}"/>
    <cellStyle name="Normal 4 10 2 6" xfId="10513" xr:uid="{00000000-0005-0000-0000-00006B930000}"/>
    <cellStyle name="Normal 4 10 2 6 2" xfId="48787" xr:uid="{00000000-0005-0000-0000-00006C930000}"/>
    <cellStyle name="Normal 4 10 2 6 3" xfId="32687" xr:uid="{00000000-0005-0000-0000-00006D930000}"/>
    <cellStyle name="Normal 4 10 2 6 4" xfId="23118" xr:uid="{00000000-0005-0000-0000-00006E930000}"/>
    <cellStyle name="Normal 4 10 2 7" xfId="3536" xr:uid="{00000000-0005-0000-0000-00006F930000}"/>
    <cellStyle name="Normal 4 10 2 7 2" xfId="51377" xr:uid="{00000000-0005-0000-0000-000070930000}"/>
    <cellStyle name="Normal 4 10 2 7 3" xfId="35277" xr:uid="{00000000-0005-0000-0000-000071930000}"/>
    <cellStyle name="Normal 4 10 2 7 4" xfId="16141" xr:uid="{00000000-0005-0000-0000-000072930000}"/>
    <cellStyle name="Normal 4 10 2 8" xfId="41810" xr:uid="{00000000-0005-0000-0000-000073930000}"/>
    <cellStyle name="Normal 4 10 2 9" xfId="25710" xr:uid="{00000000-0005-0000-0000-000074930000}"/>
    <cellStyle name="Normal 4 10 3" xfId="721" xr:uid="{00000000-0005-0000-0000-000075930000}"/>
    <cellStyle name="Normal 4 10 3 2" xfId="2749" xr:uid="{00000000-0005-0000-0000-000076930000}"/>
    <cellStyle name="Normal 4 10 3 2 2" xfId="9281" xr:uid="{00000000-0005-0000-0000-000077930000}"/>
    <cellStyle name="Normal 4 10 3 2 2 2" xfId="41022" xr:uid="{00000000-0005-0000-0000-000078930000}"/>
    <cellStyle name="Normal 4 10 3 2 2 2 2" xfId="57122" xr:uid="{00000000-0005-0000-0000-000079930000}"/>
    <cellStyle name="Normal 4 10 3 2 2 3" xfId="47555" xr:uid="{00000000-0005-0000-0000-00007A930000}"/>
    <cellStyle name="Normal 4 10 3 2 2 4" xfId="31455" xr:uid="{00000000-0005-0000-0000-00007B930000}"/>
    <cellStyle name="Normal 4 10 3 2 2 5" xfId="21886" xr:uid="{00000000-0005-0000-0000-00007C930000}"/>
    <cellStyle name="Normal 4 10 3 2 3" xfId="12317" xr:uid="{00000000-0005-0000-0000-00007D930000}"/>
    <cellStyle name="Normal 4 10 3 2 3 2" xfId="50591" xr:uid="{00000000-0005-0000-0000-00007E930000}"/>
    <cellStyle name="Normal 4 10 3 2 3 3" xfId="34491" xr:uid="{00000000-0005-0000-0000-00007F930000}"/>
    <cellStyle name="Normal 4 10 3 2 3 4" xfId="24922" xr:uid="{00000000-0005-0000-0000-000080930000}"/>
    <cellStyle name="Normal 4 10 3 2 4" xfId="6245" xr:uid="{00000000-0005-0000-0000-000081930000}"/>
    <cellStyle name="Normal 4 10 3 2 4 2" xfId="54086" xr:uid="{00000000-0005-0000-0000-000082930000}"/>
    <cellStyle name="Normal 4 10 3 2 4 3" xfId="37986" xr:uid="{00000000-0005-0000-0000-000083930000}"/>
    <cellStyle name="Normal 4 10 3 2 4 4" xfId="18850" xr:uid="{00000000-0005-0000-0000-000084930000}"/>
    <cellStyle name="Normal 4 10 3 2 5" xfId="44519" xr:uid="{00000000-0005-0000-0000-000085930000}"/>
    <cellStyle name="Normal 4 10 3 2 6" xfId="28419" xr:uid="{00000000-0005-0000-0000-000086930000}"/>
    <cellStyle name="Normal 4 10 3 2 7" xfId="15355" xr:uid="{00000000-0005-0000-0000-000087930000}"/>
    <cellStyle name="Normal 4 10 3 3" xfId="1731" xr:uid="{00000000-0005-0000-0000-000088930000}"/>
    <cellStyle name="Normal 4 10 3 3 2" xfId="8265" xr:uid="{00000000-0005-0000-0000-000089930000}"/>
    <cellStyle name="Normal 4 10 3 3 2 2" xfId="40006" xr:uid="{00000000-0005-0000-0000-00008A930000}"/>
    <cellStyle name="Normal 4 10 3 3 2 2 2" xfId="56106" xr:uid="{00000000-0005-0000-0000-00008B930000}"/>
    <cellStyle name="Normal 4 10 3 3 2 3" xfId="46539" xr:uid="{00000000-0005-0000-0000-00008C930000}"/>
    <cellStyle name="Normal 4 10 3 3 2 4" xfId="30439" xr:uid="{00000000-0005-0000-0000-00008D930000}"/>
    <cellStyle name="Normal 4 10 3 3 2 5" xfId="20870" xr:uid="{00000000-0005-0000-0000-00008E930000}"/>
    <cellStyle name="Normal 4 10 3 3 3" xfId="11301" xr:uid="{00000000-0005-0000-0000-00008F930000}"/>
    <cellStyle name="Normal 4 10 3 3 3 2" xfId="49575" xr:uid="{00000000-0005-0000-0000-000090930000}"/>
    <cellStyle name="Normal 4 10 3 3 3 3" xfId="33475" xr:uid="{00000000-0005-0000-0000-000091930000}"/>
    <cellStyle name="Normal 4 10 3 3 3 4" xfId="23906" xr:uid="{00000000-0005-0000-0000-000092930000}"/>
    <cellStyle name="Normal 4 10 3 3 4" xfId="5229" xr:uid="{00000000-0005-0000-0000-000093930000}"/>
    <cellStyle name="Normal 4 10 3 3 4 2" xfId="53070" xr:uid="{00000000-0005-0000-0000-000094930000}"/>
    <cellStyle name="Normal 4 10 3 3 4 3" xfId="36970" xr:uid="{00000000-0005-0000-0000-000095930000}"/>
    <cellStyle name="Normal 4 10 3 3 4 4" xfId="17834" xr:uid="{00000000-0005-0000-0000-000096930000}"/>
    <cellStyle name="Normal 4 10 3 3 5" xfId="43503" xr:uid="{00000000-0005-0000-0000-000097930000}"/>
    <cellStyle name="Normal 4 10 3 3 6" xfId="27403" xr:uid="{00000000-0005-0000-0000-000098930000}"/>
    <cellStyle name="Normal 4 10 3 3 7" xfId="14339" xr:uid="{00000000-0005-0000-0000-000099930000}"/>
    <cellStyle name="Normal 4 10 3 4" xfId="7255" xr:uid="{00000000-0005-0000-0000-00009A930000}"/>
    <cellStyle name="Normal 4 10 3 4 2" xfId="38996" xr:uid="{00000000-0005-0000-0000-00009B930000}"/>
    <cellStyle name="Normal 4 10 3 4 2 2" xfId="55096" xr:uid="{00000000-0005-0000-0000-00009C930000}"/>
    <cellStyle name="Normal 4 10 3 4 3" xfId="45529" xr:uid="{00000000-0005-0000-0000-00009D930000}"/>
    <cellStyle name="Normal 4 10 3 4 4" xfId="29429" xr:uid="{00000000-0005-0000-0000-00009E930000}"/>
    <cellStyle name="Normal 4 10 3 4 5" xfId="19860" xr:uid="{00000000-0005-0000-0000-00009F930000}"/>
    <cellStyle name="Normal 4 10 3 5" xfId="10291" xr:uid="{00000000-0005-0000-0000-0000A0930000}"/>
    <cellStyle name="Normal 4 10 3 5 2" xfId="48565" xr:uid="{00000000-0005-0000-0000-0000A1930000}"/>
    <cellStyle name="Normal 4 10 3 5 3" xfId="32465" xr:uid="{00000000-0005-0000-0000-0000A2930000}"/>
    <cellStyle name="Normal 4 10 3 5 4" xfId="22896" xr:uid="{00000000-0005-0000-0000-0000A3930000}"/>
    <cellStyle name="Normal 4 10 3 6" xfId="4219" xr:uid="{00000000-0005-0000-0000-0000A4930000}"/>
    <cellStyle name="Normal 4 10 3 6 2" xfId="52060" xr:uid="{00000000-0005-0000-0000-0000A5930000}"/>
    <cellStyle name="Normal 4 10 3 6 3" xfId="35960" xr:uid="{00000000-0005-0000-0000-0000A6930000}"/>
    <cellStyle name="Normal 4 10 3 6 4" xfId="16824" xr:uid="{00000000-0005-0000-0000-0000A7930000}"/>
    <cellStyle name="Normal 4 10 3 7" xfId="42493" xr:uid="{00000000-0005-0000-0000-0000A8930000}"/>
    <cellStyle name="Normal 4 10 3 8" xfId="26393" xr:uid="{00000000-0005-0000-0000-0000A9930000}"/>
    <cellStyle name="Normal 4 10 3 9" xfId="13329" xr:uid="{00000000-0005-0000-0000-0000AA930000}"/>
    <cellStyle name="Normal 4 10 4" xfId="2521" xr:uid="{00000000-0005-0000-0000-0000AB930000}"/>
    <cellStyle name="Normal 4 10 4 2" xfId="9053" xr:uid="{00000000-0005-0000-0000-0000AC930000}"/>
    <cellStyle name="Normal 4 10 4 2 2" xfId="40794" xr:uid="{00000000-0005-0000-0000-0000AD930000}"/>
    <cellStyle name="Normal 4 10 4 2 2 2" xfId="56894" xr:uid="{00000000-0005-0000-0000-0000AE930000}"/>
    <cellStyle name="Normal 4 10 4 2 3" xfId="47327" xr:uid="{00000000-0005-0000-0000-0000AF930000}"/>
    <cellStyle name="Normal 4 10 4 2 4" xfId="31227" xr:uid="{00000000-0005-0000-0000-0000B0930000}"/>
    <cellStyle name="Normal 4 10 4 2 5" xfId="21658" xr:uid="{00000000-0005-0000-0000-0000B1930000}"/>
    <cellStyle name="Normal 4 10 4 3" xfId="12089" xr:uid="{00000000-0005-0000-0000-0000B2930000}"/>
    <cellStyle name="Normal 4 10 4 3 2" xfId="50363" xr:uid="{00000000-0005-0000-0000-0000B3930000}"/>
    <cellStyle name="Normal 4 10 4 3 3" xfId="34263" xr:uid="{00000000-0005-0000-0000-0000B4930000}"/>
    <cellStyle name="Normal 4 10 4 3 4" xfId="24694" xr:uid="{00000000-0005-0000-0000-0000B5930000}"/>
    <cellStyle name="Normal 4 10 4 4" xfId="6017" xr:uid="{00000000-0005-0000-0000-0000B6930000}"/>
    <cellStyle name="Normal 4 10 4 4 2" xfId="53858" xr:uid="{00000000-0005-0000-0000-0000B7930000}"/>
    <cellStyle name="Normal 4 10 4 4 3" xfId="37758" xr:uid="{00000000-0005-0000-0000-0000B8930000}"/>
    <cellStyle name="Normal 4 10 4 4 4" xfId="18622" xr:uid="{00000000-0005-0000-0000-0000B9930000}"/>
    <cellStyle name="Normal 4 10 4 5" xfId="44291" xr:uid="{00000000-0005-0000-0000-0000BA930000}"/>
    <cellStyle name="Normal 4 10 4 6" xfId="28191" xr:uid="{00000000-0005-0000-0000-0000BB930000}"/>
    <cellStyle name="Normal 4 10 4 7" xfId="15127" xr:uid="{00000000-0005-0000-0000-0000BC930000}"/>
    <cellStyle name="Normal 4 10 5" xfId="1270" xr:uid="{00000000-0005-0000-0000-0000BD930000}"/>
    <cellStyle name="Normal 4 10 5 2" xfId="7804" xr:uid="{00000000-0005-0000-0000-0000BE930000}"/>
    <cellStyle name="Normal 4 10 5 2 2" xfId="39545" xr:uid="{00000000-0005-0000-0000-0000BF930000}"/>
    <cellStyle name="Normal 4 10 5 2 2 2" xfId="55645" xr:uid="{00000000-0005-0000-0000-0000C0930000}"/>
    <cellStyle name="Normal 4 10 5 2 3" xfId="46078" xr:uid="{00000000-0005-0000-0000-0000C1930000}"/>
    <cellStyle name="Normal 4 10 5 2 4" xfId="29978" xr:uid="{00000000-0005-0000-0000-0000C2930000}"/>
    <cellStyle name="Normal 4 10 5 2 5" xfId="20409" xr:uid="{00000000-0005-0000-0000-0000C3930000}"/>
    <cellStyle name="Normal 4 10 5 3" xfId="10840" xr:uid="{00000000-0005-0000-0000-0000C4930000}"/>
    <cellStyle name="Normal 4 10 5 3 2" xfId="49114" xr:uid="{00000000-0005-0000-0000-0000C5930000}"/>
    <cellStyle name="Normal 4 10 5 3 3" xfId="33014" xr:uid="{00000000-0005-0000-0000-0000C6930000}"/>
    <cellStyle name="Normal 4 10 5 3 4" xfId="23445" xr:uid="{00000000-0005-0000-0000-0000C7930000}"/>
    <cellStyle name="Normal 4 10 5 4" xfId="4768" xr:uid="{00000000-0005-0000-0000-0000C8930000}"/>
    <cellStyle name="Normal 4 10 5 4 2" xfId="52609" xr:uid="{00000000-0005-0000-0000-0000C9930000}"/>
    <cellStyle name="Normal 4 10 5 4 3" xfId="36509" xr:uid="{00000000-0005-0000-0000-0000CA930000}"/>
    <cellStyle name="Normal 4 10 5 4 4" xfId="17373" xr:uid="{00000000-0005-0000-0000-0000CB930000}"/>
    <cellStyle name="Normal 4 10 5 5" xfId="43042" xr:uid="{00000000-0005-0000-0000-0000CC930000}"/>
    <cellStyle name="Normal 4 10 5 6" xfId="26942" xr:uid="{00000000-0005-0000-0000-0000CD930000}"/>
    <cellStyle name="Normal 4 10 5 7" xfId="13878" xr:uid="{00000000-0005-0000-0000-0000CE930000}"/>
    <cellStyle name="Normal 4 10 6" xfId="3758" xr:uid="{00000000-0005-0000-0000-0000CF930000}"/>
    <cellStyle name="Normal 4 10 6 2" xfId="35499" xr:uid="{00000000-0005-0000-0000-0000D0930000}"/>
    <cellStyle name="Normal 4 10 6 2 2" xfId="51599" xr:uid="{00000000-0005-0000-0000-0000D1930000}"/>
    <cellStyle name="Normal 4 10 6 3" xfId="42032" xr:uid="{00000000-0005-0000-0000-0000D2930000}"/>
    <cellStyle name="Normal 4 10 6 4" xfId="25932" xr:uid="{00000000-0005-0000-0000-0000D3930000}"/>
    <cellStyle name="Normal 4 10 6 5" xfId="16363" xr:uid="{00000000-0005-0000-0000-0000D4930000}"/>
    <cellStyle name="Normal 4 10 7" xfId="6794" xr:uid="{00000000-0005-0000-0000-0000D5930000}"/>
    <cellStyle name="Normal 4 10 7 2" xfId="38535" xr:uid="{00000000-0005-0000-0000-0000D6930000}"/>
    <cellStyle name="Normal 4 10 7 2 2" xfId="54635" xr:uid="{00000000-0005-0000-0000-0000D7930000}"/>
    <cellStyle name="Normal 4 10 7 3" xfId="45068" xr:uid="{00000000-0005-0000-0000-0000D8930000}"/>
    <cellStyle name="Normal 4 10 7 4" xfId="28968" xr:uid="{00000000-0005-0000-0000-0000D9930000}"/>
    <cellStyle name="Normal 4 10 7 5" xfId="19399" xr:uid="{00000000-0005-0000-0000-0000DA930000}"/>
    <cellStyle name="Normal 4 10 8" xfId="9830" xr:uid="{00000000-0005-0000-0000-0000DB930000}"/>
    <cellStyle name="Normal 4 10 8 2" xfId="48104" xr:uid="{00000000-0005-0000-0000-0000DC930000}"/>
    <cellStyle name="Normal 4 10 8 3" xfId="32004" xr:uid="{00000000-0005-0000-0000-0000DD930000}"/>
    <cellStyle name="Normal 4 10 8 4" xfId="22435" xr:uid="{00000000-0005-0000-0000-0000DE930000}"/>
    <cellStyle name="Normal 4 10 9" xfId="3298" xr:uid="{00000000-0005-0000-0000-0000DF930000}"/>
    <cellStyle name="Normal 4 10 9 2" xfId="51140" xr:uid="{00000000-0005-0000-0000-0000E0930000}"/>
    <cellStyle name="Normal 4 10 9 3" xfId="35040" xr:uid="{00000000-0005-0000-0000-0000E1930000}"/>
    <cellStyle name="Normal 4 10 9 4" xfId="15904" xr:uid="{00000000-0005-0000-0000-0000E2930000}"/>
    <cellStyle name="Normal 4 11" xfId="433" xr:uid="{00000000-0005-0000-0000-0000E3930000}"/>
    <cellStyle name="Normal 4 11 10" xfId="41420" xr:uid="{00000000-0005-0000-0000-0000E4930000}"/>
    <cellStyle name="Normal 4 11 11" xfId="25320" xr:uid="{00000000-0005-0000-0000-0000E5930000}"/>
    <cellStyle name="Normal 4 11 12" xfId="12715" xr:uid="{00000000-0005-0000-0000-0000E6930000}"/>
    <cellStyle name="Normal 4 11 2" xfId="790" xr:uid="{00000000-0005-0000-0000-0000E7930000}"/>
    <cellStyle name="Normal 4 11 2 10" xfId="13398" xr:uid="{00000000-0005-0000-0000-0000E8930000}"/>
    <cellStyle name="Normal 4 11 2 2" xfId="2818" xr:uid="{00000000-0005-0000-0000-0000E9930000}"/>
    <cellStyle name="Normal 4 11 2 2 2" xfId="9350" xr:uid="{00000000-0005-0000-0000-0000EA930000}"/>
    <cellStyle name="Normal 4 11 2 2 2 2" xfId="41091" xr:uid="{00000000-0005-0000-0000-0000EB930000}"/>
    <cellStyle name="Normal 4 11 2 2 2 2 2" xfId="57191" xr:uid="{00000000-0005-0000-0000-0000EC930000}"/>
    <cellStyle name="Normal 4 11 2 2 2 3" xfId="47624" xr:uid="{00000000-0005-0000-0000-0000ED930000}"/>
    <cellStyle name="Normal 4 11 2 2 2 4" xfId="31524" xr:uid="{00000000-0005-0000-0000-0000EE930000}"/>
    <cellStyle name="Normal 4 11 2 2 2 5" xfId="21955" xr:uid="{00000000-0005-0000-0000-0000EF930000}"/>
    <cellStyle name="Normal 4 11 2 2 3" xfId="12386" xr:uid="{00000000-0005-0000-0000-0000F0930000}"/>
    <cellStyle name="Normal 4 11 2 2 3 2" xfId="50660" xr:uid="{00000000-0005-0000-0000-0000F1930000}"/>
    <cellStyle name="Normal 4 11 2 2 3 3" xfId="34560" xr:uid="{00000000-0005-0000-0000-0000F2930000}"/>
    <cellStyle name="Normal 4 11 2 2 3 4" xfId="24991" xr:uid="{00000000-0005-0000-0000-0000F3930000}"/>
    <cellStyle name="Normal 4 11 2 2 4" xfId="6314" xr:uid="{00000000-0005-0000-0000-0000F4930000}"/>
    <cellStyle name="Normal 4 11 2 2 4 2" xfId="54155" xr:uid="{00000000-0005-0000-0000-0000F5930000}"/>
    <cellStyle name="Normal 4 11 2 2 4 3" xfId="38055" xr:uid="{00000000-0005-0000-0000-0000F6930000}"/>
    <cellStyle name="Normal 4 11 2 2 4 4" xfId="18919" xr:uid="{00000000-0005-0000-0000-0000F7930000}"/>
    <cellStyle name="Normal 4 11 2 2 5" xfId="44588" xr:uid="{00000000-0005-0000-0000-0000F8930000}"/>
    <cellStyle name="Normal 4 11 2 2 6" xfId="28488" xr:uid="{00000000-0005-0000-0000-0000F9930000}"/>
    <cellStyle name="Normal 4 11 2 2 7" xfId="15424" xr:uid="{00000000-0005-0000-0000-0000FA930000}"/>
    <cellStyle name="Normal 4 11 2 3" xfId="1800" xr:uid="{00000000-0005-0000-0000-0000FB930000}"/>
    <cellStyle name="Normal 4 11 2 3 2" xfId="8334" xr:uid="{00000000-0005-0000-0000-0000FC930000}"/>
    <cellStyle name="Normal 4 11 2 3 2 2" xfId="40075" xr:uid="{00000000-0005-0000-0000-0000FD930000}"/>
    <cellStyle name="Normal 4 11 2 3 2 2 2" xfId="56175" xr:uid="{00000000-0005-0000-0000-0000FE930000}"/>
    <cellStyle name="Normal 4 11 2 3 2 3" xfId="46608" xr:uid="{00000000-0005-0000-0000-0000FF930000}"/>
    <cellStyle name="Normal 4 11 2 3 2 4" xfId="30508" xr:uid="{00000000-0005-0000-0000-000000940000}"/>
    <cellStyle name="Normal 4 11 2 3 2 5" xfId="20939" xr:uid="{00000000-0005-0000-0000-000001940000}"/>
    <cellStyle name="Normal 4 11 2 3 3" xfId="11370" xr:uid="{00000000-0005-0000-0000-000002940000}"/>
    <cellStyle name="Normal 4 11 2 3 3 2" xfId="49644" xr:uid="{00000000-0005-0000-0000-000003940000}"/>
    <cellStyle name="Normal 4 11 2 3 3 3" xfId="33544" xr:uid="{00000000-0005-0000-0000-000004940000}"/>
    <cellStyle name="Normal 4 11 2 3 3 4" xfId="23975" xr:uid="{00000000-0005-0000-0000-000005940000}"/>
    <cellStyle name="Normal 4 11 2 3 4" xfId="5298" xr:uid="{00000000-0005-0000-0000-000006940000}"/>
    <cellStyle name="Normal 4 11 2 3 4 2" xfId="53139" xr:uid="{00000000-0005-0000-0000-000007940000}"/>
    <cellStyle name="Normal 4 11 2 3 4 3" xfId="37039" xr:uid="{00000000-0005-0000-0000-000008940000}"/>
    <cellStyle name="Normal 4 11 2 3 4 4" xfId="17903" xr:uid="{00000000-0005-0000-0000-000009940000}"/>
    <cellStyle name="Normal 4 11 2 3 5" xfId="43572" xr:uid="{00000000-0005-0000-0000-00000A940000}"/>
    <cellStyle name="Normal 4 11 2 3 6" xfId="27472" xr:uid="{00000000-0005-0000-0000-00000B940000}"/>
    <cellStyle name="Normal 4 11 2 3 7" xfId="14408" xr:uid="{00000000-0005-0000-0000-00000C940000}"/>
    <cellStyle name="Normal 4 11 2 4" xfId="4288" xr:uid="{00000000-0005-0000-0000-00000D940000}"/>
    <cellStyle name="Normal 4 11 2 4 2" xfId="36029" xr:uid="{00000000-0005-0000-0000-00000E940000}"/>
    <cellStyle name="Normal 4 11 2 4 2 2" xfId="52129" xr:uid="{00000000-0005-0000-0000-00000F940000}"/>
    <cellStyle name="Normal 4 11 2 4 3" xfId="42562" xr:uid="{00000000-0005-0000-0000-000010940000}"/>
    <cellStyle name="Normal 4 11 2 4 4" xfId="26462" xr:uid="{00000000-0005-0000-0000-000011940000}"/>
    <cellStyle name="Normal 4 11 2 4 5" xfId="16893" xr:uid="{00000000-0005-0000-0000-000012940000}"/>
    <cellStyle name="Normal 4 11 2 5" xfId="7324" xr:uid="{00000000-0005-0000-0000-000013940000}"/>
    <cellStyle name="Normal 4 11 2 5 2" xfId="39065" xr:uid="{00000000-0005-0000-0000-000014940000}"/>
    <cellStyle name="Normal 4 11 2 5 2 2" xfId="55165" xr:uid="{00000000-0005-0000-0000-000015940000}"/>
    <cellStyle name="Normal 4 11 2 5 3" xfId="45598" xr:uid="{00000000-0005-0000-0000-000016940000}"/>
    <cellStyle name="Normal 4 11 2 5 4" xfId="29498" xr:uid="{00000000-0005-0000-0000-000017940000}"/>
    <cellStyle name="Normal 4 11 2 5 5" xfId="19929" xr:uid="{00000000-0005-0000-0000-000018940000}"/>
    <cellStyle name="Normal 4 11 2 6" xfId="10360" xr:uid="{00000000-0005-0000-0000-000019940000}"/>
    <cellStyle name="Normal 4 11 2 6 2" xfId="48634" xr:uid="{00000000-0005-0000-0000-00001A940000}"/>
    <cellStyle name="Normal 4 11 2 6 3" xfId="32534" xr:uid="{00000000-0005-0000-0000-00001B940000}"/>
    <cellStyle name="Normal 4 11 2 6 4" xfId="22965" xr:uid="{00000000-0005-0000-0000-00001C940000}"/>
    <cellStyle name="Normal 4 11 2 7" xfId="3383" xr:uid="{00000000-0005-0000-0000-00001D940000}"/>
    <cellStyle name="Normal 4 11 2 7 2" xfId="51224" xr:uid="{00000000-0005-0000-0000-00001E940000}"/>
    <cellStyle name="Normal 4 11 2 7 3" xfId="35124" xr:uid="{00000000-0005-0000-0000-00001F940000}"/>
    <cellStyle name="Normal 4 11 2 7 4" xfId="15988" xr:uid="{00000000-0005-0000-0000-000020940000}"/>
    <cellStyle name="Normal 4 11 2 8" xfId="41657" xr:uid="{00000000-0005-0000-0000-000021940000}"/>
    <cellStyle name="Normal 4 11 2 9" xfId="25557" xr:uid="{00000000-0005-0000-0000-000022940000}"/>
    <cellStyle name="Normal 4 11 3" xfId="648" xr:uid="{00000000-0005-0000-0000-000023940000}"/>
    <cellStyle name="Normal 4 11 3 2" xfId="2676" xr:uid="{00000000-0005-0000-0000-000024940000}"/>
    <cellStyle name="Normal 4 11 3 2 2" xfId="9208" xr:uid="{00000000-0005-0000-0000-000025940000}"/>
    <cellStyle name="Normal 4 11 3 2 2 2" xfId="40949" xr:uid="{00000000-0005-0000-0000-000026940000}"/>
    <cellStyle name="Normal 4 11 3 2 2 2 2" xfId="57049" xr:uid="{00000000-0005-0000-0000-000027940000}"/>
    <cellStyle name="Normal 4 11 3 2 2 3" xfId="47482" xr:uid="{00000000-0005-0000-0000-000028940000}"/>
    <cellStyle name="Normal 4 11 3 2 2 4" xfId="31382" xr:uid="{00000000-0005-0000-0000-000029940000}"/>
    <cellStyle name="Normal 4 11 3 2 2 5" xfId="21813" xr:uid="{00000000-0005-0000-0000-00002A940000}"/>
    <cellStyle name="Normal 4 11 3 2 3" xfId="12244" xr:uid="{00000000-0005-0000-0000-00002B940000}"/>
    <cellStyle name="Normal 4 11 3 2 3 2" xfId="50518" xr:uid="{00000000-0005-0000-0000-00002C940000}"/>
    <cellStyle name="Normal 4 11 3 2 3 3" xfId="34418" xr:uid="{00000000-0005-0000-0000-00002D940000}"/>
    <cellStyle name="Normal 4 11 3 2 3 4" xfId="24849" xr:uid="{00000000-0005-0000-0000-00002E940000}"/>
    <cellStyle name="Normal 4 11 3 2 4" xfId="6172" xr:uid="{00000000-0005-0000-0000-00002F940000}"/>
    <cellStyle name="Normal 4 11 3 2 4 2" xfId="54013" xr:uid="{00000000-0005-0000-0000-000030940000}"/>
    <cellStyle name="Normal 4 11 3 2 4 3" xfId="37913" xr:uid="{00000000-0005-0000-0000-000031940000}"/>
    <cellStyle name="Normal 4 11 3 2 4 4" xfId="18777" xr:uid="{00000000-0005-0000-0000-000032940000}"/>
    <cellStyle name="Normal 4 11 3 2 5" xfId="44446" xr:uid="{00000000-0005-0000-0000-000033940000}"/>
    <cellStyle name="Normal 4 11 3 2 6" xfId="28346" xr:uid="{00000000-0005-0000-0000-000034940000}"/>
    <cellStyle name="Normal 4 11 3 2 7" xfId="15282" xr:uid="{00000000-0005-0000-0000-000035940000}"/>
    <cellStyle name="Normal 4 11 3 3" xfId="1658" xr:uid="{00000000-0005-0000-0000-000036940000}"/>
    <cellStyle name="Normal 4 11 3 3 2" xfId="8192" xr:uid="{00000000-0005-0000-0000-000037940000}"/>
    <cellStyle name="Normal 4 11 3 3 2 2" xfId="39933" xr:uid="{00000000-0005-0000-0000-000038940000}"/>
    <cellStyle name="Normal 4 11 3 3 2 2 2" xfId="56033" xr:uid="{00000000-0005-0000-0000-000039940000}"/>
    <cellStyle name="Normal 4 11 3 3 2 3" xfId="46466" xr:uid="{00000000-0005-0000-0000-00003A940000}"/>
    <cellStyle name="Normal 4 11 3 3 2 4" xfId="30366" xr:uid="{00000000-0005-0000-0000-00003B940000}"/>
    <cellStyle name="Normal 4 11 3 3 2 5" xfId="20797" xr:uid="{00000000-0005-0000-0000-00003C940000}"/>
    <cellStyle name="Normal 4 11 3 3 3" xfId="11228" xr:uid="{00000000-0005-0000-0000-00003D940000}"/>
    <cellStyle name="Normal 4 11 3 3 3 2" xfId="49502" xr:uid="{00000000-0005-0000-0000-00003E940000}"/>
    <cellStyle name="Normal 4 11 3 3 3 3" xfId="33402" xr:uid="{00000000-0005-0000-0000-00003F940000}"/>
    <cellStyle name="Normal 4 11 3 3 3 4" xfId="23833" xr:uid="{00000000-0005-0000-0000-000040940000}"/>
    <cellStyle name="Normal 4 11 3 3 4" xfId="5156" xr:uid="{00000000-0005-0000-0000-000041940000}"/>
    <cellStyle name="Normal 4 11 3 3 4 2" xfId="52997" xr:uid="{00000000-0005-0000-0000-000042940000}"/>
    <cellStyle name="Normal 4 11 3 3 4 3" xfId="36897" xr:uid="{00000000-0005-0000-0000-000043940000}"/>
    <cellStyle name="Normal 4 11 3 3 4 4" xfId="17761" xr:uid="{00000000-0005-0000-0000-000044940000}"/>
    <cellStyle name="Normal 4 11 3 3 5" xfId="43430" xr:uid="{00000000-0005-0000-0000-000045940000}"/>
    <cellStyle name="Normal 4 11 3 3 6" xfId="27330" xr:uid="{00000000-0005-0000-0000-000046940000}"/>
    <cellStyle name="Normal 4 11 3 3 7" xfId="14266" xr:uid="{00000000-0005-0000-0000-000047940000}"/>
    <cellStyle name="Normal 4 11 3 4" xfId="7182" xr:uid="{00000000-0005-0000-0000-000048940000}"/>
    <cellStyle name="Normal 4 11 3 4 2" xfId="38923" xr:uid="{00000000-0005-0000-0000-000049940000}"/>
    <cellStyle name="Normal 4 11 3 4 2 2" xfId="55023" xr:uid="{00000000-0005-0000-0000-00004A940000}"/>
    <cellStyle name="Normal 4 11 3 4 3" xfId="45456" xr:uid="{00000000-0005-0000-0000-00004B940000}"/>
    <cellStyle name="Normal 4 11 3 4 4" xfId="29356" xr:uid="{00000000-0005-0000-0000-00004C940000}"/>
    <cellStyle name="Normal 4 11 3 4 5" xfId="19787" xr:uid="{00000000-0005-0000-0000-00004D940000}"/>
    <cellStyle name="Normal 4 11 3 5" xfId="10218" xr:uid="{00000000-0005-0000-0000-00004E940000}"/>
    <cellStyle name="Normal 4 11 3 5 2" xfId="48492" xr:uid="{00000000-0005-0000-0000-00004F940000}"/>
    <cellStyle name="Normal 4 11 3 5 3" xfId="32392" xr:uid="{00000000-0005-0000-0000-000050940000}"/>
    <cellStyle name="Normal 4 11 3 5 4" xfId="22823" xr:uid="{00000000-0005-0000-0000-000051940000}"/>
    <cellStyle name="Normal 4 11 3 6" xfId="4146" xr:uid="{00000000-0005-0000-0000-000052940000}"/>
    <cellStyle name="Normal 4 11 3 6 2" xfId="51987" xr:uid="{00000000-0005-0000-0000-000053940000}"/>
    <cellStyle name="Normal 4 11 3 6 3" xfId="35887" xr:uid="{00000000-0005-0000-0000-000054940000}"/>
    <cellStyle name="Normal 4 11 3 6 4" xfId="16751" xr:uid="{00000000-0005-0000-0000-000055940000}"/>
    <cellStyle name="Normal 4 11 3 7" xfId="42420" xr:uid="{00000000-0005-0000-0000-000056940000}"/>
    <cellStyle name="Normal 4 11 3 8" xfId="26320" xr:uid="{00000000-0005-0000-0000-000057940000}"/>
    <cellStyle name="Normal 4 11 3 9" xfId="13256" xr:uid="{00000000-0005-0000-0000-000058940000}"/>
    <cellStyle name="Normal 4 11 4" xfId="2448" xr:uid="{00000000-0005-0000-0000-000059940000}"/>
    <cellStyle name="Normal 4 11 4 2" xfId="8980" xr:uid="{00000000-0005-0000-0000-00005A940000}"/>
    <cellStyle name="Normal 4 11 4 2 2" xfId="40721" xr:uid="{00000000-0005-0000-0000-00005B940000}"/>
    <cellStyle name="Normal 4 11 4 2 2 2" xfId="56821" xr:uid="{00000000-0005-0000-0000-00005C940000}"/>
    <cellStyle name="Normal 4 11 4 2 3" xfId="47254" xr:uid="{00000000-0005-0000-0000-00005D940000}"/>
    <cellStyle name="Normal 4 11 4 2 4" xfId="31154" xr:uid="{00000000-0005-0000-0000-00005E940000}"/>
    <cellStyle name="Normal 4 11 4 2 5" xfId="21585" xr:uid="{00000000-0005-0000-0000-00005F940000}"/>
    <cellStyle name="Normal 4 11 4 3" xfId="12016" xr:uid="{00000000-0005-0000-0000-000060940000}"/>
    <cellStyle name="Normal 4 11 4 3 2" xfId="50290" xr:uid="{00000000-0005-0000-0000-000061940000}"/>
    <cellStyle name="Normal 4 11 4 3 3" xfId="34190" xr:uid="{00000000-0005-0000-0000-000062940000}"/>
    <cellStyle name="Normal 4 11 4 3 4" xfId="24621" xr:uid="{00000000-0005-0000-0000-000063940000}"/>
    <cellStyle name="Normal 4 11 4 4" xfId="5944" xr:uid="{00000000-0005-0000-0000-000064940000}"/>
    <cellStyle name="Normal 4 11 4 4 2" xfId="53785" xr:uid="{00000000-0005-0000-0000-000065940000}"/>
    <cellStyle name="Normal 4 11 4 4 3" xfId="37685" xr:uid="{00000000-0005-0000-0000-000066940000}"/>
    <cellStyle name="Normal 4 11 4 4 4" xfId="18549" xr:uid="{00000000-0005-0000-0000-000067940000}"/>
    <cellStyle name="Normal 4 11 4 5" xfId="44218" xr:uid="{00000000-0005-0000-0000-000068940000}"/>
    <cellStyle name="Normal 4 11 4 6" xfId="28118" xr:uid="{00000000-0005-0000-0000-000069940000}"/>
    <cellStyle name="Normal 4 11 4 7" xfId="15054" xr:uid="{00000000-0005-0000-0000-00006A940000}"/>
    <cellStyle name="Normal 4 11 5" xfId="1117" xr:uid="{00000000-0005-0000-0000-00006B940000}"/>
    <cellStyle name="Normal 4 11 5 2" xfId="7651" xr:uid="{00000000-0005-0000-0000-00006C940000}"/>
    <cellStyle name="Normal 4 11 5 2 2" xfId="39392" xr:uid="{00000000-0005-0000-0000-00006D940000}"/>
    <cellStyle name="Normal 4 11 5 2 2 2" xfId="55492" xr:uid="{00000000-0005-0000-0000-00006E940000}"/>
    <cellStyle name="Normal 4 11 5 2 3" xfId="45925" xr:uid="{00000000-0005-0000-0000-00006F940000}"/>
    <cellStyle name="Normal 4 11 5 2 4" xfId="29825" xr:uid="{00000000-0005-0000-0000-000070940000}"/>
    <cellStyle name="Normal 4 11 5 2 5" xfId="20256" xr:uid="{00000000-0005-0000-0000-000071940000}"/>
    <cellStyle name="Normal 4 11 5 3" xfId="10687" xr:uid="{00000000-0005-0000-0000-000072940000}"/>
    <cellStyle name="Normal 4 11 5 3 2" xfId="48961" xr:uid="{00000000-0005-0000-0000-000073940000}"/>
    <cellStyle name="Normal 4 11 5 3 3" xfId="32861" xr:uid="{00000000-0005-0000-0000-000074940000}"/>
    <cellStyle name="Normal 4 11 5 3 4" xfId="23292" xr:uid="{00000000-0005-0000-0000-000075940000}"/>
    <cellStyle name="Normal 4 11 5 4" xfId="4615" xr:uid="{00000000-0005-0000-0000-000076940000}"/>
    <cellStyle name="Normal 4 11 5 4 2" xfId="52456" xr:uid="{00000000-0005-0000-0000-000077940000}"/>
    <cellStyle name="Normal 4 11 5 4 3" xfId="36356" xr:uid="{00000000-0005-0000-0000-000078940000}"/>
    <cellStyle name="Normal 4 11 5 4 4" xfId="17220" xr:uid="{00000000-0005-0000-0000-000079940000}"/>
    <cellStyle name="Normal 4 11 5 5" xfId="42889" xr:uid="{00000000-0005-0000-0000-00007A940000}"/>
    <cellStyle name="Normal 4 11 5 6" xfId="26789" xr:uid="{00000000-0005-0000-0000-00007B940000}"/>
    <cellStyle name="Normal 4 11 5 7" xfId="13725" xr:uid="{00000000-0005-0000-0000-00007C940000}"/>
    <cellStyle name="Normal 4 11 6" xfId="3605" xr:uid="{00000000-0005-0000-0000-00007D940000}"/>
    <cellStyle name="Normal 4 11 6 2" xfId="35346" xr:uid="{00000000-0005-0000-0000-00007E940000}"/>
    <cellStyle name="Normal 4 11 6 2 2" xfId="51446" xr:uid="{00000000-0005-0000-0000-00007F940000}"/>
    <cellStyle name="Normal 4 11 6 3" xfId="41879" xr:uid="{00000000-0005-0000-0000-000080940000}"/>
    <cellStyle name="Normal 4 11 6 4" xfId="25779" xr:uid="{00000000-0005-0000-0000-000081940000}"/>
    <cellStyle name="Normal 4 11 6 5" xfId="16210" xr:uid="{00000000-0005-0000-0000-000082940000}"/>
    <cellStyle name="Normal 4 11 7" xfId="6641" xr:uid="{00000000-0005-0000-0000-000083940000}"/>
    <cellStyle name="Normal 4 11 7 2" xfId="38382" xr:uid="{00000000-0005-0000-0000-000084940000}"/>
    <cellStyle name="Normal 4 11 7 2 2" xfId="54482" xr:uid="{00000000-0005-0000-0000-000085940000}"/>
    <cellStyle name="Normal 4 11 7 3" xfId="44915" xr:uid="{00000000-0005-0000-0000-000086940000}"/>
    <cellStyle name="Normal 4 11 7 4" xfId="28815" xr:uid="{00000000-0005-0000-0000-000087940000}"/>
    <cellStyle name="Normal 4 11 7 5" xfId="19246" xr:uid="{00000000-0005-0000-0000-000088940000}"/>
    <cellStyle name="Normal 4 11 8" xfId="9677" xr:uid="{00000000-0005-0000-0000-000089940000}"/>
    <cellStyle name="Normal 4 11 8 2" xfId="47951" xr:uid="{00000000-0005-0000-0000-00008A940000}"/>
    <cellStyle name="Normal 4 11 8 3" xfId="31851" xr:uid="{00000000-0005-0000-0000-00008B940000}"/>
    <cellStyle name="Normal 4 11 8 4" xfId="22282" xr:uid="{00000000-0005-0000-0000-00008C940000}"/>
    <cellStyle name="Normal 4 11 9" xfId="3145" xr:uid="{00000000-0005-0000-0000-00008D940000}"/>
    <cellStyle name="Normal 4 11 9 2" xfId="50987" xr:uid="{00000000-0005-0000-0000-00008E940000}"/>
    <cellStyle name="Normal 4 11 9 3" xfId="34887" xr:uid="{00000000-0005-0000-0000-00008F940000}"/>
    <cellStyle name="Normal 4 11 9 4" xfId="15751" xr:uid="{00000000-0005-0000-0000-000090940000}"/>
    <cellStyle name="Normal 4 12" xfId="414" xr:uid="{00000000-0005-0000-0000-000091940000}"/>
    <cellStyle name="Normal 4 12 10" xfId="41403" xr:uid="{00000000-0005-0000-0000-000092940000}"/>
    <cellStyle name="Normal 4 12 11" xfId="25303" xr:uid="{00000000-0005-0000-0000-000093940000}"/>
    <cellStyle name="Normal 4 12 12" xfId="12698" xr:uid="{00000000-0005-0000-0000-000094940000}"/>
    <cellStyle name="Normal 4 12 2" xfId="773" xr:uid="{00000000-0005-0000-0000-000095940000}"/>
    <cellStyle name="Normal 4 12 2 10" xfId="13381" xr:uid="{00000000-0005-0000-0000-000096940000}"/>
    <cellStyle name="Normal 4 12 2 2" xfId="2801" xr:uid="{00000000-0005-0000-0000-000097940000}"/>
    <cellStyle name="Normal 4 12 2 2 2" xfId="9333" xr:uid="{00000000-0005-0000-0000-000098940000}"/>
    <cellStyle name="Normal 4 12 2 2 2 2" xfId="41074" xr:uid="{00000000-0005-0000-0000-000099940000}"/>
    <cellStyle name="Normal 4 12 2 2 2 2 2" xfId="57174" xr:uid="{00000000-0005-0000-0000-00009A940000}"/>
    <cellStyle name="Normal 4 12 2 2 2 3" xfId="47607" xr:uid="{00000000-0005-0000-0000-00009B940000}"/>
    <cellStyle name="Normal 4 12 2 2 2 4" xfId="31507" xr:uid="{00000000-0005-0000-0000-00009C940000}"/>
    <cellStyle name="Normal 4 12 2 2 2 5" xfId="21938" xr:uid="{00000000-0005-0000-0000-00009D940000}"/>
    <cellStyle name="Normal 4 12 2 2 3" xfId="12369" xr:uid="{00000000-0005-0000-0000-00009E940000}"/>
    <cellStyle name="Normal 4 12 2 2 3 2" xfId="50643" xr:uid="{00000000-0005-0000-0000-00009F940000}"/>
    <cellStyle name="Normal 4 12 2 2 3 3" xfId="34543" xr:uid="{00000000-0005-0000-0000-0000A0940000}"/>
    <cellStyle name="Normal 4 12 2 2 3 4" xfId="24974" xr:uid="{00000000-0005-0000-0000-0000A1940000}"/>
    <cellStyle name="Normal 4 12 2 2 4" xfId="6297" xr:uid="{00000000-0005-0000-0000-0000A2940000}"/>
    <cellStyle name="Normal 4 12 2 2 4 2" xfId="54138" xr:uid="{00000000-0005-0000-0000-0000A3940000}"/>
    <cellStyle name="Normal 4 12 2 2 4 3" xfId="38038" xr:uid="{00000000-0005-0000-0000-0000A4940000}"/>
    <cellStyle name="Normal 4 12 2 2 4 4" xfId="18902" xr:uid="{00000000-0005-0000-0000-0000A5940000}"/>
    <cellStyle name="Normal 4 12 2 2 5" xfId="44571" xr:uid="{00000000-0005-0000-0000-0000A6940000}"/>
    <cellStyle name="Normal 4 12 2 2 6" xfId="28471" xr:uid="{00000000-0005-0000-0000-0000A7940000}"/>
    <cellStyle name="Normal 4 12 2 2 7" xfId="15407" xr:uid="{00000000-0005-0000-0000-0000A8940000}"/>
    <cellStyle name="Normal 4 12 2 3" xfId="1783" xr:uid="{00000000-0005-0000-0000-0000A9940000}"/>
    <cellStyle name="Normal 4 12 2 3 2" xfId="8317" xr:uid="{00000000-0005-0000-0000-0000AA940000}"/>
    <cellStyle name="Normal 4 12 2 3 2 2" xfId="40058" xr:uid="{00000000-0005-0000-0000-0000AB940000}"/>
    <cellStyle name="Normal 4 12 2 3 2 2 2" xfId="56158" xr:uid="{00000000-0005-0000-0000-0000AC940000}"/>
    <cellStyle name="Normal 4 12 2 3 2 3" xfId="46591" xr:uid="{00000000-0005-0000-0000-0000AD940000}"/>
    <cellStyle name="Normal 4 12 2 3 2 4" xfId="30491" xr:uid="{00000000-0005-0000-0000-0000AE940000}"/>
    <cellStyle name="Normal 4 12 2 3 2 5" xfId="20922" xr:uid="{00000000-0005-0000-0000-0000AF940000}"/>
    <cellStyle name="Normal 4 12 2 3 3" xfId="11353" xr:uid="{00000000-0005-0000-0000-0000B0940000}"/>
    <cellStyle name="Normal 4 12 2 3 3 2" xfId="49627" xr:uid="{00000000-0005-0000-0000-0000B1940000}"/>
    <cellStyle name="Normal 4 12 2 3 3 3" xfId="33527" xr:uid="{00000000-0005-0000-0000-0000B2940000}"/>
    <cellStyle name="Normal 4 12 2 3 3 4" xfId="23958" xr:uid="{00000000-0005-0000-0000-0000B3940000}"/>
    <cellStyle name="Normal 4 12 2 3 4" xfId="5281" xr:uid="{00000000-0005-0000-0000-0000B4940000}"/>
    <cellStyle name="Normal 4 12 2 3 4 2" xfId="53122" xr:uid="{00000000-0005-0000-0000-0000B5940000}"/>
    <cellStyle name="Normal 4 12 2 3 4 3" xfId="37022" xr:uid="{00000000-0005-0000-0000-0000B6940000}"/>
    <cellStyle name="Normal 4 12 2 3 4 4" xfId="17886" xr:uid="{00000000-0005-0000-0000-0000B7940000}"/>
    <cellStyle name="Normal 4 12 2 3 5" xfId="43555" xr:uid="{00000000-0005-0000-0000-0000B8940000}"/>
    <cellStyle name="Normal 4 12 2 3 6" xfId="27455" xr:uid="{00000000-0005-0000-0000-0000B9940000}"/>
    <cellStyle name="Normal 4 12 2 3 7" xfId="14391" xr:uid="{00000000-0005-0000-0000-0000BA940000}"/>
    <cellStyle name="Normal 4 12 2 4" xfId="4271" xr:uid="{00000000-0005-0000-0000-0000BB940000}"/>
    <cellStyle name="Normal 4 12 2 4 2" xfId="36012" xr:uid="{00000000-0005-0000-0000-0000BC940000}"/>
    <cellStyle name="Normal 4 12 2 4 2 2" xfId="52112" xr:uid="{00000000-0005-0000-0000-0000BD940000}"/>
    <cellStyle name="Normal 4 12 2 4 3" xfId="42545" xr:uid="{00000000-0005-0000-0000-0000BE940000}"/>
    <cellStyle name="Normal 4 12 2 4 4" xfId="26445" xr:uid="{00000000-0005-0000-0000-0000BF940000}"/>
    <cellStyle name="Normal 4 12 2 4 5" xfId="16876" xr:uid="{00000000-0005-0000-0000-0000C0940000}"/>
    <cellStyle name="Normal 4 12 2 5" xfId="7307" xr:uid="{00000000-0005-0000-0000-0000C1940000}"/>
    <cellStyle name="Normal 4 12 2 5 2" xfId="39048" xr:uid="{00000000-0005-0000-0000-0000C2940000}"/>
    <cellStyle name="Normal 4 12 2 5 2 2" xfId="55148" xr:uid="{00000000-0005-0000-0000-0000C3940000}"/>
    <cellStyle name="Normal 4 12 2 5 3" xfId="45581" xr:uid="{00000000-0005-0000-0000-0000C4940000}"/>
    <cellStyle name="Normal 4 12 2 5 4" xfId="29481" xr:uid="{00000000-0005-0000-0000-0000C5940000}"/>
    <cellStyle name="Normal 4 12 2 5 5" xfId="19912" xr:uid="{00000000-0005-0000-0000-0000C6940000}"/>
    <cellStyle name="Normal 4 12 2 6" xfId="10343" xr:uid="{00000000-0005-0000-0000-0000C7940000}"/>
    <cellStyle name="Normal 4 12 2 6 2" xfId="48617" xr:uid="{00000000-0005-0000-0000-0000C8940000}"/>
    <cellStyle name="Normal 4 12 2 6 3" xfId="32517" xr:uid="{00000000-0005-0000-0000-0000C9940000}"/>
    <cellStyle name="Normal 4 12 2 6 4" xfId="22948" xr:uid="{00000000-0005-0000-0000-0000CA940000}"/>
    <cellStyle name="Normal 4 12 2 7" xfId="3366" xr:uid="{00000000-0005-0000-0000-0000CB940000}"/>
    <cellStyle name="Normal 4 12 2 7 2" xfId="51207" xr:uid="{00000000-0005-0000-0000-0000CC940000}"/>
    <cellStyle name="Normal 4 12 2 7 3" xfId="35107" xr:uid="{00000000-0005-0000-0000-0000CD940000}"/>
    <cellStyle name="Normal 4 12 2 7 4" xfId="15971" xr:uid="{00000000-0005-0000-0000-0000CE940000}"/>
    <cellStyle name="Normal 4 12 2 8" xfId="41640" xr:uid="{00000000-0005-0000-0000-0000CF940000}"/>
    <cellStyle name="Normal 4 12 2 9" xfId="25540" xr:uid="{00000000-0005-0000-0000-0000D0940000}"/>
    <cellStyle name="Normal 4 12 3" xfId="631" xr:uid="{00000000-0005-0000-0000-0000D1940000}"/>
    <cellStyle name="Normal 4 12 3 2" xfId="2659" xr:uid="{00000000-0005-0000-0000-0000D2940000}"/>
    <cellStyle name="Normal 4 12 3 2 2" xfId="9191" xr:uid="{00000000-0005-0000-0000-0000D3940000}"/>
    <cellStyle name="Normal 4 12 3 2 2 2" xfId="40932" xr:uid="{00000000-0005-0000-0000-0000D4940000}"/>
    <cellStyle name="Normal 4 12 3 2 2 2 2" xfId="57032" xr:uid="{00000000-0005-0000-0000-0000D5940000}"/>
    <cellStyle name="Normal 4 12 3 2 2 3" xfId="47465" xr:uid="{00000000-0005-0000-0000-0000D6940000}"/>
    <cellStyle name="Normal 4 12 3 2 2 4" xfId="31365" xr:uid="{00000000-0005-0000-0000-0000D7940000}"/>
    <cellStyle name="Normal 4 12 3 2 2 5" xfId="21796" xr:uid="{00000000-0005-0000-0000-0000D8940000}"/>
    <cellStyle name="Normal 4 12 3 2 3" xfId="12227" xr:uid="{00000000-0005-0000-0000-0000D9940000}"/>
    <cellStyle name="Normal 4 12 3 2 3 2" xfId="50501" xr:uid="{00000000-0005-0000-0000-0000DA940000}"/>
    <cellStyle name="Normal 4 12 3 2 3 3" xfId="34401" xr:uid="{00000000-0005-0000-0000-0000DB940000}"/>
    <cellStyle name="Normal 4 12 3 2 3 4" xfId="24832" xr:uid="{00000000-0005-0000-0000-0000DC940000}"/>
    <cellStyle name="Normal 4 12 3 2 4" xfId="6155" xr:uid="{00000000-0005-0000-0000-0000DD940000}"/>
    <cellStyle name="Normal 4 12 3 2 4 2" xfId="53996" xr:uid="{00000000-0005-0000-0000-0000DE940000}"/>
    <cellStyle name="Normal 4 12 3 2 4 3" xfId="37896" xr:uid="{00000000-0005-0000-0000-0000DF940000}"/>
    <cellStyle name="Normal 4 12 3 2 4 4" xfId="18760" xr:uid="{00000000-0005-0000-0000-0000E0940000}"/>
    <cellStyle name="Normal 4 12 3 2 5" xfId="44429" xr:uid="{00000000-0005-0000-0000-0000E1940000}"/>
    <cellStyle name="Normal 4 12 3 2 6" xfId="28329" xr:uid="{00000000-0005-0000-0000-0000E2940000}"/>
    <cellStyle name="Normal 4 12 3 2 7" xfId="15265" xr:uid="{00000000-0005-0000-0000-0000E3940000}"/>
    <cellStyle name="Normal 4 12 3 3" xfId="1641" xr:uid="{00000000-0005-0000-0000-0000E4940000}"/>
    <cellStyle name="Normal 4 12 3 3 2" xfId="8175" xr:uid="{00000000-0005-0000-0000-0000E5940000}"/>
    <cellStyle name="Normal 4 12 3 3 2 2" xfId="39916" xr:uid="{00000000-0005-0000-0000-0000E6940000}"/>
    <cellStyle name="Normal 4 12 3 3 2 2 2" xfId="56016" xr:uid="{00000000-0005-0000-0000-0000E7940000}"/>
    <cellStyle name="Normal 4 12 3 3 2 3" xfId="46449" xr:uid="{00000000-0005-0000-0000-0000E8940000}"/>
    <cellStyle name="Normal 4 12 3 3 2 4" xfId="30349" xr:uid="{00000000-0005-0000-0000-0000E9940000}"/>
    <cellStyle name="Normal 4 12 3 3 2 5" xfId="20780" xr:uid="{00000000-0005-0000-0000-0000EA940000}"/>
    <cellStyle name="Normal 4 12 3 3 3" xfId="11211" xr:uid="{00000000-0005-0000-0000-0000EB940000}"/>
    <cellStyle name="Normal 4 12 3 3 3 2" xfId="49485" xr:uid="{00000000-0005-0000-0000-0000EC940000}"/>
    <cellStyle name="Normal 4 12 3 3 3 3" xfId="33385" xr:uid="{00000000-0005-0000-0000-0000ED940000}"/>
    <cellStyle name="Normal 4 12 3 3 3 4" xfId="23816" xr:uid="{00000000-0005-0000-0000-0000EE940000}"/>
    <cellStyle name="Normal 4 12 3 3 4" xfId="5139" xr:uid="{00000000-0005-0000-0000-0000EF940000}"/>
    <cellStyle name="Normal 4 12 3 3 4 2" xfId="52980" xr:uid="{00000000-0005-0000-0000-0000F0940000}"/>
    <cellStyle name="Normal 4 12 3 3 4 3" xfId="36880" xr:uid="{00000000-0005-0000-0000-0000F1940000}"/>
    <cellStyle name="Normal 4 12 3 3 4 4" xfId="17744" xr:uid="{00000000-0005-0000-0000-0000F2940000}"/>
    <cellStyle name="Normal 4 12 3 3 5" xfId="43413" xr:uid="{00000000-0005-0000-0000-0000F3940000}"/>
    <cellStyle name="Normal 4 12 3 3 6" xfId="27313" xr:uid="{00000000-0005-0000-0000-0000F4940000}"/>
    <cellStyle name="Normal 4 12 3 3 7" xfId="14249" xr:uid="{00000000-0005-0000-0000-0000F5940000}"/>
    <cellStyle name="Normal 4 12 3 4" xfId="7165" xr:uid="{00000000-0005-0000-0000-0000F6940000}"/>
    <cellStyle name="Normal 4 12 3 4 2" xfId="38906" xr:uid="{00000000-0005-0000-0000-0000F7940000}"/>
    <cellStyle name="Normal 4 12 3 4 2 2" xfId="55006" xr:uid="{00000000-0005-0000-0000-0000F8940000}"/>
    <cellStyle name="Normal 4 12 3 4 3" xfId="45439" xr:uid="{00000000-0005-0000-0000-0000F9940000}"/>
    <cellStyle name="Normal 4 12 3 4 4" xfId="29339" xr:uid="{00000000-0005-0000-0000-0000FA940000}"/>
    <cellStyle name="Normal 4 12 3 4 5" xfId="19770" xr:uid="{00000000-0005-0000-0000-0000FB940000}"/>
    <cellStyle name="Normal 4 12 3 5" xfId="10201" xr:uid="{00000000-0005-0000-0000-0000FC940000}"/>
    <cellStyle name="Normal 4 12 3 5 2" xfId="48475" xr:uid="{00000000-0005-0000-0000-0000FD940000}"/>
    <cellStyle name="Normal 4 12 3 5 3" xfId="32375" xr:uid="{00000000-0005-0000-0000-0000FE940000}"/>
    <cellStyle name="Normal 4 12 3 5 4" xfId="22806" xr:uid="{00000000-0005-0000-0000-0000FF940000}"/>
    <cellStyle name="Normal 4 12 3 6" xfId="4129" xr:uid="{00000000-0005-0000-0000-000000950000}"/>
    <cellStyle name="Normal 4 12 3 6 2" xfId="51970" xr:uid="{00000000-0005-0000-0000-000001950000}"/>
    <cellStyle name="Normal 4 12 3 6 3" xfId="35870" xr:uid="{00000000-0005-0000-0000-000002950000}"/>
    <cellStyle name="Normal 4 12 3 6 4" xfId="16734" xr:uid="{00000000-0005-0000-0000-000003950000}"/>
    <cellStyle name="Normal 4 12 3 7" xfId="42403" xr:uid="{00000000-0005-0000-0000-000004950000}"/>
    <cellStyle name="Normal 4 12 3 8" xfId="26303" xr:uid="{00000000-0005-0000-0000-000005950000}"/>
    <cellStyle name="Normal 4 12 3 9" xfId="13239" xr:uid="{00000000-0005-0000-0000-000006950000}"/>
    <cellStyle name="Normal 4 12 4" xfId="2431" xr:uid="{00000000-0005-0000-0000-000007950000}"/>
    <cellStyle name="Normal 4 12 4 2" xfId="8963" xr:uid="{00000000-0005-0000-0000-000008950000}"/>
    <cellStyle name="Normal 4 12 4 2 2" xfId="40704" xr:uid="{00000000-0005-0000-0000-000009950000}"/>
    <cellStyle name="Normal 4 12 4 2 2 2" xfId="56804" xr:uid="{00000000-0005-0000-0000-00000A950000}"/>
    <cellStyle name="Normal 4 12 4 2 3" xfId="47237" xr:uid="{00000000-0005-0000-0000-00000B950000}"/>
    <cellStyle name="Normal 4 12 4 2 4" xfId="31137" xr:uid="{00000000-0005-0000-0000-00000C950000}"/>
    <cellStyle name="Normal 4 12 4 2 5" xfId="21568" xr:uid="{00000000-0005-0000-0000-00000D950000}"/>
    <cellStyle name="Normal 4 12 4 3" xfId="11999" xr:uid="{00000000-0005-0000-0000-00000E950000}"/>
    <cellStyle name="Normal 4 12 4 3 2" xfId="50273" xr:uid="{00000000-0005-0000-0000-00000F950000}"/>
    <cellStyle name="Normal 4 12 4 3 3" xfId="34173" xr:uid="{00000000-0005-0000-0000-000010950000}"/>
    <cellStyle name="Normal 4 12 4 3 4" xfId="24604" xr:uid="{00000000-0005-0000-0000-000011950000}"/>
    <cellStyle name="Normal 4 12 4 4" xfId="5927" xr:uid="{00000000-0005-0000-0000-000012950000}"/>
    <cellStyle name="Normal 4 12 4 4 2" xfId="53768" xr:uid="{00000000-0005-0000-0000-000013950000}"/>
    <cellStyle name="Normal 4 12 4 4 3" xfId="37668" xr:uid="{00000000-0005-0000-0000-000014950000}"/>
    <cellStyle name="Normal 4 12 4 4 4" xfId="18532" xr:uid="{00000000-0005-0000-0000-000015950000}"/>
    <cellStyle name="Normal 4 12 4 5" xfId="44201" xr:uid="{00000000-0005-0000-0000-000016950000}"/>
    <cellStyle name="Normal 4 12 4 6" xfId="28101" xr:uid="{00000000-0005-0000-0000-000017950000}"/>
    <cellStyle name="Normal 4 12 4 7" xfId="15037" xr:uid="{00000000-0005-0000-0000-000018950000}"/>
    <cellStyle name="Normal 4 12 5" xfId="1100" xr:uid="{00000000-0005-0000-0000-000019950000}"/>
    <cellStyle name="Normal 4 12 5 2" xfId="7634" xr:uid="{00000000-0005-0000-0000-00001A950000}"/>
    <cellStyle name="Normal 4 12 5 2 2" xfId="39375" xr:uid="{00000000-0005-0000-0000-00001B950000}"/>
    <cellStyle name="Normal 4 12 5 2 2 2" xfId="55475" xr:uid="{00000000-0005-0000-0000-00001C950000}"/>
    <cellStyle name="Normal 4 12 5 2 3" xfId="45908" xr:uid="{00000000-0005-0000-0000-00001D950000}"/>
    <cellStyle name="Normal 4 12 5 2 4" xfId="29808" xr:uid="{00000000-0005-0000-0000-00001E950000}"/>
    <cellStyle name="Normal 4 12 5 2 5" xfId="20239" xr:uid="{00000000-0005-0000-0000-00001F950000}"/>
    <cellStyle name="Normal 4 12 5 3" xfId="10670" xr:uid="{00000000-0005-0000-0000-000020950000}"/>
    <cellStyle name="Normal 4 12 5 3 2" xfId="48944" xr:uid="{00000000-0005-0000-0000-000021950000}"/>
    <cellStyle name="Normal 4 12 5 3 3" xfId="32844" xr:uid="{00000000-0005-0000-0000-000022950000}"/>
    <cellStyle name="Normal 4 12 5 3 4" xfId="23275" xr:uid="{00000000-0005-0000-0000-000023950000}"/>
    <cellStyle name="Normal 4 12 5 4" xfId="4598" xr:uid="{00000000-0005-0000-0000-000024950000}"/>
    <cellStyle name="Normal 4 12 5 4 2" xfId="52439" xr:uid="{00000000-0005-0000-0000-000025950000}"/>
    <cellStyle name="Normal 4 12 5 4 3" xfId="36339" xr:uid="{00000000-0005-0000-0000-000026950000}"/>
    <cellStyle name="Normal 4 12 5 4 4" xfId="17203" xr:uid="{00000000-0005-0000-0000-000027950000}"/>
    <cellStyle name="Normal 4 12 5 5" xfId="42872" xr:uid="{00000000-0005-0000-0000-000028950000}"/>
    <cellStyle name="Normal 4 12 5 6" xfId="26772" xr:uid="{00000000-0005-0000-0000-000029950000}"/>
    <cellStyle name="Normal 4 12 5 7" xfId="13708" xr:uid="{00000000-0005-0000-0000-00002A950000}"/>
    <cellStyle name="Normal 4 12 6" xfId="3588" xr:uid="{00000000-0005-0000-0000-00002B950000}"/>
    <cellStyle name="Normal 4 12 6 2" xfId="35329" xr:uid="{00000000-0005-0000-0000-00002C950000}"/>
    <cellStyle name="Normal 4 12 6 2 2" xfId="51429" xr:uid="{00000000-0005-0000-0000-00002D950000}"/>
    <cellStyle name="Normal 4 12 6 3" xfId="41862" xr:uid="{00000000-0005-0000-0000-00002E950000}"/>
    <cellStyle name="Normal 4 12 6 4" xfId="25762" xr:uid="{00000000-0005-0000-0000-00002F950000}"/>
    <cellStyle name="Normal 4 12 6 5" xfId="16193" xr:uid="{00000000-0005-0000-0000-000030950000}"/>
    <cellStyle name="Normal 4 12 7" xfId="6624" xr:uid="{00000000-0005-0000-0000-000031950000}"/>
    <cellStyle name="Normal 4 12 7 2" xfId="38365" xr:uid="{00000000-0005-0000-0000-000032950000}"/>
    <cellStyle name="Normal 4 12 7 2 2" xfId="54465" xr:uid="{00000000-0005-0000-0000-000033950000}"/>
    <cellStyle name="Normal 4 12 7 3" xfId="44898" xr:uid="{00000000-0005-0000-0000-000034950000}"/>
    <cellStyle name="Normal 4 12 7 4" xfId="28798" xr:uid="{00000000-0005-0000-0000-000035950000}"/>
    <cellStyle name="Normal 4 12 7 5" xfId="19229" xr:uid="{00000000-0005-0000-0000-000036950000}"/>
    <cellStyle name="Normal 4 12 8" xfId="9660" xr:uid="{00000000-0005-0000-0000-000037950000}"/>
    <cellStyle name="Normal 4 12 8 2" xfId="47934" xr:uid="{00000000-0005-0000-0000-000038950000}"/>
    <cellStyle name="Normal 4 12 8 3" xfId="31834" xr:uid="{00000000-0005-0000-0000-000039950000}"/>
    <cellStyle name="Normal 4 12 8 4" xfId="22265" xr:uid="{00000000-0005-0000-0000-00003A950000}"/>
    <cellStyle name="Normal 4 12 9" xfId="3128" xr:uid="{00000000-0005-0000-0000-00003B950000}"/>
    <cellStyle name="Normal 4 12 9 2" xfId="50970" xr:uid="{00000000-0005-0000-0000-00003C950000}"/>
    <cellStyle name="Normal 4 12 9 3" xfId="34870" xr:uid="{00000000-0005-0000-0000-00003D950000}"/>
    <cellStyle name="Normal 4 12 9 4" xfId="15734" xr:uid="{00000000-0005-0000-0000-00003E950000}"/>
    <cellStyle name="Normal 4 13" xfId="498" xr:uid="{00000000-0005-0000-0000-00003F950000}"/>
    <cellStyle name="Normal 4 13 10" xfId="25481" xr:uid="{00000000-0005-0000-0000-000040950000}"/>
    <cellStyle name="Normal 4 13 11" xfId="12875" xr:uid="{00000000-0005-0000-0000-000041950000}"/>
    <cellStyle name="Normal 4 13 2" xfId="950" xr:uid="{00000000-0005-0000-0000-000042950000}"/>
    <cellStyle name="Normal 4 13 2 2" xfId="2978" xr:uid="{00000000-0005-0000-0000-000043950000}"/>
    <cellStyle name="Normal 4 13 2 2 2" xfId="9510" xr:uid="{00000000-0005-0000-0000-000044950000}"/>
    <cellStyle name="Normal 4 13 2 2 2 2" xfId="41251" xr:uid="{00000000-0005-0000-0000-000045950000}"/>
    <cellStyle name="Normal 4 13 2 2 2 2 2" xfId="57351" xr:uid="{00000000-0005-0000-0000-000046950000}"/>
    <cellStyle name="Normal 4 13 2 2 2 3" xfId="47784" xr:uid="{00000000-0005-0000-0000-000047950000}"/>
    <cellStyle name="Normal 4 13 2 2 2 4" xfId="31684" xr:uid="{00000000-0005-0000-0000-000048950000}"/>
    <cellStyle name="Normal 4 13 2 2 2 5" xfId="22115" xr:uid="{00000000-0005-0000-0000-000049950000}"/>
    <cellStyle name="Normal 4 13 2 2 3" xfId="12546" xr:uid="{00000000-0005-0000-0000-00004A950000}"/>
    <cellStyle name="Normal 4 13 2 2 3 2" xfId="50820" xr:uid="{00000000-0005-0000-0000-00004B950000}"/>
    <cellStyle name="Normal 4 13 2 2 3 3" xfId="34720" xr:uid="{00000000-0005-0000-0000-00004C950000}"/>
    <cellStyle name="Normal 4 13 2 2 3 4" xfId="25151" xr:uid="{00000000-0005-0000-0000-00004D950000}"/>
    <cellStyle name="Normal 4 13 2 2 4" xfId="6474" xr:uid="{00000000-0005-0000-0000-00004E950000}"/>
    <cellStyle name="Normal 4 13 2 2 4 2" xfId="54315" xr:uid="{00000000-0005-0000-0000-00004F950000}"/>
    <cellStyle name="Normal 4 13 2 2 4 3" xfId="38215" xr:uid="{00000000-0005-0000-0000-000050950000}"/>
    <cellStyle name="Normal 4 13 2 2 4 4" xfId="19079" xr:uid="{00000000-0005-0000-0000-000051950000}"/>
    <cellStyle name="Normal 4 13 2 2 5" xfId="44748" xr:uid="{00000000-0005-0000-0000-000052950000}"/>
    <cellStyle name="Normal 4 13 2 2 6" xfId="28648" xr:uid="{00000000-0005-0000-0000-000053950000}"/>
    <cellStyle name="Normal 4 13 2 2 7" xfId="15584" xr:uid="{00000000-0005-0000-0000-000054950000}"/>
    <cellStyle name="Normal 4 13 2 3" xfId="1960" xr:uid="{00000000-0005-0000-0000-000055950000}"/>
    <cellStyle name="Normal 4 13 2 3 2" xfId="8494" xr:uid="{00000000-0005-0000-0000-000056950000}"/>
    <cellStyle name="Normal 4 13 2 3 2 2" xfId="40235" xr:uid="{00000000-0005-0000-0000-000057950000}"/>
    <cellStyle name="Normal 4 13 2 3 2 2 2" xfId="56335" xr:uid="{00000000-0005-0000-0000-000058950000}"/>
    <cellStyle name="Normal 4 13 2 3 2 3" xfId="46768" xr:uid="{00000000-0005-0000-0000-000059950000}"/>
    <cellStyle name="Normal 4 13 2 3 2 4" xfId="30668" xr:uid="{00000000-0005-0000-0000-00005A950000}"/>
    <cellStyle name="Normal 4 13 2 3 2 5" xfId="21099" xr:uid="{00000000-0005-0000-0000-00005B950000}"/>
    <cellStyle name="Normal 4 13 2 3 3" xfId="11530" xr:uid="{00000000-0005-0000-0000-00005C950000}"/>
    <cellStyle name="Normal 4 13 2 3 3 2" xfId="49804" xr:uid="{00000000-0005-0000-0000-00005D950000}"/>
    <cellStyle name="Normal 4 13 2 3 3 3" xfId="33704" xr:uid="{00000000-0005-0000-0000-00005E950000}"/>
    <cellStyle name="Normal 4 13 2 3 3 4" xfId="24135" xr:uid="{00000000-0005-0000-0000-00005F950000}"/>
    <cellStyle name="Normal 4 13 2 3 4" xfId="5458" xr:uid="{00000000-0005-0000-0000-000060950000}"/>
    <cellStyle name="Normal 4 13 2 3 4 2" xfId="53299" xr:uid="{00000000-0005-0000-0000-000061950000}"/>
    <cellStyle name="Normal 4 13 2 3 4 3" xfId="37199" xr:uid="{00000000-0005-0000-0000-000062950000}"/>
    <cellStyle name="Normal 4 13 2 3 4 4" xfId="18063" xr:uid="{00000000-0005-0000-0000-000063950000}"/>
    <cellStyle name="Normal 4 13 2 3 5" xfId="43732" xr:uid="{00000000-0005-0000-0000-000064950000}"/>
    <cellStyle name="Normal 4 13 2 3 6" xfId="27632" xr:uid="{00000000-0005-0000-0000-000065950000}"/>
    <cellStyle name="Normal 4 13 2 3 7" xfId="14568" xr:uid="{00000000-0005-0000-0000-000066950000}"/>
    <cellStyle name="Normal 4 13 2 4" xfId="7484" xr:uid="{00000000-0005-0000-0000-000067950000}"/>
    <cellStyle name="Normal 4 13 2 4 2" xfId="39225" xr:uid="{00000000-0005-0000-0000-000068950000}"/>
    <cellStyle name="Normal 4 13 2 4 2 2" xfId="55325" xr:uid="{00000000-0005-0000-0000-000069950000}"/>
    <cellStyle name="Normal 4 13 2 4 3" xfId="45758" xr:uid="{00000000-0005-0000-0000-00006A950000}"/>
    <cellStyle name="Normal 4 13 2 4 4" xfId="29658" xr:uid="{00000000-0005-0000-0000-00006B950000}"/>
    <cellStyle name="Normal 4 13 2 4 5" xfId="20089" xr:uid="{00000000-0005-0000-0000-00006C950000}"/>
    <cellStyle name="Normal 4 13 2 5" xfId="10520" xr:uid="{00000000-0005-0000-0000-00006D950000}"/>
    <cellStyle name="Normal 4 13 2 5 2" xfId="48794" xr:uid="{00000000-0005-0000-0000-00006E950000}"/>
    <cellStyle name="Normal 4 13 2 5 3" xfId="32694" xr:uid="{00000000-0005-0000-0000-00006F950000}"/>
    <cellStyle name="Normal 4 13 2 5 4" xfId="23125" xr:uid="{00000000-0005-0000-0000-000070950000}"/>
    <cellStyle name="Normal 4 13 2 6" xfId="4448" xr:uid="{00000000-0005-0000-0000-000071950000}"/>
    <cellStyle name="Normal 4 13 2 6 2" xfId="52289" xr:uid="{00000000-0005-0000-0000-000072950000}"/>
    <cellStyle name="Normal 4 13 2 6 3" xfId="36189" xr:uid="{00000000-0005-0000-0000-000073950000}"/>
    <cellStyle name="Normal 4 13 2 6 4" xfId="17053" xr:uid="{00000000-0005-0000-0000-000074950000}"/>
    <cellStyle name="Normal 4 13 2 7" xfId="42722" xr:uid="{00000000-0005-0000-0000-000075950000}"/>
    <cellStyle name="Normal 4 13 2 8" xfId="26622" xr:uid="{00000000-0005-0000-0000-000076950000}"/>
    <cellStyle name="Normal 4 13 2 9" xfId="13558" xr:uid="{00000000-0005-0000-0000-000077950000}"/>
    <cellStyle name="Normal 4 13 3" xfId="2528" xr:uid="{00000000-0005-0000-0000-000078950000}"/>
    <cellStyle name="Normal 4 13 3 2" xfId="9060" xr:uid="{00000000-0005-0000-0000-000079950000}"/>
    <cellStyle name="Normal 4 13 3 2 2" xfId="40801" xr:uid="{00000000-0005-0000-0000-00007A950000}"/>
    <cellStyle name="Normal 4 13 3 2 2 2" xfId="56901" xr:uid="{00000000-0005-0000-0000-00007B950000}"/>
    <cellStyle name="Normal 4 13 3 2 3" xfId="47334" xr:uid="{00000000-0005-0000-0000-00007C950000}"/>
    <cellStyle name="Normal 4 13 3 2 4" xfId="31234" xr:uid="{00000000-0005-0000-0000-00007D950000}"/>
    <cellStyle name="Normal 4 13 3 2 5" xfId="21665" xr:uid="{00000000-0005-0000-0000-00007E950000}"/>
    <cellStyle name="Normal 4 13 3 3" xfId="12096" xr:uid="{00000000-0005-0000-0000-00007F950000}"/>
    <cellStyle name="Normal 4 13 3 3 2" xfId="50370" xr:uid="{00000000-0005-0000-0000-000080950000}"/>
    <cellStyle name="Normal 4 13 3 3 3" xfId="34270" xr:uid="{00000000-0005-0000-0000-000081950000}"/>
    <cellStyle name="Normal 4 13 3 3 4" xfId="24701" xr:uid="{00000000-0005-0000-0000-000082950000}"/>
    <cellStyle name="Normal 4 13 3 4" xfId="6024" xr:uid="{00000000-0005-0000-0000-000083950000}"/>
    <cellStyle name="Normal 4 13 3 4 2" xfId="53865" xr:uid="{00000000-0005-0000-0000-000084950000}"/>
    <cellStyle name="Normal 4 13 3 4 3" xfId="37765" xr:uid="{00000000-0005-0000-0000-000085950000}"/>
    <cellStyle name="Normal 4 13 3 4 4" xfId="18629" xr:uid="{00000000-0005-0000-0000-000086950000}"/>
    <cellStyle name="Normal 4 13 3 5" xfId="44298" xr:uid="{00000000-0005-0000-0000-000087950000}"/>
    <cellStyle name="Normal 4 13 3 6" xfId="28198" xr:uid="{00000000-0005-0000-0000-000088950000}"/>
    <cellStyle name="Normal 4 13 3 7" xfId="15134" xr:uid="{00000000-0005-0000-0000-000089950000}"/>
    <cellStyle name="Normal 4 13 4" xfId="1277" xr:uid="{00000000-0005-0000-0000-00008A950000}"/>
    <cellStyle name="Normal 4 13 4 2" xfId="7811" xr:uid="{00000000-0005-0000-0000-00008B950000}"/>
    <cellStyle name="Normal 4 13 4 2 2" xfId="39552" xr:uid="{00000000-0005-0000-0000-00008C950000}"/>
    <cellStyle name="Normal 4 13 4 2 2 2" xfId="55652" xr:uid="{00000000-0005-0000-0000-00008D950000}"/>
    <cellStyle name="Normal 4 13 4 2 3" xfId="46085" xr:uid="{00000000-0005-0000-0000-00008E950000}"/>
    <cellStyle name="Normal 4 13 4 2 4" xfId="29985" xr:uid="{00000000-0005-0000-0000-00008F950000}"/>
    <cellStyle name="Normal 4 13 4 2 5" xfId="20416" xr:uid="{00000000-0005-0000-0000-000090950000}"/>
    <cellStyle name="Normal 4 13 4 3" xfId="10847" xr:uid="{00000000-0005-0000-0000-000091950000}"/>
    <cellStyle name="Normal 4 13 4 3 2" xfId="49121" xr:uid="{00000000-0005-0000-0000-000092950000}"/>
    <cellStyle name="Normal 4 13 4 3 3" xfId="33021" xr:uid="{00000000-0005-0000-0000-000093950000}"/>
    <cellStyle name="Normal 4 13 4 3 4" xfId="23452" xr:uid="{00000000-0005-0000-0000-000094950000}"/>
    <cellStyle name="Normal 4 13 4 4" xfId="4775" xr:uid="{00000000-0005-0000-0000-000095950000}"/>
    <cellStyle name="Normal 4 13 4 4 2" xfId="52616" xr:uid="{00000000-0005-0000-0000-000096950000}"/>
    <cellStyle name="Normal 4 13 4 4 3" xfId="36516" xr:uid="{00000000-0005-0000-0000-000097950000}"/>
    <cellStyle name="Normal 4 13 4 4 4" xfId="17380" xr:uid="{00000000-0005-0000-0000-000098950000}"/>
    <cellStyle name="Normal 4 13 4 5" xfId="43049" xr:uid="{00000000-0005-0000-0000-000099950000}"/>
    <cellStyle name="Normal 4 13 4 6" xfId="26949" xr:uid="{00000000-0005-0000-0000-00009A950000}"/>
    <cellStyle name="Normal 4 13 4 7" xfId="13885" xr:uid="{00000000-0005-0000-0000-00009B950000}"/>
    <cellStyle name="Normal 4 13 5" xfId="3765" xr:uid="{00000000-0005-0000-0000-00009C950000}"/>
    <cellStyle name="Normal 4 13 5 2" xfId="35506" xr:uid="{00000000-0005-0000-0000-00009D950000}"/>
    <cellStyle name="Normal 4 13 5 2 2" xfId="51606" xr:uid="{00000000-0005-0000-0000-00009E950000}"/>
    <cellStyle name="Normal 4 13 5 3" xfId="42039" xr:uid="{00000000-0005-0000-0000-00009F950000}"/>
    <cellStyle name="Normal 4 13 5 4" xfId="25939" xr:uid="{00000000-0005-0000-0000-0000A0950000}"/>
    <cellStyle name="Normal 4 13 5 5" xfId="16370" xr:uid="{00000000-0005-0000-0000-0000A1950000}"/>
    <cellStyle name="Normal 4 13 6" xfId="6801" xr:uid="{00000000-0005-0000-0000-0000A2950000}"/>
    <cellStyle name="Normal 4 13 6 2" xfId="38542" xr:uid="{00000000-0005-0000-0000-0000A3950000}"/>
    <cellStyle name="Normal 4 13 6 2 2" xfId="54642" xr:uid="{00000000-0005-0000-0000-0000A4950000}"/>
    <cellStyle name="Normal 4 13 6 3" xfId="45075" xr:uid="{00000000-0005-0000-0000-0000A5950000}"/>
    <cellStyle name="Normal 4 13 6 4" xfId="28975" xr:uid="{00000000-0005-0000-0000-0000A6950000}"/>
    <cellStyle name="Normal 4 13 6 5" xfId="19406" xr:uid="{00000000-0005-0000-0000-0000A7950000}"/>
    <cellStyle name="Normal 4 13 7" xfId="9837" xr:uid="{00000000-0005-0000-0000-0000A8950000}"/>
    <cellStyle name="Normal 4 13 7 2" xfId="48111" xr:uid="{00000000-0005-0000-0000-0000A9950000}"/>
    <cellStyle name="Normal 4 13 7 3" xfId="32011" xr:uid="{00000000-0005-0000-0000-0000AA950000}"/>
    <cellStyle name="Normal 4 13 7 4" xfId="22442" xr:uid="{00000000-0005-0000-0000-0000AB950000}"/>
    <cellStyle name="Normal 4 13 8" xfId="3307" xr:uid="{00000000-0005-0000-0000-0000AC950000}"/>
    <cellStyle name="Normal 4 13 8 2" xfId="51148" xr:uid="{00000000-0005-0000-0000-0000AD950000}"/>
    <cellStyle name="Normal 4 13 8 3" xfId="35048" xr:uid="{00000000-0005-0000-0000-0000AE950000}"/>
    <cellStyle name="Normal 4 13 8 4" xfId="15912" xr:uid="{00000000-0005-0000-0000-0000AF950000}"/>
    <cellStyle name="Normal 4 13 9" xfId="41581" xr:uid="{00000000-0005-0000-0000-0000B0950000}"/>
    <cellStyle name="Normal 4 14" xfId="728" xr:uid="{00000000-0005-0000-0000-0000B1950000}"/>
    <cellStyle name="Normal 4 14 10" xfId="13336" xr:uid="{00000000-0005-0000-0000-0000B2950000}"/>
    <cellStyle name="Normal 4 14 2" xfId="2756" xr:uid="{00000000-0005-0000-0000-0000B3950000}"/>
    <cellStyle name="Normal 4 14 2 2" xfId="9288" xr:uid="{00000000-0005-0000-0000-0000B4950000}"/>
    <cellStyle name="Normal 4 14 2 2 2" xfId="41029" xr:uid="{00000000-0005-0000-0000-0000B5950000}"/>
    <cellStyle name="Normal 4 14 2 2 2 2" xfId="57129" xr:uid="{00000000-0005-0000-0000-0000B6950000}"/>
    <cellStyle name="Normal 4 14 2 2 3" xfId="47562" xr:uid="{00000000-0005-0000-0000-0000B7950000}"/>
    <cellStyle name="Normal 4 14 2 2 4" xfId="31462" xr:uid="{00000000-0005-0000-0000-0000B8950000}"/>
    <cellStyle name="Normal 4 14 2 2 5" xfId="21893" xr:uid="{00000000-0005-0000-0000-0000B9950000}"/>
    <cellStyle name="Normal 4 14 2 3" xfId="12324" xr:uid="{00000000-0005-0000-0000-0000BA950000}"/>
    <cellStyle name="Normal 4 14 2 3 2" xfId="50598" xr:uid="{00000000-0005-0000-0000-0000BB950000}"/>
    <cellStyle name="Normal 4 14 2 3 3" xfId="34498" xr:uid="{00000000-0005-0000-0000-0000BC950000}"/>
    <cellStyle name="Normal 4 14 2 3 4" xfId="24929" xr:uid="{00000000-0005-0000-0000-0000BD950000}"/>
    <cellStyle name="Normal 4 14 2 4" xfId="6252" xr:uid="{00000000-0005-0000-0000-0000BE950000}"/>
    <cellStyle name="Normal 4 14 2 4 2" xfId="54093" xr:uid="{00000000-0005-0000-0000-0000BF950000}"/>
    <cellStyle name="Normal 4 14 2 4 3" xfId="37993" xr:uid="{00000000-0005-0000-0000-0000C0950000}"/>
    <cellStyle name="Normal 4 14 2 4 4" xfId="18857" xr:uid="{00000000-0005-0000-0000-0000C1950000}"/>
    <cellStyle name="Normal 4 14 2 5" xfId="44526" xr:uid="{00000000-0005-0000-0000-0000C2950000}"/>
    <cellStyle name="Normal 4 14 2 6" xfId="28426" xr:uid="{00000000-0005-0000-0000-0000C3950000}"/>
    <cellStyle name="Normal 4 14 2 7" xfId="15362" xr:uid="{00000000-0005-0000-0000-0000C4950000}"/>
    <cellStyle name="Normal 4 14 3" xfId="1738" xr:uid="{00000000-0005-0000-0000-0000C5950000}"/>
    <cellStyle name="Normal 4 14 3 2" xfId="8272" xr:uid="{00000000-0005-0000-0000-0000C6950000}"/>
    <cellStyle name="Normal 4 14 3 2 2" xfId="40013" xr:uid="{00000000-0005-0000-0000-0000C7950000}"/>
    <cellStyle name="Normal 4 14 3 2 2 2" xfId="56113" xr:uid="{00000000-0005-0000-0000-0000C8950000}"/>
    <cellStyle name="Normal 4 14 3 2 3" xfId="46546" xr:uid="{00000000-0005-0000-0000-0000C9950000}"/>
    <cellStyle name="Normal 4 14 3 2 4" xfId="30446" xr:uid="{00000000-0005-0000-0000-0000CA950000}"/>
    <cellStyle name="Normal 4 14 3 2 5" xfId="20877" xr:uid="{00000000-0005-0000-0000-0000CB950000}"/>
    <cellStyle name="Normal 4 14 3 3" xfId="11308" xr:uid="{00000000-0005-0000-0000-0000CC950000}"/>
    <cellStyle name="Normal 4 14 3 3 2" xfId="49582" xr:uid="{00000000-0005-0000-0000-0000CD950000}"/>
    <cellStyle name="Normal 4 14 3 3 3" xfId="33482" xr:uid="{00000000-0005-0000-0000-0000CE950000}"/>
    <cellStyle name="Normal 4 14 3 3 4" xfId="23913" xr:uid="{00000000-0005-0000-0000-0000CF950000}"/>
    <cellStyle name="Normal 4 14 3 4" xfId="5236" xr:uid="{00000000-0005-0000-0000-0000D0950000}"/>
    <cellStyle name="Normal 4 14 3 4 2" xfId="53077" xr:uid="{00000000-0005-0000-0000-0000D1950000}"/>
    <cellStyle name="Normal 4 14 3 4 3" xfId="36977" xr:uid="{00000000-0005-0000-0000-0000D2950000}"/>
    <cellStyle name="Normal 4 14 3 4 4" xfId="17841" xr:uid="{00000000-0005-0000-0000-0000D3950000}"/>
    <cellStyle name="Normal 4 14 3 5" xfId="43510" xr:uid="{00000000-0005-0000-0000-0000D4950000}"/>
    <cellStyle name="Normal 4 14 3 6" xfId="27410" xr:uid="{00000000-0005-0000-0000-0000D5950000}"/>
    <cellStyle name="Normal 4 14 3 7" xfId="14346" xr:uid="{00000000-0005-0000-0000-0000D6950000}"/>
    <cellStyle name="Normal 4 14 4" xfId="4226" xr:uid="{00000000-0005-0000-0000-0000D7950000}"/>
    <cellStyle name="Normal 4 14 4 2" xfId="35967" xr:uid="{00000000-0005-0000-0000-0000D8950000}"/>
    <cellStyle name="Normal 4 14 4 2 2" xfId="52067" xr:uid="{00000000-0005-0000-0000-0000D9950000}"/>
    <cellStyle name="Normal 4 14 4 3" xfId="42500" xr:uid="{00000000-0005-0000-0000-0000DA950000}"/>
    <cellStyle name="Normal 4 14 4 4" xfId="26400" xr:uid="{00000000-0005-0000-0000-0000DB950000}"/>
    <cellStyle name="Normal 4 14 4 5" xfId="16831" xr:uid="{00000000-0005-0000-0000-0000DC950000}"/>
    <cellStyle name="Normal 4 14 5" xfId="7262" xr:uid="{00000000-0005-0000-0000-0000DD950000}"/>
    <cellStyle name="Normal 4 14 5 2" xfId="39003" xr:uid="{00000000-0005-0000-0000-0000DE950000}"/>
    <cellStyle name="Normal 4 14 5 2 2" xfId="55103" xr:uid="{00000000-0005-0000-0000-0000DF950000}"/>
    <cellStyle name="Normal 4 14 5 3" xfId="45536" xr:uid="{00000000-0005-0000-0000-0000E0950000}"/>
    <cellStyle name="Normal 4 14 5 4" xfId="29436" xr:uid="{00000000-0005-0000-0000-0000E1950000}"/>
    <cellStyle name="Normal 4 14 5 5" xfId="19867" xr:uid="{00000000-0005-0000-0000-0000E2950000}"/>
    <cellStyle name="Normal 4 14 6" xfId="10298" xr:uid="{00000000-0005-0000-0000-0000E3950000}"/>
    <cellStyle name="Normal 4 14 6 2" xfId="48572" xr:uid="{00000000-0005-0000-0000-0000E4950000}"/>
    <cellStyle name="Normal 4 14 6 3" xfId="32472" xr:uid="{00000000-0005-0000-0000-0000E5950000}"/>
    <cellStyle name="Normal 4 14 6 4" xfId="22903" xr:uid="{00000000-0005-0000-0000-0000E6950000}"/>
    <cellStyle name="Normal 4 14 7" xfId="3321" xr:uid="{00000000-0005-0000-0000-0000E7950000}"/>
    <cellStyle name="Normal 4 14 7 2" xfId="51162" xr:uid="{00000000-0005-0000-0000-0000E8950000}"/>
    <cellStyle name="Normal 4 14 7 3" xfId="35062" xr:uid="{00000000-0005-0000-0000-0000E9950000}"/>
    <cellStyle name="Normal 4 14 7 4" xfId="15926" xr:uid="{00000000-0005-0000-0000-0000EA950000}"/>
    <cellStyle name="Normal 4 14 8" xfId="41595" xr:uid="{00000000-0005-0000-0000-0000EB950000}"/>
    <cellStyle name="Normal 4 14 9" xfId="25495" xr:uid="{00000000-0005-0000-0000-0000EC950000}"/>
    <cellStyle name="Normal 4 15" xfId="2065" xr:uid="{00000000-0005-0000-0000-0000ED950000}"/>
    <cellStyle name="Normal 4 15 2" xfId="8599" xr:uid="{00000000-0005-0000-0000-0000EE950000}"/>
    <cellStyle name="Normal 4 15 2 2" xfId="40340" xr:uid="{00000000-0005-0000-0000-0000EF950000}"/>
    <cellStyle name="Normal 4 15 2 2 2" xfId="56440" xr:uid="{00000000-0005-0000-0000-0000F0950000}"/>
    <cellStyle name="Normal 4 15 2 3" xfId="46873" xr:uid="{00000000-0005-0000-0000-0000F1950000}"/>
    <cellStyle name="Normal 4 15 2 4" xfId="30773" xr:uid="{00000000-0005-0000-0000-0000F2950000}"/>
    <cellStyle name="Normal 4 15 2 5" xfId="21204" xr:uid="{00000000-0005-0000-0000-0000F3950000}"/>
    <cellStyle name="Normal 4 15 3" xfId="11635" xr:uid="{00000000-0005-0000-0000-0000F4950000}"/>
    <cellStyle name="Normal 4 15 3 2" xfId="49909" xr:uid="{00000000-0005-0000-0000-0000F5950000}"/>
    <cellStyle name="Normal 4 15 3 3" xfId="33809" xr:uid="{00000000-0005-0000-0000-0000F6950000}"/>
    <cellStyle name="Normal 4 15 3 4" xfId="24240" xr:uid="{00000000-0005-0000-0000-0000F7950000}"/>
    <cellStyle name="Normal 4 15 4" xfId="5563" xr:uid="{00000000-0005-0000-0000-0000F8950000}"/>
    <cellStyle name="Normal 4 15 4 2" xfId="53404" xr:uid="{00000000-0005-0000-0000-0000F9950000}"/>
    <cellStyle name="Normal 4 15 4 3" xfId="37304" xr:uid="{00000000-0005-0000-0000-0000FA950000}"/>
    <cellStyle name="Normal 4 15 4 4" xfId="18168" xr:uid="{00000000-0005-0000-0000-0000FB950000}"/>
    <cellStyle name="Normal 4 15 5" xfId="43837" xr:uid="{00000000-0005-0000-0000-0000FC950000}"/>
    <cellStyle name="Normal 4 15 6" xfId="27737" xr:uid="{00000000-0005-0000-0000-0000FD950000}"/>
    <cellStyle name="Normal 4 15 7" xfId="14673" xr:uid="{00000000-0005-0000-0000-0000FE950000}"/>
    <cellStyle name="Normal 4 16" xfId="1055" xr:uid="{00000000-0005-0000-0000-0000FF950000}"/>
    <cellStyle name="Normal 4 16 2" xfId="7589" xr:uid="{00000000-0005-0000-0000-000000960000}"/>
    <cellStyle name="Normal 4 16 2 2" xfId="39330" xr:uid="{00000000-0005-0000-0000-000001960000}"/>
    <cellStyle name="Normal 4 16 2 2 2" xfId="55430" xr:uid="{00000000-0005-0000-0000-000002960000}"/>
    <cellStyle name="Normal 4 16 2 3" xfId="45863" xr:uid="{00000000-0005-0000-0000-000003960000}"/>
    <cellStyle name="Normal 4 16 2 4" xfId="29763" xr:uid="{00000000-0005-0000-0000-000004960000}"/>
    <cellStyle name="Normal 4 16 2 5" xfId="20194" xr:uid="{00000000-0005-0000-0000-000005960000}"/>
    <cellStyle name="Normal 4 16 3" xfId="10625" xr:uid="{00000000-0005-0000-0000-000006960000}"/>
    <cellStyle name="Normal 4 16 3 2" xfId="48899" xr:uid="{00000000-0005-0000-0000-000007960000}"/>
    <cellStyle name="Normal 4 16 3 3" xfId="32799" xr:uid="{00000000-0005-0000-0000-000008960000}"/>
    <cellStyle name="Normal 4 16 3 4" xfId="23230" xr:uid="{00000000-0005-0000-0000-000009960000}"/>
    <cellStyle name="Normal 4 16 4" xfId="4553" xr:uid="{00000000-0005-0000-0000-00000A960000}"/>
    <cellStyle name="Normal 4 16 4 2" xfId="52394" xr:uid="{00000000-0005-0000-0000-00000B960000}"/>
    <cellStyle name="Normal 4 16 4 3" xfId="36294" xr:uid="{00000000-0005-0000-0000-00000C960000}"/>
    <cellStyle name="Normal 4 16 4 4" xfId="17158" xr:uid="{00000000-0005-0000-0000-00000D960000}"/>
    <cellStyle name="Normal 4 16 5" xfId="42827" xr:uid="{00000000-0005-0000-0000-00000E960000}"/>
    <cellStyle name="Normal 4 16 6" xfId="26727" xr:uid="{00000000-0005-0000-0000-00000F960000}"/>
    <cellStyle name="Normal 4 16 7" xfId="13663" xr:uid="{00000000-0005-0000-0000-000010960000}"/>
    <cellStyle name="Normal 4 17" xfId="3543" xr:uid="{00000000-0005-0000-0000-000011960000}"/>
    <cellStyle name="Normal 4 17 2" xfId="35284" xr:uid="{00000000-0005-0000-0000-000012960000}"/>
    <cellStyle name="Normal 4 17 2 2" xfId="51384" xr:uid="{00000000-0005-0000-0000-000013960000}"/>
    <cellStyle name="Normal 4 17 3" xfId="41817" xr:uid="{00000000-0005-0000-0000-000014960000}"/>
    <cellStyle name="Normal 4 17 4" xfId="25717" xr:uid="{00000000-0005-0000-0000-000015960000}"/>
    <cellStyle name="Normal 4 17 5" xfId="16148" xr:uid="{00000000-0005-0000-0000-000016960000}"/>
    <cellStyle name="Normal 4 18" xfId="6579" xr:uid="{00000000-0005-0000-0000-000017960000}"/>
    <cellStyle name="Normal 4 18 2" xfId="38320" xr:uid="{00000000-0005-0000-0000-000018960000}"/>
    <cellStyle name="Normal 4 18 2 2" xfId="54420" xr:uid="{00000000-0005-0000-0000-000019960000}"/>
    <cellStyle name="Normal 4 18 3" xfId="44853" xr:uid="{00000000-0005-0000-0000-00001A960000}"/>
    <cellStyle name="Normal 4 18 4" xfId="28753" xr:uid="{00000000-0005-0000-0000-00001B960000}"/>
    <cellStyle name="Normal 4 18 5" xfId="19184" xr:uid="{00000000-0005-0000-0000-00001C960000}"/>
    <cellStyle name="Normal 4 19" xfId="9615" xr:uid="{00000000-0005-0000-0000-00001D960000}"/>
    <cellStyle name="Normal 4 19 2" xfId="47889" xr:uid="{00000000-0005-0000-0000-00001E960000}"/>
    <cellStyle name="Normal 4 19 3" xfId="31789" xr:uid="{00000000-0005-0000-0000-00001F960000}"/>
    <cellStyle name="Normal 4 19 4" xfId="22220" xr:uid="{00000000-0005-0000-0000-000020960000}"/>
    <cellStyle name="Normal 4 2" xfId="60" xr:uid="{00000000-0005-0000-0000-000021960000}"/>
    <cellStyle name="Normal 4 2 10" xfId="3561" xr:uid="{00000000-0005-0000-0000-000022960000}"/>
    <cellStyle name="Normal 4 2 10 2" xfId="35302" xr:uid="{00000000-0005-0000-0000-000023960000}"/>
    <cellStyle name="Normal 4 2 10 2 2" xfId="51402" xr:uid="{00000000-0005-0000-0000-000024960000}"/>
    <cellStyle name="Normal 4 2 10 3" xfId="41835" xr:uid="{00000000-0005-0000-0000-000025960000}"/>
    <cellStyle name="Normal 4 2 10 4" xfId="25735" xr:uid="{00000000-0005-0000-0000-000026960000}"/>
    <cellStyle name="Normal 4 2 10 5" xfId="16166" xr:uid="{00000000-0005-0000-0000-000027960000}"/>
    <cellStyle name="Normal 4 2 11" xfId="6597" xr:uid="{00000000-0005-0000-0000-000028960000}"/>
    <cellStyle name="Normal 4 2 11 2" xfId="38338" xr:uid="{00000000-0005-0000-0000-000029960000}"/>
    <cellStyle name="Normal 4 2 11 2 2" xfId="54438" xr:uid="{00000000-0005-0000-0000-00002A960000}"/>
    <cellStyle name="Normal 4 2 11 3" xfId="44871" xr:uid="{00000000-0005-0000-0000-00002B960000}"/>
    <cellStyle name="Normal 4 2 11 4" xfId="28771" xr:uid="{00000000-0005-0000-0000-00002C960000}"/>
    <cellStyle name="Normal 4 2 11 5" xfId="19202" xr:uid="{00000000-0005-0000-0000-00002D960000}"/>
    <cellStyle name="Normal 4 2 12" xfId="9633" xr:uid="{00000000-0005-0000-0000-00002E960000}"/>
    <cellStyle name="Normal 4 2 12 2" xfId="47907" xr:uid="{00000000-0005-0000-0000-00002F960000}"/>
    <cellStyle name="Normal 4 2 12 3" xfId="31807" xr:uid="{00000000-0005-0000-0000-000030960000}"/>
    <cellStyle name="Normal 4 2 12 4" xfId="22238" xr:uid="{00000000-0005-0000-0000-000031960000}"/>
    <cellStyle name="Normal 4 2 13" xfId="3101" xr:uid="{00000000-0005-0000-0000-000032960000}"/>
    <cellStyle name="Normal 4 2 13 2" xfId="50943" xr:uid="{00000000-0005-0000-0000-000033960000}"/>
    <cellStyle name="Normal 4 2 13 3" xfId="34843" xr:uid="{00000000-0005-0000-0000-000034960000}"/>
    <cellStyle name="Normal 4 2 13 4" xfId="15707" xr:uid="{00000000-0005-0000-0000-000035960000}"/>
    <cellStyle name="Normal 4 2 14" xfId="41376" xr:uid="{00000000-0005-0000-0000-000036960000}"/>
    <cellStyle name="Normal 4 2 15" xfId="25276" xr:uid="{00000000-0005-0000-0000-000037960000}"/>
    <cellStyle name="Normal 4 2 16" xfId="12671" xr:uid="{00000000-0005-0000-0000-000038960000}"/>
    <cellStyle name="Normal 4 2 2" xfId="131" xr:uid="{00000000-0005-0000-0000-000039960000}"/>
    <cellStyle name="Normal 4 2 2 10" xfId="9694" xr:uid="{00000000-0005-0000-0000-00003A960000}"/>
    <cellStyle name="Normal 4 2 2 10 2" xfId="47968" xr:uid="{00000000-0005-0000-0000-00003B960000}"/>
    <cellStyle name="Normal 4 2 2 10 3" xfId="31868" xr:uid="{00000000-0005-0000-0000-00003C960000}"/>
    <cellStyle name="Normal 4 2 2 10 4" xfId="22299" xr:uid="{00000000-0005-0000-0000-00003D960000}"/>
    <cellStyle name="Normal 4 2 2 11" xfId="3162" xr:uid="{00000000-0005-0000-0000-00003E960000}"/>
    <cellStyle name="Normal 4 2 2 11 2" xfId="51004" xr:uid="{00000000-0005-0000-0000-00003F960000}"/>
    <cellStyle name="Normal 4 2 2 11 3" xfId="34904" xr:uid="{00000000-0005-0000-0000-000040960000}"/>
    <cellStyle name="Normal 4 2 2 11 4" xfId="15768" xr:uid="{00000000-0005-0000-0000-000041960000}"/>
    <cellStyle name="Normal 4 2 2 12" xfId="41437" xr:uid="{00000000-0005-0000-0000-000042960000}"/>
    <cellStyle name="Normal 4 2 2 13" xfId="25337" xr:uid="{00000000-0005-0000-0000-000043960000}"/>
    <cellStyle name="Normal 4 2 2 14" xfId="12732" xr:uid="{00000000-0005-0000-0000-000044960000}"/>
    <cellStyle name="Normal 4 2 2 2" xfId="206" xr:uid="{00000000-0005-0000-0000-000045960000}"/>
    <cellStyle name="Normal 4 2 2 2 10" xfId="41674" xr:uid="{00000000-0005-0000-0000-000046960000}"/>
    <cellStyle name="Normal 4 2 2 2 11" xfId="25574" xr:uid="{00000000-0005-0000-0000-000047960000}"/>
    <cellStyle name="Normal 4 2 2 2 12" xfId="13035" xr:uid="{00000000-0005-0000-0000-000048960000}"/>
    <cellStyle name="Normal 4 2 2 2 2" xfId="383" xr:uid="{00000000-0005-0000-0000-000049960000}"/>
    <cellStyle name="Normal 4 2 2 2 2 2" xfId="2402" xr:uid="{00000000-0005-0000-0000-00004A960000}"/>
    <cellStyle name="Normal 4 2 2 2 2 2 2" xfId="8936" xr:uid="{00000000-0005-0000-0000-00004B960000}"/>
    <cellStyle name="Normal 4 2 2 2 2 2 2 2" xfId="40677" xr:uid="{00000000-0005-0000-0000-00004C960000}"/>
    <cellStyle name="Normal 4 2 2 2 2 2 2 2 2" xfId="56777" xr:uid="{00000000-0005-0000-0000-00004D960000}"/>
    <cellStyle name="Normal 4 2 2 2 2 2 2 3" xfId="47210" xr:uid="{00000000-0005-0000-0000-00004E960000}"/>
    <cellStyle name="Normal 4 2 2 2 2 2 2 4" xfId="31110" xr:uid="{00000000-0005-0000-0000-00004F960000}"/>
    <cellStyle name="Normal 4 2 2 2 2 2 2 5" xfId="21541" xr:uid="{00000000-0005-0000-0000-000050960000}"/>
    <cellStyle name="Normal 4 2 2 2 2 2 3" xfId="11972" xr:uid="{00000000-0005-0000-0000-000051960000}"/>
    <cellStyle name="Normal 4 2 2 2 2 2 3 2" xfId="50246" xr:uid="{00000000-0005-0000-0000-000052960000}"/>
    <cellStyle name="Normal 4 2 2 2 2 2 3 3" xfId="34146" xr:uid="{00000000-0005-0000-0000-000053960000}"/>
    <cellStyle name="Normal 4 2 2 2 2 2 3 4" xfId="24577" xr:uid="{00000000-0005-0000-0000-000054960000}"/>
    <cellStyle name="Normal 4 2 2 2 2 2 4" xfId="5900" xr:uid="{00000000-0005-0000-0000-000055960000}"/>
    <cellStyle name="Normal 4 2 2 2 2 2 4 2" xfId="53741" xr:uid="{00000000-0005-0000-0000-000056960000}"/>
    <cellStyle name="Normal 4 2 2 2 2 2 4 3" xfId="37641" xr:uid="{00000000-0005-0000-0000-000057960000}"/>
    <cellStyle name="Normal 4 2 2 2 2 2 4 4" xfId="18505" xr:uid="{00000000-0005-0000-0000-000058960000}"/>
    <cellStyle name="Normal 4 2 2 2 2 2 5" xfId="44174" xr:uid="{00000000-0005-0000-0000-000059960000}"/>
    <cellStyle name="Normal 4 2 2 2 2 2 6" xfId="28074" xr:uid="{00000000-0005-0000-0000-00005A960000}"/>
    <cellStyle name="Normal 4 2 2 2 2 2 7" xfId="15010" xr:uid="{00000000-0005-0000-0000-00005B960000}"/>
    <cellStyle name="Normal 4 2 2 2 2 3" xfId="1614" xr:uid="{00000000-0005-0000-0000-00005C960000}"/>
    <cellStyle name="Normal 4 2 2 2 2 3 2" xfId="8148" xr:uid="{00000000-0005-0000-0000-00005D960000}"/>
    <cellStyle name="Normal 4 2 2 2 2 3 2 2" xfId="39889" xr:uid="{00000000-0005-0000-0000-00005E960000}"/>
    <cellStyle name="Normal 4 2 2 2 2 3 2 2 2" xfId="55989" xr:uid="{00000000-0005-0000-0000-00005F960000}"/>
    <cellStyle name="Normal 4 2 2 2 2 3 2 3" xfId="46422" xr:uid="{00000000-0005-0000-0000-000060960000}"/>
    <cellStyle name="Normal 4 2 2 2 2 3 2 4" xfId="30322" xr:uid="{00000000-0005-0000-0000-000061960000}"/>
    <cellStyle name="Normal 4 2 2 2 2 3 2 5" xfId="20753" xr:uid="{00000000-0005-0000-0000-000062960000}"/>
    <cellStyle name="Normal 4 2 2 2 2 3 3" xfId="11184" xr:uid="{00000000-0005-0000-0000-000063960000}"/>
    <cellStyle name="Normal 4 2 2 2 2 3 3 2" xfId="49458" xr:uid="{00000000-0005-0000-0000-000064960000}"/>
    <cellStyle name="Normal 4 2 2 2 2 3 3 3" xfId="33358" xr:uid="{00000000-0005-0000-0000-000065960000}"/>
    <cellStyle name="Normal 4 2 2 2 2 3 3 4" xfId="23789" xr:uid="{00000000-0005-0000-0000-000066960000}"/>
    <cellStyle name="Normal 4 2 2 2 2 3 4" xfId="5112" xr:uid="{00000000-0005-0000-0000-000067960000}"/>
    <cellStyle name="Normal 4 2 2 2 2 3 4 2" xfId="52953" xr:uid="{00000000-0005-0000-0000-000068960000}"/>
    <cellStyle name="Normal 4 2 2 2 2 3 4 3" xfId="36853" xr:uid="{00000000-0005-0000-0000-000069960000}"/>
    <cellStyle name="Normal 4 2 2 2 2 3 4 4" xfId="17717" xr:uid="{00000000-0005-0000-0000-00006A960000}"/>
    <cellStyle name="Normal 4 2 2 2 2 3 5" xfId="43386" xr:uid="{00000000-0005-0000-0000-00006B960000}"/>
    <cellStyle name="Normal 4 2 2 2 2 3 6" xfId="27286" xr:uid="{00000000-0005-0000-0000-00006C960000}"/>
    <cellStyle name="Normal 4 2 2 2 2 3 7" xfId="14222" xr:uid="{00000000-0005-0000-0000-00006D960000}"/>
    <cellStyle name="Normal 4 2 2 2 2 4" xfId="7138" xr:uid="{00000000-0005-0000-0000-00006E960000}"/>
    <cellStyle name="Normal 4 2 2 2 2 4 2" xfId="38879" xr:uid="{00000000-0005-0000-0000-00006F960000}"/>
    <cellStyle name="Normal 4 2 2 2 2 4 2 2" xfId="54979" xr:uid="{00000000-0005-0000-0000-000070960000}"/>
    <cellStyle name="Normal 4 2 2 2 2 4 3" xfId="45412" xr:uid="{00000000-0005-0000-0000-000071960000}"/>
    <cellStyle name="Normal 4 2 2 2 2 4 4" xfId="29312" xr:uid="{00000000-0005-0000-0000-000072960000}"/>
    <cellStyle name="Normal 4 2 2 2 2 4 5" xfId="19743" xr:uid="{00000000-0005-0000-0000-000073960000}"/>
    <cellStyle name="Normal 4 2 2 2 2 5" xfId="10174" xr:uid="{00000000-0005-0000-0000-000074960000}"/>
    <cellStyle name="Normal 4 2 2 2 2 5 2" xfId="48448" xr:uid="{00000000-0005-0000-0000-000075960000}"/>
    <cellStyle name="Normal 4 2 2 2 2 5 3" xfId="32348" xr:uid="{00000000-0005-0000-0000-000076960000}"/>
    <cellStyle name="Normal 4 2 2 2 2 5 4" xfId="22779" xr:uid="{00000000-0005-0000-0000-000077960000}"/>
    <cellStyle name="Normal 4 2 2 2 2 6" xfId="4102" xr:uid="{00000000-0005-0000-0000-000078960000}"/>
    <cellStyle name="Normal 4 2 2 2 2 6 2" xfId="51943" xr:uid="{00000000-0005-0000-0000-000079960000}"/>
    <cellStyle name="Normal 4 2 2 2 2 6 3" xfId="35843" xr:uid="{00000000-0005-0000-0000-00007A960000}"/>
    <cellStyle name="Normal 4 2 2 2 2 6 4" xfId="16707" xr:uid="{00000000-0005-0000-0000-00007B960000}"/>
    <cellStyle name="Normal 4 2 2 2 2 7" xfId="42376" xr:uid="{00000000-0005-0000-0000-00007C960000}"/>
    <cellStyle name="Normal 4 2 2 2 2 8" xfId="26276" xr:uid="{00000000-0005-0000-0000-00007D960000}"/>
    <cellStyle name="Normal 4 2 2 2 2 9" xfId="13212" xr:uid="{00000000-0005-0000-0000-00007E960000}"/>
    <cellStyle name="Normal 4 2 2 2 3" xfId="1021" xr:uid="{00000000-0005-0000-0000-00007F960000}"/>
    <cellStyle name="Normal 4 2 2 2 3 2" xfId="3049" xr:uid="{00000000-0005-0000-0000-000080960000}"/>
    <cellStyle name="Normal 4 2 2 2 3 2 2" xfId="9581" xr:uid="{00000000-0005-0000-0000-000081960000}"/>
    <cellStyle name="Normal 4 2 2 2 3 2 2 2" xfId="41322" xr:uid="{00000000-0005-0000-0000-000082960000}"/>
    <cellStyle name="Normal 4 2 2 2 3 2 2 2 2" xfId="57422" xr:uid="{00000000-0005-0000-0000-000083960000}"/>
    <cellStyle name="Normal 4 2 2 2 3 2 2 3" xfId="47855" xr:uid="{00000000-0005-0000-0000-000084960000}"/>
    <cellStyle name="Normal 4 2 2 2 3 2 2 4" xfId="31755" xr:uid="{00000000-0005-0000-0000-000085960000}"/>
    <cellStyle name="Normal 4 2 2 2 3 2 2 5" xfId="22186" xr:uid="{00000000-0005-0000-0000-000086960000}"/>
    <cellStyle name="Normal 4 2 2 2 3 2 3" xfId="12617" xr:uid="{00000000-0005-0000-0000-000087960000}"/>
    <cellStyle name="Normal 4 2 2 2 3 2 3 2" xfId="50891" xr:uid="{00000000-0005-0000-0000-000088960000}"/>
    <cellStyle name="Normal 4 2 2 2 3 2 3 3" xfId="34791" xr:uid="{00000000-0005-0000-0000-000089960000}"/>
    <cellStyle name="Normal 4 2 2 2 3 2 3 4" xfId="25222" xr:uid="{00000000-0005-0000-0000-00008A960000}"/>
    <cellStyle name="Normal 4 2 2 2 3 2 4" xfId="6545" xr:uid="{00000000-0005-0000-0000-00008B960000}"/>
    <cellStyle name="Normal 4 2 2 2 3 2 4 2" xfId="54386" xr:uid="{00000000-0005-0000-0000-00008C960000}"/>
    <cellStyle name="Normal 4 2 2 2 3 2 4 3" xfId="38286" xr:uid="{00000000-0005-0000-0000-00008D960000}"/>
    <cellStyle name="Normal 4 2 2 2 3 2 4 4" xfId="19150" xr:uid="{00000000-0005-0000-0000-00008E960000}"/>
    <cellStyle name="Normal 4 2 2 2 3 2 5" xfId="44819" xr:uid="{00000000-0005-0000-0000-00008F960000}"/>
    <cellStyle name="Normal 4 2 2 2 3 2 6" xfId="28719" xr:uid="{00000000-0005-0000-0000-000090960000}"/>
    <cellStyle name="Normal 4 2 2 2 3 2 7" xfId="15655" xr:uid="{00000000-0005-0000-0000-000091960000}"/>
    <cellStyle name="Normal 4 2 2 2 3 3" xfId="2031" xr:uid="{00000000-0005-0000-0000-000092960000}"/>
    <cellStyle name="Normal 4 2 2 2 3 3 2" xfId="8565" xr:uid="{00000000-0005-0000-0000-000093960000}"/>
    <cellStyle name="Normal 4 2 2 2 3 3 2 2" xfId="40306" xr:uid="{00000000-0005-0000-0000-000094960000}"/>
    <cellStyle name="Normal 4 2 2 2 3 3 2 2 2" xfId="56406" xr:uid="{00000000-0005-0000-0000-000095960000}"/>
    <cellStyle name="Normal 4 2 2 2 3 3 2 3" xfId="46839" xr:uid="{00000000-0005-0000-0000-000096960000}"/>
    <cellStyle name="Normal 4 2 2 2 3 3 2 4" xfId="30739" xr:uid="{00000000-0005-0000-0000-000097960000}"/>
    <cellStyle name="Normal 4 2 2 2 3 3 2 5" xfId="21170" xr:uid="{00000000-0005-0000-0000-000098960000}"/>
    <cellStyle name="Normal 4 2 2 2 3 3 3" xfId="11601" xr:uid="{00000000-0005-0000-0000-000099960000}"/>
    <cellStyle name="Normal 4 2 2 2 3 3 3 2" xfId="49875" xr:uid="{00000000-0005-0000-0000-00009A960000}"/>
    <cellStyle name="Normal 4 2 2 2 3 3 3 3" xfId="33775" xr:uid="{00000000-0005-0000-0000-00009B960000}"/>
    <cellStyle name="Normal 4 2 2 2 3 3 3 4" xfId="24206" xr:uid="{00000000-0005-0000-0000-00009C960000}"/>
    <cellStyle name="Normal 4 2 2 2 3 3 4" xfId="5529" xr:uid="{00000000-0005-0000-0000-00009D960000}"/>
    <cellStyle name="Normal 4 2 2 2 3 3 4 2" xfId="53370" xr:uid="{00000000-0005-0000-0000-00009E960000}"/>
    <cellStyle name="Normal 4 2 2 2 3 3 4 3" xfId="37270" xr:uid="{00000000-0005-0000-0000-00009F960000}"/>
    <cellStyle name="Normal 4 2 2 2 3 3 4 4" xfId="18134" xr:uid="{00000000-0005-0000-0000-0000A0960000}"/>
    <cellStyle name="Normal 4 2 2 2 3 3 5" xfId="43803" xr:uid="{00000000-0005-0000-0000-0000A1960000}"/>
    <cellStyle name="Normal 4 2 2 2 3 3 6" xfId="27703" xr:uid="{00000000-0005-0000-0000-0000A2960000}"/>
    <cellStyle name="Normal 4 2 2 2 3 3 7" xfId="14639" xr:uid="{00000000-0005-0000-0000-0000A3960000}"/>
    <cellStyle name="Normal 4 2 2 2 3 4" xfId="7555" xr:uid="{00000000-0005-0000-0000-0000A4960000}"/>
    <cellStyle name="Normal 4 2 2 2 3 4 2" xfId="39296" xr:uid="{00000000-0005-0000-0000-0000A5960000}"/>
    <cellStyle name="Normal 4 2 2 2 3 4 2 2" xfId="55396" xr:uid="{00000000-0005-0000-0000-0000A6960000}"/>
    <cellStyle name="Normal 4 2 2 2 3 4 3" xfId="45829" xr:uid="{00000000-0005-0000-0000-0000A7960000}"/>
    <cellStyle name="Normal 4 2 2 2 3 4 4" xfId="29729" xr:uid="{00000000-0005-0000-0000-0000A8960000}"/>
    <cellStyle name="Normal 4 2 2 2 3 4 5" xfId="20160" xr:uid="{00000000-0005-0000-0000-0000A9960000}"/>
    <cellStyle name="Normal 4 2 2 2 3 5" xfId="10591" xr:uid="{00000000-0005-0000-0000-0000AA960000}"/>
    <cellStyle name="Normal 4 2 2 2 3 5 2" xfId="48865" xr:uid="{00000000-0005-0000-0000-0000AB960000}"/>
    <cellStyle name="Normal 4 2 2 2 3 5 3" xfId="32765" xr:uid="{00000000-0005-0000-0000-0000AC960000}"/>
    <cellStyle name="Normal 4 2 2 2 3 5 4" xfId="23196" xr:uid="{00000000-0005-0000-0000-0000AD960000}"/>
    <cellStyle name="Normal 4 2 2 2 3 6" xfId="4519" xr:uid="{00000000-0005-0000-0000-0000AE960000}"/>
    <cellStyle name="Normal 4 2 2 2 3 6 2" xfId="52360" xr:uid="{00000000-0005-0000-0000-0000AF960000}"/>
    <cellStyle name="Normal 4 2 2 2 3 6 3" xfId="36260" xr:uid="{00000000-0005-0000-0000-0000B0960000}"/>
    <cellStyle name="Normal 4 2 2 2 3 6 4" xfId="17124" xr:uid="{00000000-0005-0000-0000-0000B1960000}"/>
    <cellStyle name="Normal 4 2 2 2 3 7" xfId="42793" xr:uid="{00000000-0005-0000-0000-0000B2960000}"/>
    <cellStyle name="Normal 4 2 2 2 3 8" xfId="26693" xr:uid="{00000000-0005-0000-0000-0000B3960000}"/>
    <cellStyle name="Normal 4 2 2 2 3 9" xfId="13629" xr:uid="{00000000-0005-0000-0000-0000B4960000}"/>
    <cellStyle name="Normal 4 2 2 2 4" xfId="2225" xr:uid="{00000000-0005-0000-0000-0000B5960000}"/>
    <cellStyle name="Normal 4 2 2 2 4 2" xfId="8759" xr:uid="{00000000-0005-0000-0000-0000B6960000}"/>
    <cellStyle name="Normal 4 2 2 2 4 2 2" xfId="40500" xr:uid="{00000000-0005-0000-0000-0000B7960000}"/>
    <cellStyle name="Normal 4 2 2 2 4 2 2 2" xfId="56600" xr:uid="{00000000-0005-0000-0000-0000B8960000}"/>
    <cellStyle name="Normal 4 2 2 2 4 2 3" xfId="47033" xr:uid="{00000000-0005-0000-0000-0000B9960000}"/>
    <cellStyle name="Normal 4 2 2 2 4 2 4" xfId="30933" xr:uid="{00000000-0005-0000-0000-0000BA960000}"/>
    <cellStyle name="Normal 4 2 2 2 4 2 5" xfId="21364" xr:uid="{00000000-0005-0000-0000-0000BB960000}"/>
    <cellStyle name="Normal 4 2 2 2 4 3" xfId="11795" xr:uid="{00000000-0005-0000-0000-0000BC960000}"/>
    <cellStyle name="Normal 4 2 2 2 4 3 2" xfId="50069" xr:uid="{00000000-0005-0000-0000-0000BD960000}"/>
    <cellStyle name="Normal 4 2 2 2 4 3 3" xfId="33969" xr:uid="{00000000-0005-0000-0000-0000BE960000}"/>
    <cellStyle name="Normal 4 2 2 2 4 3 4" xfId="24400" xr:uid="{00000000-0005-0000-0000-0000BF960000}"/>
    <cellStyle name="Normal 4 2 2 2 4 4" xfId="5723" xr:uid="{00000000-0005-0000-0000-0000C0960000}"/>
    <cellStyle name="Normal 4 2 2 2 4 4 2" xfId="53564" xr:uid="{00000000-0005-0000-0000-0000C1960000}"/>
    <cellStyle name="Normal 4 2 2 2 4 4 3" xfId="37464" xr:uid="{00000000-0005-0000-0000-0000C2960000}"/>
    <cellStyle name="Normal 4 2 2 2 4 4 4" xfId="18328" xr:uid="{00000000-0005-0000-0000-0000C3960000}"/>
    <cellStyle name="Normal 4 2 2 2 4 5" xfId="43997" xr:uid="{00000000-0005-0000-0000-0000C4960000}"/>
    <cellStyle name="Normal 4 2 2 2 4 6" xfId="27897" xr:uid="{00000000-0005-0000-0000-0000C5960000}"/>
    <cellStyle name="Normal 4 2 2 2 4 7" xfId="14833" xr:uid="{00000000-0005-0000-0000-0000C6960000}"/>
    <cellStyle name="Normal 4 2 2 2 5" xfId="1437" xr:uid="{00000000-0005-0000-0000-0000C7960000}"/>
    <cellStyle name="Normal 4 2 2 2 5 2" xfId="7971" xr:uid="{00000000-0005-0000-0000-0000C8960000}"/>
    <cellStyle name="Normal 4 2 2 2 5 2 2" xfId="39712" xr:uid="{00000000-0005-0000-0000-0000C9960000}"/>
    <cellStyle name="Normal 4 2 2 2 5 2 2 2" xfId="55812" xr:uid="{00000000-0005-0000-0000-0000CA960000}"/>
    <cellStyle name="Normal 4 2 2 2 5 2 3" xfId="46245" xr:uid="{00000000-0005-0000-0000-0000CB960000}"/>
    <cellStyle name="Normal 4 2 2 2 5 2 4" xfId="30145" xr:uid="{00000000-0005-0000-0000-0000CC960000}"/>
    <cellStyle name="Normal 4 2 2 2 5 2 5" xfId="20576" xr:uid="{00000000-0005-0000-0000-0000CD960000}"/>
    <cellStyle name="Normal 4 2 2 2 5 3" xfId="11007" xr:uid="{00000000-0005-0000-0000-0000CE960000}"/>
    <cellStyle name="Normal 4 2 2 2 5 3 2" xfId="49281" xr:uid="{00000000-0005-0000-0000-0000CF960000}"/>
    <cellStyle name="Normal 4 2 2 2 5 3 3" xfId="33181" xr:uid="{00000000-0005-0000-0000-0000D0960000}"/>
    <cellStyle name="Normal 4 2 2 2 5 3 4" xfId="23612" xr:uid="{00000000-0005-0000-0000-0000D1960000}"/>
    <cellStyle name="Normal 4 2 2 2 5 4" xfId="4935" xr:uid="{00000000-0005-0000-0000-0000D2960000}"/>
    <cellStyle name="Normal 4 2 2 2 5 4 2" xfId="52776" xr:uid="{00000000-0005-0000-0000-0000D3960000}"/>
    <cellStyle name="Normal 4 2 2 2 5 4 3" xfId="36676" xr:uid="{00000000-0005-0000-0000-0000D4960000}"/>
    <cellStyle name="Normal 4 2 2 2 5 4 4" xfId="17540" xr:uid="{00000000-0005-0000-0000-0000D5960000}"/>
    <cellStyle name="Normal 4 2 2 2 5 5" xfId="43209" xr:uid="{00000000-0005-0000-0000-0000D6960000}"/>
    <cellStyle name="Normal 4 2 2 2 5 6" xfId="27109" xr:uid="{00000000-0005-0000-0000-0000D7960000}"/>
    <cellStyle name="Normal 4 2 2 2 5 7" xfId="14045" xr:uid="{00000000-0005-0000-0000-0000D8960000}"/>
    <cellStyle name="Normal 4 2 2 2 6" xfId="3925" xr:uid="{00000000-0005-0000-0000-0000D9960000}"/>
    <cellStyle name="Normal 4 2 2 2 6 2" xfId="35666" xr:uid="{00000000-0005-0000-0000-0000DA960000}"/>
    <cellStyle name="Normal 4 2 2 2 6 2 2" xfId="51766" xr:uid="{00000000-0005-0000-0000-0000DB960000}"/>
    <cellStyle name="Normal 4 2 2 2 6 3" xfId="42199" xr:uid="{00000000-0005-0000-0000-0000DC960000}"/>
    <cellStyle name="Normal 4 2 2 2 6 4" xfId="26099" xr:uid="{00000000-0005-0000-0000-0000DD960000}"/>
    <cellStyle name="Normal 4 2 2 2 6 5" xfId="16530" xr:uid="{00000000-0005-0000-0000-0000DE960000}"/>
    <cellStyle name="Normal 4 2 2 2 7" xfId="6961" xr:uid="{00000000-0005-0000-0000-0000DF960000}"/>
    <cellStyle name="Normal 4 2 2 2 7 2" xfId="38702" xr:uid="{00000000-0005-0000-0000-0000E0960000}"/>
    <cellStyle name="Normal 4 2 2 2 7 2 2" xfId="54802" xr:uid="{00000000-0005-0000-0000-0000E1960000}"/>
    <cellStyle name="Normal 4 2 2 2 7 3" xfId="45235" xr:uid="{00000000-0005-0000-0000-0000E2960000}"/>
    <cellStyle name="Normal 4 2 2 2 7 4" xfId="29135" xr:uid="{00000000-0005-0000-0000-0000E3960000}"/>
    <cellStyle name="Normal 4 2 2 2 7 5" xfId="19566" xr:uid="{00000000-0005-0000-0000-0000E4960000}"/>
    <cellStyle name="Normal 4 2 2 2 8" xfId="9997" xr:uid="{00000000-0005-0000-0000-0000E5960000}"/>
    <cellStyle name="Normal 4 2 2 2 8 2" xfId="48271" xr:uid="{00000000-0005-0000-0000-0000E6960000}"/>
    <cellStyle name="Normal 4 2 2 2 8 3" xfId="32171" xr:uid="{00000000-0005-0000-0000-0000E7960000}"/>
    <cellStyle name="Normal 4 2 2 2 8 4" xfId="22602" xr:uid="{00000000-0005-0000-0000-0000E8960000}"/>
    <cellStyle name="Normal 4 2 2 2 9" xfId="3400" xr:uid="{00000000-0005-0000-0000-0000E9960000}"/>
    <cellStyle name="Normal 4 2 2 2 9 2" xfId="51241" xr:uid="{00000000-0005-0000-0000-0000EA960000}"/>
    <cellStyle name="Normal 4 2 2 2 9 3" xfId="35141" xr:uid="{00000000-0005-0000-0000-0000EB960000}"/>
    <cellStyle name="Normal 4 2 2 2 9 4" xfId="16005" xr:uid="{00000000-0005-0000-0000-0000EC960000}"/>
    <cellStyle name="Normal 4 2 2 3" xfId="312" xr:uid="{00000000-0005-0000-0000-0000ED960000}"/>
    <cellStyle name="Normal 4 2 2 3 2" xfId="2331" xr:uid="{00000000-0005-0000-0000-0000EE960000}"/>
    <cellStyle name="Normal 4 2 2 3 2 2" xfId="8865" xr:uid="{00000000-0005-0000-0000-0000EF960000}"/>
    <cellStyle name="Normal 4 2 2 3 2 2 2" xfId="40606" xr:uid="{00000000-0005-0000-0000-0000F0960000}"/>
    <cellStyle name="Normal 4 2 2 3 2 2 2 2" xfId="56706" xr:uid="{00000000-0005-0000-0000-0000F1960000}"/>
    <cellStyle name="Normal 4 2 2 3 2 2 3" xfId="47139" xr:uid="{00000000-0005-0000-0000-0000F2960000}"/>
    <cellStyle name="Normal 4 2 2 3 2 2 4" xfId="31039" xr:uid="{00000000-0005-0000-0000-0000F3960000}"/>
    <cellStyle name="Normal 4 2 2 3 2 2 5" xfId="21470" xr:uid="{00000000-0005-0000-0000-0000F4960000}"/>
    <cellStyle name="Normal 4 2 2 3 2 3" xfId="11901" xr:uid="{00000000-0005-0000-0000-0000F5960000}"/>
    <cellStyle name="Normal 4 2 2 3 2 3 2" xfId="50175" xr:uid="{00000000-0005-0000-0000-0000F6960000}"/>
    <cellStyle name="Normal 4 2 2 3 2 3 3" xfId="34075" xr:uid="{00000000-0005-0000-0000-0000F7960000}"/>
    <cellStyle name="Normal 4 2 2 3 2 3 4" xfId="24506" xr:uid="{00000000-0005-0000-0000-0000F8960000}"/>
    <cellStyle name="Normal 4 2 2 3 2 4" xfId="5829" xr:uid="{00000000-0005-0000-0000-0000F9960000}"/>
    <cellStyle name="Normal 4 2 2 3 2 4 2" xfId="53670" xr:uid="{00000000-0005-0000-0000-0000FA960000}"/>
    <cellStyle name="Normal 4 2 2 3 2 4 3" xfId="37570" xr:uid="{00000000-0005-0000-0000-0000FB960000}"/>
    <cellStyle name="Normal 4 2 2 3 2 4 4" xfId="18434" xr:uid="{00000000-0005-0000-0000-0000FC960000}"/>
    <cellStyle name="Normal 4 2 2 3 2 5" xfId="44103" xr:uid="{00000000-0005-0000-0000-0000FD960000}"/>
    <cellStyle name="Normal 4 2 2 3 2 6" xfId="28003" xr:uid="{00000000-0005-0000-0000-0000FE960000}"/>
    <cellStyle name="Normal 4 2 2 3 2 7" xfId="14939" xr:uid="{00000000-0005-0000-0000-0000FF960000}"/>
    <cellStyle name="Normal 4 2 2 3 3" xfId="1543" xr:uid="{00000000-0005-0000-0000-000000970000}"/>
    <cellStyle name="Normal 4 2 2 3 3 2" xfId="8077" xr:uid="{00000000-0005-0000-0000-000001970000}"/>
    <cellStyle name="Normal 4 2 2 3 3 2 2" xfId="39818" xr:uid="{00000000-0005-0000-0000-000002970000}"/>
    <cellStyle name="Normal 4 2 2 3 3 2 2 2" xfId="55918" xr:uid="{00000000-0005-0000-0000-000003970000}"/>
    <cellStyle name="Normal 4 2 2 3 3 2 3" xfId="46351" xr:uid="{00000000-0005-0000-0000-000004970000}"/>
    <cellStyle name="Normal 4 2 2 3 3 2 4" xfId="30251" xr:uid="{00000000-0005-0000-0000-000005970000}"/>
    <cellStyle name="Normal 4 2 2 3 3 2 5" xfId="20682" xr:uid="{00000000-0005-0000-0000-000006970000}"/>
    <cellStyle name="Normal 4 2 2 3 3 3" xfId="11113" xr:uid="{00000000-0005-0000-0000-000007970000}"/>
    <cellStyle name="Normal 4 2 2 3 3 3 2" xfId="49387" xr:uid="{00000000-0005-0000-0000-000008970000}"/>
    <cellStyle name="Normal 4 2 2 3 3 3 3" xfId="33287" xr:uid="{00000000-0005-0000-0000-000009970000}"/>
    <cellStyle name="Normal 4 2 2 3 3 3 4" xfId="23718" xr:uid="{00000000-0005-0000-0000-00000A970000}"/>
    <cellStyle name="Normal 4 2 2 3 3 4" xfId="5041" xr:uid="{00000000-0005-0000-0000-00000B970000}"/>
    <cellStyle name="Normal 4 2 2 3 3 4 2" xfId="52882" xr:uid="{00000000-0005-0000-0000-00000C970000}"/>
    <cellStyle name="Normal 4 2 2 3 3 4 3" xfId="36782" xr:uid="{00000000-0005-0000-0000-00000D970000}"/>
    <cellStyle name="Normal 4 2 2 3 3 4 4" xfId="17646" xr:uid="{00000000-0005-0000-0000-00000E970000}"/>
    <cellStyle name="Normal 4 2 2 3 3 5" xfId="43315" xr:uid="{00000000-0005-0000-0000-00000F970000}"/>
    <cellStyle name="Normal 4 2 2 3 3 6" xfId="27215" xr:uid="{00000000-0005-0000-0000-000010970000}"/>
    <cellStyle name="Normal 4 2 2 3 3 7" xfId="14151" xr:uid="{00000000-0005-0000-0000-000011970000}"/>
    <cellStyle name="Normal 4 2 2 3 4" xfId="7067" xr:uid="{00000000-0005-0000-0000-000012970000}"/>
    <cellStyle name="Normal 4 2 2 3 4 2" xfId="38808" xr:uid="{00000000-0005-0000-0000-000013970000}"/>
    <cellStyle name="Normal 4 2 2 3 4 2 2" xfId="54908" xr:uid="{00000000-0005-0000-0000-000014970000}"/>
    <cellStyle name="Normal 4 2 2 3 4 3" xfId="45341" xr:uid="{00000000-0005-0000-0000-000015970000}"/>
    <cellStyle name="Normal 4 2 2 3 4 4" xfId="29241" xr:uid="{00000000-0005-0000-0000-000016970000}"/>
    <cellStyle name="Normal 4 2 2 3 4 5" xfId="19672" xr:uid="{00000000-0005-0000-0000-000017970000}"/>
    <cellStyle name="Normal 4 2 2 3 5" xfId="10103" xr:uid="{00000000-0005-0000-0000-000018970000}"/>
    <cellStyle name="Normal 4 2 2 3 5 2" xfId="48377" xr:uid="{00000000-0005-0000-0000-000019970000}"/>
    <cellStyle name="Normal 4 2 2 3 5 3" xfId="32277" xr:uid="{00000000-0005-0000-0000-00001A970000}"/>
    <cellStyle name="Normal 4 2 2 3 5 4" xfId="22708" xr:uid="{00000000-0005-0000-0000-00001B970000}"/>
    <cellStyle name="Normal 4 2 2 3 6" xfId="4031" xr:uid="{00000000-0005-0000-0000-00001C970000}"/>
    <cellStyle name="Normal 4 2 2 3 6 2" xfId="51872" xr:uid="{00000000-0005-0000-0000-00001D970000}"/>
    <cellStyle name="Normal 4 2 2 3 6 3" xfId="35772" xr:uid="{00000000-0005-0000-0000-00001E970000}"/>
    <cellStyle name="Normal 4 2 2 3 6 4" xfId="16636" xr:uid="{00000000-0005-0000-0000-00001F970000}"/>
    <cellStyle name="Normal 4 2 2 3 7" xfId="42305" xr:uid="{00000000-0005-0000-0000-000020970000}"/>
    <cellStyle name="Normal 4 2 2 3 8" xfId="26205" xr:uid="{00000000-0005-0000-0000-000021970000}"/>
    <cellStyle name="Normal 4 2 2 3 9" xfId="13141" xr:uid="{00000000-0005-0000-0000-000022970000}"/>
    <cellStyle name="Normal 4 2 2 4" xfId="569" xr:uid="{00000000-0005-0000-0000-000023970000}"/>
    <cellStyle name="Normal 4 2 2 4 2" xfId="2598" xr:uid="{00000000-0005-0000-0000-000024970000}"/>
    <cellStyle name="Normal 4 2 2 4 2 2" xfId="9130" xr:uid="{00000000-0005-0000-0000-000025970000}"/>
    <cellStyle name="Normal 4 2 2 4 2 2 2" xfId="40871" xr:uid="{00000000-0005-0000-0000-000026970000}"/>
    <cellStyle name="Normal 4 2 2 4 2 2 2 2" xfId="56971" xr:uid="{00000000-0005-0000-0000-000027970000}"/>
    <cellStyle name="Normal 4 2 2 4 2 2 3" xfId="47404" xr:uid="{00000000-0005-0000-0000-000028970000}"/>
    <cellStyle name="Normal 4 2 2 4 2 2 4" xfId="31304" xr:uid="{00000000-0005-0000-0000-000029970000}"/>
    <cellStyle name="Normal 4 2 2 4 2 2 5" xfId="21735" xr:uid="{00000000-0005-0000-0000-00002A970000}"/>
    <cellStyle name="Normal 4 2 2 4 2 3" xfId="12166" xr:uid="{00000000-0005-0000-0000-00002B970000}"/>
    <cellStyle name="Normal 4 2 2 4 2 3 2" xfId="50440" xr:uid="{00000000-0005-0000-0000-00002C970000}"/>
    <cellStyle name="Normal 4 2 2 4 2 3 3" xfId="34340" xr:uid="{00000000-0005-0000-0000-00002D970000}"/>
    <cellStyle name="Normal 4 2 2 4 2 3 4" xfId="24771" xr:uid="{00000000-0005-0000-0000-00002E970000}"/>
    <cellStyle name="Normal 4 2 2 4 2 4" xfId="6094" xr:uid="{00000000-0005-0000-0000-00002F970000}"/>
    <cellStyle name="Normal 4 2 2 4 2 4 2" xfId="53935" xr:uid="{00000000-0005-0000-0000-000030970000}"/>
    <cellStyle name="Normal 4 2 2 4 2 4 3" xfId="37835" xr:uid="{00000000-0005-0000-0000-000031970000}"/>
    <cellStyle name="Normal 4 2 2 4 2 4 4" xfId="18699" xr:uid="{00000000-0005-0000-0000-000032970000}"/>
    <cellStyle name="Normal 4 2 2 4 2 5" xfId="44368" xr:uid="{00000000-0005-0000-0000-000033970000}"/>
    <cellStyle name="Normal 4 2 2 4 2 6" xfId="28268" xr:uid="{00000000-0005-0000-0000-000034970000}"/>
    <cellStyle name="Normal 4 2 2 4 2 7" xfId="15204" xr:uid="{00000000-0005-0000-0000-000035970000}"/>
    <cellStyle name="Normal 4 2 2 4 3" xfId="1366" xr:uid="{00000000-0005-0000-0000-000036970000}"/>
    <cellStyle name="Normal 4 2 2 4 3 2" xfId="7900" xr:uid="{00000000-0005-0000-0000-000037970000}"/>
    <cellStyle name="Normal 4 2 2 4 3 2 2" xfId="39641" xr:uid="{00000000-0005-0000-0000-000038970000}"/>
    <cellStyle name="Normal 4 2 2 4 3 2 2 2" xfId="55741" xr:uid="{00000000-0005-0000-0000-000039970000}"/>
    <cellStyle name="Normal 4 2 2 4 3 2 3" xfId="46174" xr:uid="{00000000-0005-0000-0000-00003A970000}"/>
    <cellStyle name="Normal 4 2 2 4 3 2 4" xfId="30074" xr:uid="{00000000-0005-0000-0000-00003B970000}"/>
    <cellStyle name="Normal 4 2 2 4 3 2 5" xfId="20505" xr:uid="{00000000-0005-0000-0000-00003C970000}"/>
    <cellStyle name="Normal 4 2 2 4 3 3" xfId="10936" xr:uid="{00000000-0005-0000-0000-00003D970000}"/>
    <cellStyle name="Normal 4 2 2 4 3 3 2" xfId="49210" xr:uid="{00000000-0005-0000-0000-00003E970000}"/>
    <cellStyle name="Normal 4 2 2 4 3 3 3" xfId="33110" xr:uid="{00000000-0005-0000-0000-00003F970000}"/>
    <cellStyle name="Normal 4 2 2 4 3 3 4" xfId="23541" xr:uid="{00000000-0005-0000-0000-000040970000}"/>
    <cellStyle name="Normal 4 2 2 4 3 4" xfId="4864" xr:uid="{00000000-0005-0000-0000-000041970000}"/>
    <cellStyle name="Normal 4 2 2 4 3 4 2" xfId="52705" xr:uid="{00000000-0005-0000-0000-000042970000}"/>
    <cellStyle name="Normal 4 2 2 4 3 4 3" xfId="36605" xr:uid="{00000000-0005-0000-0000-000043970000}"/>
    <cellStyle name="Normal 4 2 2 4 3 4 4" xfId="17469" xr:uid="{00000000-0005-0000-0000-000044970000}"/>
    <cellStyle name="Normal 4 2 2 4 3 5" xfId="43138" xr:uid="{00000000-0005-0000-0000-000045970000}"/>
    <cellStyle name="Normal 4 2 2 4 3 6" xfId="27038" xr:uid="{00000000-0005-0000-0000-000046970000}"/>
    <cellStyle name="Normal 4 2 2 4 3 7" xfId="13974" xr:uid="{00000000-0005-0000-0000-000047970000}"/>
    <cellStyle name="Normal 4 2 2 4 4" xfId="6890" xr:uid="{00000000-0005-0000-0000-000048970000}"/>
    <cellStyle name="Normal 4 2 2 4 4 2" xfId="38631" xr:uid="{00000000-0005-0000-0000-000049970000}"/>
    <cellStyle name="Normal 4 2 2 4 4 2 2" xfId="54731" xr:uid="{00000000-0005-0000-0000-00004A970000}"/>
    <cellStyle name="Normal 4 2 2 4 4 3" xfId="45164" xr:uid="{00000000-0005-0000-0000-00004B970000}"/>
    <cellStyle name="Normal 4 2 2 4 4 4" xfId="29064" xr:uid="{00000000-0005-0000-0000-00004C970000}"/>
    <cellStyle name="Normal 4 2 2 4 4 5" xfId="19495" xr:uid="{00000000-0005-0000-0000-00004D970000}"/>
    <cellStyle name="Normal 4 2 2 4 5" xfId="9926" xr:uid="{00000000-0005-0000-0000-00004E970000}"/>
    <cellStyle name="Normal 4 2 2 4 5 2" xfId="48200" xr:uid="{00000000-0005-0000-0000-00004F970000}"/>
    <cellStyle name="Normal 4 2 2 4 5 3" xfId="32100" xr:uid="{00000000-0005-0000-0000-000050970000}"/>
    <cellStyle name="Normal 4 2 2 4 5 4" xfId="22531" xr:uid="{00000000-0005-0000-0000-000051970000}"/>
    <cellStyle name="Normal 4 2 2 4 6" xfId="3854" xr:uid="{00000000-0005-0000-0000-000052970000}"/>
    <cellStyle name="Normal 4 2 2 4 6 2" xfId="51695" xr:uid="{00000000-0005-0000-0000-000053970000}"/>
    <cellStyle name="Normal 4 2 2 4 6 3" xfId="35595" xr:uid="{00000000-0005-0000-0000-000054970000}"/>
    <cellStyle name="Normal 4 2 2 4 6 4" xfId="16459" xr:uid="{00000000-0005-0000-0000-000055970000}"/>
    <cellStyle name="Normal 4 2 2 4 7" xfId="42128" xr:uid="{00000000-0005-0000-0000-000056970000}"/>
    <cellStyle name="Normal 4 2 2 4 8" xfId="26028" xr:uid="{00000000-0005-0000-0000-000057970000}"/>
    <cellStyle name="Normal 4 2 2 4 9" xfId="12964" xr:uid="{00000000-0005-0000-0000-000058970000}"/>
    <cellStyle name="Normal 4 2 2 5" xfId="807" xr:uid="{00000000-0005-0000-0000-000059970000}"/>
    <cellStyle name="Normal 4 2 2 5 2" xfId="2835" xr:uid="{00000000-0005-0000-0000-00005A970000}"/>
    <cellStyle name="Normal 4 2 2 5 2 2" xfId="9367" xr:uid="{00000000-0005-0000-0000-00005B970000}"/>
    <cellStyle name="Normal 4 2 2 5 2 2 2" xfId="41108" xr:uid="{00000000-0005-0000-0000-00005C970000}"/>
    <cellStyle name="Normal 4 2 2 5 2 2 2 2" xfId="57208" xr:uid="{00000000-0005-0000-0000-00005D970000}"/>
    <cellStyle name="Normal 4 2 2 5 2 2 3" xfId="47641" xr:uid="{00000000-0005-0000-0000-00005E970000}"/>
    <cellStyle name="Normal 4 2 2 5 2 2 4" xfId="31541" xr:uid="{00000000-0005-0000-0000-00005F970000}"/>
    <cellStyle name="Normal 4 2 2 5 2 2 5" xfId="21972" xr:uid="{00000000-0005-0000-0000-000060970000}"/>
    <cellStyle name="Normal 4 2 2 5 2 3" xfId="12403" xr:uid="{00000000-0005-0000-0000-000061970000}"/>
    <cellStyle name="Normal 4 2 2 5 2 3 2" xfId="50677" xr:uid="{00000000-0005-0000-0000-000062970000}"/>
    <cellStyle name="Normal 4 2 2 5 2 3 3" xfId="34577" xr:uid="{00000000-0005-0000-0000-000063970000}"/>
    <cellStyle name="Normal 4 2 2 5 2 3 4" xfId="25008" xr:uid="{00000000-0005-0000-0000-000064970000}"/>
    <cellStyle name="Normal 4 2 2 5 2 4" xfId="6331" xr:uid="{00000000-0005-0000-0000-000065970000}"/>
    <cellStyle name="Normal 4 2 2 5 2 4 2" xfId="54172" xr:uid="{00000000-0005-0000-0000-000066970000}"/>
    <cellStyle name="Normal 4 2 2 5 2 4 3" xfId="38072" xr:uid="{00000000-0005-0000-0000-000067970000}"/>
    <cellStyle name="Normal 4 2 2 5 2 4 4" xfId="18936" xr:uid="{00000000-0005-0000-0000-000068970000}"/>
    <cellStyle name="Normal 4 2 2 5 2 5" xfId="44605" xr:uid="{00000000-0005-0000-0000-000069970000}"/>
    <cellStyle name="Normal 4 2 2 5 2 6" xfId="28505" xr:uid="{00000000-0005-0000-0000-00006A970000}"/>
    <cellStyle name="Normal 4 2 2 5 2 7" xfId="15441" xr:uid="{00000000-0005-0000-0000-00006B970000}"/>
    <cellStyle name="Normal 4 2 2 5 3" xfId="1817" xr:uid="{00000000-0005-0000-0000-00006C970000}"/>
    <cellStyle name="Normal 4 2 2 5 3 2" xfId="8351" xr:uid="{00000000-0005-0000-0000-00006D970000}"/>
    <cellStyle name="Normal 4 2 2 5 3 2 2" xfId="40092" xr:uid="{00000000-0005-0000-0000-00006E970000}"/>
    <cellStyle name="Normal 4 2 2 5 3 2 2 2" xfId="56192" xr:uid="{00000000-0005-0000-0000-00006F970000}"/>
    <cellStyle name="Normal 4 2 2 5 3 2 3" xfId="46625" xr:uid="{00000000-0005-0000-0000-000070970000}"/>
    <cellStyle name="Normal 4 2 2 5 3 2 4" xfId="30525" xr:uid="{00000000-0005-0000-0000-000071970000}"/>
    <cellStyle name="Normal 4 2 2 5 3 2 5" xfId="20956" xr:uid="{00000000-0005-0000-0000-000072970000}"/>
    <cellStyle name="Normal 4 2 2 5 3 3" xfId="11387" xr:uid="{00000000-0005-0000-0000-000073970000}"/>
    <cellStyle name="Normal 4 2 2 5 3 3 2" xfId="49661" xr:uid="{00000000-0005-0000-0000-000074970000}"/>
    <cellStyle name="Normal 4 2 2 5 3 3 3" xfId="33561" xr:uid="{00000000-0005-0000-0000-000075970000}"/>
    <cellStyle name="Normal 4 2 2 5 3 3 4" xfId="23992" xr:uid="{00000000-0005-0000-0000-000076970000}"/>
    <cellStyle name="Normal 4 2 2 5 3 4" xfId="5315" xr:uid="{00000000-0005-0000-0000-000077970000}"/>
    <cellStyle name="Normal 4 2 2 5 3 4 2" xfId="53156" xr:uid="{00000000-0005-0000-0000-000078970000}"/>
    <cellStyle name="Normal 4 2 2 5 3 4 3" xfId="37056" xr:uid="{00000000-0005-0000-0000-000079970000}"/>
    <cellStyle name="Normal 4 2 2 5 3 4 4" xfId="17920" xr:uid="{00000000-0005-0000-0000-00007A970000}"/>
    <cellStyle name="Normal 4 2 2 5 3 5" xfId="43589" xr:uid="{00000000-0005-0000-0000-00007B970000}"/>
    <cellStyle name="Normal 4 2 2 5 3 6" xfId="27489" xr:uid="{00000000-0005-0000-0000-00007C970000}"/>
    <cellStyle name="Normal 4 2 2 5 3 7" xfId="14425" xr:uid="{00000000-0005-0000-0000-00007D970000}"/>
    <cellStyle name="Normal 4 2 2 5 4" xfId="7341" xr:uid="{00000000-0005-0000-0000-00007E970000}"/>
    <cellStyle name="Normal 4 2 2 5 4 2" xfId="39082" xr:uid="{00000000-0005-0000-0000-00007F970000}"/>
    <cellStyle name="Normal 4 2 2 5 4 2 2" xfId="55182" xr:uid="{00000000-0005-0000-0000-000080970000}"/>
    <cellStyle name="Normal 4 2 2 5 4 3" xfId="45615" xr:uid="{00000000-0005-0000-0000-000081970000}"/>
    <cellStyle name="Normal 4 2 2 5 4 4" xfId="29515" xr:uid="{00000000-0005-0000-0000-000082970000}"/>
    <cellStyle name="Normal 4 2 2 5 4 5" xfId="19946" xr:uid="{00000000-0005-0000-0000-000083970000}"/>
    <cellStyle name="Normal 4 2 2 5 5" xfId="10377" xr:uid="{00000000-0005-0000-0000-000084970000}"/>
    <cellStyle name="Normal 4 2 2 5 5 2" xfId="48651" xr:uid="{00000000-0005-0000-0000-000085970000}"/>
    <cellStyle name="Normal 4 2 2 5 5 3" xfId="32551" xr:uid="{00000000-0005-0000-0000-000086970000}"/>
    <cellStyle name="Normal 4 2 2 5 5 4" xfId="22982" xr:uid="{00000000-0005-0000-0000-000087970000}"/>
    <cellStyle name="Normal 4 2 2 5 6" xfId="4305" xr:uid="{00000000-0005-0000-0000-000088970000}"/>
    <cellStyle name="Normal 4 2 2 5 6 2" xfId="52146" xr:uid="{00000000-0005-0000-0000-000089970000}"/>
    <cellStyle name="Normal 4 2 2 5 6 3" xfId="36046" xr:uid="{00000000-0005-0000-0000-00008A970000}"/>
    <cellStyle name="Normal 4 2 2 5 6 4" xfId="16910" xr:uid="{00000000-0005-0000-0000-00008B970000}"/>
    <cellStyle name="Normal 4 2 2 5 7" xfId="42579" xr:uid="{00000000-0005-0000-0000-00008C970000}"/>
    <cellStyle name="Normal 4 2 2 5 8" xfId="26479" xr:uid="{00000000-0005-0000-0000-00008D970000}"/>
    <cellStyle name="Normal 4 2 2 5 9" xfId="13415" xr:uid="{00000000-0005-0000-0000-00008E970000}"/>
    <cellStyle name="Normal 4 2 2 6" xfId="2154" xr:uid="{00000000-0005-0000-0000-00008F970000}"/>
    <cellStyle name="Normal 4 2 2 6 2" xfId="8688" xr:uid="{00000000-0005-0000-0000-000090970000}"/>
    <cellStyle name="Normal 4 2 2 6 2 2" xfId="40429" xr:uid="{00000000-0005-0000-0000-000091970000}"/>
    <cellStyle name="Normal 4 2 2 6 2 2 2" xfId="56529" xr:uid="{00000000-0005-0000-0000-000092970000}"/>
    <cellStyle name="Normal 4 2 2 6 2 3" xfId="46962" xr:uid="{00000000-0005-0000-0000-000093970000}"/>
    <cellStyle name="Normal 4 2 2 6 2 4" xfId="30862" xr:uid="{00000000-0005-0000-0000-000094970000}"/>
    <cellStyle name="Normal 4 2 2 6 2 5" xfId="21293" xr:uid="{00000000-0005-0000-0000-000095970000}"/>
    <cellStyle name="Normal 4 2 2 6 3" xfId="11724" xr:uid="{00000000-0005-0000-0000-000096970000}"/>
    <cellStyle name="Normal 4 2 2 6 3 2" xfId="49998" xr:uid="{00000000-0005-0000-0000-000097970000}"/>
    <cellStyle name="Normal 4 2 2 6 3 3" xfId="33898" xr:uid="{00000000-0005-0000-0000-000098970000}"/>
    <cellStyle name="Normal 4 2 2 6 3 4" xfId="24329" xr:uid="{00000000-0005-0000-0000-000099970000}"/>
    <cellStyle name="Normal 4 2 2 6 4" xfId="5652" xr:uid="{00000000-0005-0000-0000-00009A970000}"/>
    <cellStyle name="Normal 4 2 2 6 4 2" xfId="53493" xr:uid="{00000000-0005-0000-0000-00009B970000}"/>
    <cellStyle name="Normal 4 2 2 6 4 3" xfId="37393" xr:uid="{00000000-0005-0000-0000-00009C970000}"/>
    <cellStyle name="Normal 4 2 2 6 4 4" xfId="18257" xr:uid="{00000000-0005-0000-0000-00009D970000}"/>
    <cellStyle name="Normal 4 2 2 6 5" xfId="43926" xr:uid="{00000000-0005-0000-0000-00009E970000}"/>
    <cellStyle name="Normal 4 2 2 6 6" xfId="27826" xr:uid="{00000000-0005-0000-0000-00009F970000}"/>
    <cellStyle name="Normal 4 2 2 6 7" xfId="14762" xr:uid="{00000000-0005-0000-0000-0000A0970000}"/>
    <cellStyle name="Normal 4 2 2 7" xfId="1134" xr:uid="{00000000-0005-0000-0000-0000A1970000}"/>
    <cellStyle name="Normal 4 2 2 7 2" xfId="7668" xr:uid="{00000000-0005-0000-0000-0000A2970000}"/>
    <cellStyle name="Normal 4 2 2 7 2 2" xfId="39409" xr:uid="{00000000-0005-0000-0000-0000A3970000}"/>
    <cellStyle name="Normal 4 2 2 7 2 2 2" xfId="55509" xr:uid="{00000000-0005-0000-0000-0000A4970000}"/>
    <cellStyle name="Normal 4 2 2 7 2 3" xfId="45942" xr:uid="{00000000-0005-0000-0000-0000A5970000}"/>
    <cellStyle name="Normal 4 2 2 7 2 4" xfId="29842" xr:uid="{00000000-0005-0000-0000-0000A6970000}"/>
    <cellStyle name="Normal 4 2 2 7 2 5" xfId="20273" xr:uid="{00000000-0005-0000-0000-0000A7970000}"/>
    <cellStyle name="Normal 4 2 2 7 3" xfId="10704" xr:uid="{00000000-0005-0000-0000-0000A8970000}"/>
    <cellStyle name="Normal 4 2 2 7 3 2" xfId="48978" xr:uid="{00000000-0005-0000-0000-0000A9970000}"/>
    <cellStyle name="Normal 4 2 2 7 3 3" xfId="32878" xr:uid="{00000000-0005-0000-0000-0000AA970000}"/>
    <cellStyle name="Normal 4 2 2 7 3 4" xfId="23309" xr:uid="{00000000-0005-0000-0000-0000AB970000}"/>
    <cellStyle name="Normal 4 2 2 7 4" xfId="4632" xr:uid="{00000000-0005-0000-0000-0000AC970000}"/>
    <cellStyle name="Normal 4 2 2 7 4 2" xfId="52473" xr:uid="{00000000-0005-0000-0000-0000AD970000}"/>
    <cellStyle name="Normal 4 2 2 7 4 3" xfId="36373" xr:uid="{00000000-0005-0000-0000-0000AE970000}"/>
    <cellStyle name="Normal 4 2 2 7 4 4" xfId="17237" xr:uid="{00000000-0005-0000-0000-0000AF970000}"/>
    <cellStyle name="Normal 4 2 2 7 5" xfId="42906" xr:uid="{00000000-0005-0000-0000-0000B0970000}"/>
    <cellStyle name="Normal 4 2 2 7 6" xfId="26806" xr:uid="{00000000-0005-0000-0000-0000B1970000}"/>
    <cellStyle name="Normal 4 2 2 7 7" xfId="13742" xr:uid="{00000000-0005-0000-0000-0000B2970000}"/>
    <cellStyle name="Normal 4 2 2 8" xfId="3622" xr:uid="{00000000-0005-0000-0000-0000B3970000}"/>
    <cellStyle name="Normal 4 2 2 8 2" xfId="35363" xr:uid="{00000000-0005-0000-0000-0000B4970000}"/>
    <cellStyle name="Normal 4 2 2 8 2 2" xfId="51463" xr:uid="{00000000-0005-0000-0000-0000B5970000}"/>
    <cellStyle name="Normal 4 2 2 8 3" xfId="41896" xr:uid="{00000000-0005-0000-0000-0000B6970000}"/>
    <cellStyle name="Normal 4 2 2 8 4" xfId="25796" xr:uid="{00000000-0005-0000-0000-0000B7970000}"/>
    <cellStyle name="Normal 4 2 2 8 5" xfId="16227" xr:uid="{00000000-0005-0000-0000-0000B8970000}"/>
    <cellStyle name="Normal 4 2 2 9" xfId="6658" xr:uid="{00000000-0005-0000-0000-0000B9970000}"/>
    <cellStyle name="Normal 4 2 2 9 2" xfId="38399" xr:uid="{00000000-0005-0000-0000-0000BA970000}"/>
    <cellStyle name="Normal 4 2 2 9 2 2" xfId="54499" xr:uid="{00000000-0005-0000-0000-0000BB970000}"/>
    <cellStyle name="Normal 4 2 2 9 3" xfId="44932" xr:uid="{00000000-0005-0000-0000-0000BC970000}"/>
    <cellStyle name="Normal 4 2 2 9 4" xfId="28832" xr:uid="{00000000-0005-0000-0000-0000BD970000}"/>
    <cellStyle name="Normal 4 2 2 9 5" xfId="19263" xr:uid="{00000000-0005-0000-0000-0000BE970000}"/>
    <cellStyle name="Normal 4 2 3" xfId="95" xr:uid="{00000000-0005-0000-0000-0000BF970000}"/>
    <cellStyle name="Normal 4 2 3 10" xfId="41613" xr:uid="{00000000-0005-0000-0000-0000C0970000}"/>
    <cellStyle name="Normal 4 2 3 11" xfId="25513" xr:uid="{00000000-0005-0000-0000-0000C1970000}"/>
    <cellStyle name="Normal 4 2 3 12" xfId="12928" xr:uid="{00000000-0005-0000-0000-0000C2970000}"/>
    <cellStyle name="Normal 4 2 3 2" xfId="276" xr:uid="{00000000-0005-0000-0000-0000C3970000}"/>
    <cellStyle name="Normal 4 2 3 2 2" xfId="2295" xr:uid="{00000000-0005-0000-0000-0000C4970000}"/>
    <cellStyle name="Normal 4 2 3 2 2 2" xfId="8829" xr:uid="{00000000-0005-0000-0000-0000C5970000}"/>
    <cellStyle name="Normal 4 2 3 2 2 2 2" xfId="40570" xr:uid="{00000000-0005-0000-0000-0000C6970000}"/>
    <cellStyle name="Normal 4 2 3 2 2 2 2 2" xfId="56670" xr:uid="{00000000-0005-0000-0000-0000C7970000}"/>
    <cellStyle name="Normal 4 2 3 2 2 2 3" xfId="47103" xr:uid="{00000000-0005-0000-0000-0000C8970000}"/>
    <cellStyle name="Normal 4 2 3 2 2 2 4" xfId="31003" xr:uid="{00000000-0005-0000-0000-0000C9970000}"/>
    <cellStyle name="Normal 4 2 3 2 2 2 5" xfId="21434" xr:uid="{00000000-0005-0000-0000-0000CA970000}"/>
    <cellStyle name="Normal 4 2 3 2 2 3" xfId="11865" xr:uid="{00000000-0005-0000-0000-0000CB970000}"/>
    <cellStyle name="Normal 4 2 3 2 2 3 2" xfId="50139" xr:uid="{00000000-0005-0000-0000-0000CC970000}"/>
    <cellStyle name="Normal 4 2 3 2 2 3 3" xfId="34039" xr:uid="{00000000-0005-0000-0000-0000CD970000}"/>
    <cellStyle name="Normal 4 2 3 2 2 3 4" xfId="24470" xr:uid="{00000000-0005-0000-0000-0000CE970000}"/>
    <cellStyle name="Normal 4 2 3 2 2 4" xfId="5793" xr:uid="{00000000-0005-0000-0000-0000CF970000}"/>
    <cellStyle name="Normal 4 2 3 2 2 4 2" xfId="53634" xr:uid="{00000000-0005-0000-0000-0000D0970000}"/>
    <cellStyle name="Normal 4 2 3 2 2 4 3" xfId="37534" xr:uid="{00000000-0005-0000-0000-0000D1970000}"/>
    <cellStyle name="Normal 4 2 3 2 2 4 4" xfId="18398" xr:uid="{00000000-0005-0000-0000-0000D2970000}"/>
    <cellStyle name="Normal 4 2 3 2 2 5" xfId="44067" xr:uid="{00000000-0005-0000-0000-0000D3970000}"/>
    <cellStyle name="Normal 4 2 3 2 2 6" xfId="27967" xr:uid="{00000000-0005-0000-0000-0000D4970000}"/>
    <cellStyle name="Normal 4 2 3 2 2 7" xfId="14903" xr:uid="{00000000-0005-0000-0000-0000D5970000}"/>
    <cellStyle name="Normal 4 2 3 2 3" xfId="1507" xr:uid="{00000000-0005-0000-0000-0000D6970000}"/>
    <cellStyle name="Normal 4 2 3 2 3 2" xfId="8041" xr:uid="{00000000-0005-0000-0000-0000D7970000}"/>
    <cellStyle name="Normal 4 2 3 2 3 2 2" xfId="39782" xr:uid="{00000000-0005-0000-0000-0000D8970000}"/>
    <cellStyle name="Normal 4 2 3 2 3 2 2 2" xfId="55882" xr:uid="{00000000-0005-0000-0000-0000D9970000}"/>
    <cellStyle name="Normal 4 2 3 2 3 2 3" xfId="46315" xr:uid="{00000000-0005-0000-0000-0000DA970000}"/>
    <cellStyle name="Normal 4 2 3 2 3 2 4" xfId="30215" xr:uid="{00000000-0005-0000-0000-0000DB970000}"/>
    <cellStyle name="Normal 4 2 3 2 3 2 5" xfId="20646" xr:uid="{00000000-0005-0000-0000-0000DC970000}"/>
    <cellStyle name="Normal 4 2 3 2 3 3" xfId="11077" xr:uid="{00000000-0005-0000-0000-0000DD970000}"/>
    <cellStyle name="Normal 4 2 3 2 3 3 2" xfId="49351" xr:uid="{00000000-0005-0000-0000-0000DE970000}"/>
    <cellStyle name="Normal 4 2 3 2 3 3 3" xfId="33251" xr:uid="{00000000-0005-0000-0000-0000DF970000}"/>
    <cellStyle name="Normal 4 2 3 2 3 3 4" xfId="23682" xr:uid="{00000000-0005-0000-0000-0000E0970000}"/>
    <cellStyle name="Normal 4 2 3 2 3 4" xfId="5005" xr:uid="{00000000-0005-0000-0000-0000E1970000}"/>
    <cellStyle name="Normal 4 2 3 2 3 4 2" xfId="52846" xr:uid="{00000000-0005-0000-0000-0000E2970000}"/>
    <cellStyle name="Normal 4 2 3 2 3 4 3" xfId="36746" xr:uid="{00000000-0005-0000-0000-0000E3970000}"/>
    <cellStyle name="Normal 4 2 3 2 3 4 4" xfId="17610" xr:uid="{00000000-0005-0000-0000-0000E4970000}"/>
    <cellStyle name="Normal 4 2 3 2 3 5" xfId="43279" xr:uid="{00000000-0005-0000-0000-0000E5970000}"/>
    <cellStyle name="Normal 4 2 3 2 3 6" xfId="27179" xr:uid="{00000000-0005-0000-0000-0000E6970000}"/>
    <cellStyle name="Normal 4 2 3 2 3 7" xfId="14115" xr:uid="{00000000-0005-0000-0000-0000E7970000}"/>
    <cellStyle name="Normal 4 2 3 2 4" xfId="7031" xr:uid="{00000000-0005-0000-0000-0000E8970000}"/>
    <cellStyle name="Normal 4 2 3 2 4 2" xfId="38772" xr:uid="{00000000-0005-0000-0000-0000E9970000}"/>
    <cellStyle name="Normal 4 2 3 2 4 2 2" xfId="54872" xr:uid="{00000000-0005-0000-0000-0000EA970000}"/>
    <cellStyle name="Normal 4 2 3 2 4 3" xfId="45305" xr:uid="{00000000-0005-0000-0000-0000EB970000}"/>
    <cellStyle name="Normal 4 2 3 2 4 4" xfId="29205" xr:uid="{00000000-0005-0000-0000-0000EC970000}"/>
    <cellStyle name="Normal 4 2 3 2 4 5" xfId="19636" xr:uid="{00000000-0005-0000-0000-0000ED970000}"/>
    <cellStyle name="Normal 4 2 3 2 5" xfId="10067" xr:uid="{00000000-0005-0000-0000-0000EE970000}"/>
    <cellStyle name="Normal 4 2 3 2 5 2" xfId="48341" xr:uid="{00000000-0005-0000-0000-0000EF970000}"/>
    <cellStyle name="Normal 4 2 3 2 5 3" xfId="32241" xr:uid="{00000000-0005-0000-0000-0000F0970000}"/>
    <cellStyle name="Normal 4 2 3 2 5 4" xfId="22672" xr:uid="{00000000-0005-0000-0000-0000F1970000}"/>
    <cellStyle name="Normal 4 2 3 2 6" xfId="3995" xr:uid="{00000000-0005-0000-0000-0000F2970000}"/>
    <cellStyle name="Normal 4 2 3 2 6 2" xfId="51836" xr:uid="{00000000-0005-0000-0000-0000F3970000}"/>
    <cellStyle name="Normal 4 2 3 2 6 3" xfId="35736" xr:uid="{00000000-0005-0000-0000-0000F4970000}"/>
    <cellStyle name="Normal 4 2 3 2 6 4" xfId="16600" xr:uid="{00000000-0005-0000-0000-0000F5970000}"/>
    <cellStyle name="Normal 4 2 3 2 7" xfId="42269" xr:uid="{00000000-0005-0000-0000-0000F6970000}"/>
    <cellStyle name="Normal 4 2 3 2 8" xfId="26169" xr:uid="{00000000-0005-0000-0000-0000F7970000}"/>
    <cellStyle name="Normal 4 2 3 2 9" xfId="13105" xr:uid="{00000000-0005-0000-0000-0000F8970000}"/>
    <cellStyle name="Normal 4 2 3 3" xfId="968" xr:uid="{00000000-0005-0000-0000-0000F9970000}"/>
    <cellStyle name="Normal 4 2 3 3 2" xfId="2996" xr:uid="{00000000-0005-0000-0000-0000FA970000}"/>
    <cellStyle name="Normal 4 2 3 3 2 2" xfId="9528" xr:uid="{00000000-0005-0000-0000-0000FB970000}"/>
    <cellStyle name="Normal 4 2 3 3 2 2 2" xfId="41269" xr:uid="{00000000-0005-0000-0000-0000FC970000}"/>
    <cellStyle name="Normal 4 2 3 3 2 2 2 2" xfId="57369" xr:uid="{00000000-0005-0000-0000-0000FD970000}"/>
    <cellStyle name="Normal 4 2 3 3 2 2 3" xfId="47802" xr:uid="{00000000-0005-0000-0000-0000FE970000}"/>
    <cellStyle name="Normal 4 2 3 3 2 2 4" xfId="31702" xr:uid="{00000000-0005-0000-0000-0000FF970000}"/>
    <cellStyle name="Normal 4 2 3 3 2 2 5" xfId="22133" xr:uid="{00000000-0005-0000-0000-000000980000}"/>
    <cellStyle name="Normal 4 2 3 3 2 3" xfId="12564" xr:uid="{00000000-0005-0000-0000-000001980000}"/>
    <cellStyle name="Normal 4 2 3 3 2 3 2" xfId="50838" xr:uid="{00000000-0005-0000-0000-000002980000}"/>
    <cellStyle name="Normal 4 2 3 3 2 3 3" xfId="34738" xr:uid="{00000000-0005-0000-0000-000003980000}"/>
    <cellStyle name="Normal 4 2 3 3 2 3 4" xfId="25169" xr:uid="{00000000-0005-0000-0000-000004980000}"/>
    <cellStyle name="Normal 4 2 3 3 2 4" xfId="6492" xr:uid="{00000000-0005-0000-0000-000005980000}"/>
    <cellStyle name="Normal 4 2 3 3 2 4 2" xfId="54333" xr:uid="{00000000-0005-0000-0000-000006980000}"/>
    <cellStyle name="Normal 4 2 3 3 2 4 3" xfId="38233" xr:uid="{00000000-0005-0000-0000-000007980000}"/>
    <cellStyle name="Normal 4 2 3 3 2 4 4" xfId="19097" xr:uid="{00000000-0005-0000-0000-000008980000}"/>
    <cellStyle name="Normal 4 2 3 3 2 5" xfId="44766" xr:uid="{00000000-0005-0000-0000-000009980000}"/>
    <cellStyle name="Normal 4 2 3 3 2 6" xfId="28666" xr:uid="{00000000-0005-0000-0000-00000A980000}"/>
    <cellStyle name="Normal 4 2 3 3 2 7" xfId="15602" xr:uid="{00000000-0005-0000-0000-00000B980000}"/>
    <cellStyle name="Normal 4 2 3 3 3" xfId="1978" xr:uid="{00000000-0005-0000-0000-00000C980000}"/>
    <cellStyle name="Normal 4 2 3 3 3 2" xfId="8512" xr:uid="{00000000-0005-0000-0000-00000D980000}"/>
    <cellStyle name="Normal 4 2 3 3 3 2 2" xfId="40253" xr:uid="{00000000-0005-0000-0000-00000E980000}"/>
    <cellStyle name="Normal 4 2 3 3 3 2 2 2" xfId="56353" xr:uid="{00000000-0005-0000-0000-00000F980000}"/>
    <cellStyle name="Normal 4 2 3 3 3 2 3" xfId="46786" xr:uid="{00000000-0005-0000-0000-000010980000}"/>
    <cellStyle name="Normal 4 2 3 3 3 2 4" xfId="30686" xr:uid="{00000000-0005-0000-0000-000011980000}"/>
    <cellStyle name="Normal 4 2 3 3 3 2 5" xfId="21117" xr:uid="{00000000-0005-0000-0000-000012980000}"/>
    <cellStyle name="Normal 4 2 3 3 3 3" xfId="11548" xr:uid="{00000000-0005-0000-0000-000013980000}"/>
    <cellStyle name="Normal 4 2 3 3 3 3 2" xfId="49822" xr:uid="{00000000-0005-0000-0000-000014980000}"/>
    <cellStyle name="Normal 4 2 3 3 3 3 3" xfId="33722" xr:uid="{00000000-0005-0000-0000-000015980000}"/>
    <cellStyle name="Normal 4 2 3 3 3 3 4" xfId="24153" xr:uid="{00000000-0005-0000-0000-000016980000}"/>
    <cellStyle name="Normal 4 2 3 3 3 4" xfId="5476" xr:uid="{00000000-0005-0000-0000-000017980000}"/>
    <cellStyle name="Normal 4 2 3 3 3 4 2" xfId="53317" xr:uid="{00000000-0005-0000-0000-000018980000}"/>
    <cellStyle name="Normal 4 2 3 3 3 4 3" xfId="37217" xr:uid="{00000000-0005-0000-0000-000019980000}"/>
    <cellStyle name="Normal 4 2 3 3 3 4 4" xfId="18081" xr:uid="{00000000-0005-0000-0000-00001A980000}"/>
    <cellStyle name="Normal 4 2 3 3 3 5" xfId="43750" xr:uid="{00000000-0005-0000-0000-00001B980000}"/>
    <cellStyle name="Normal 4 2 3 3 3 6" xfId="27650" xr:uid="{00000000-0005-0000-0000-00001C980000}"/>
    <cellStyle name="Normal 4 2 3 3 3 7" xfId="14586" xr:uid="{00000000-0005-0000-0000-00001D980000}"/>
    <cellStyle name="Normal 4 2 3 3 4" xfId="7502" xr:uid="{00000000-0005-0000-0000-00001E980000}"/>
    <cellStyle name="Normal 4 2 3 3 4 2" xfId="39243" xr:uid="{00000000-0005-0000-0000-00001F980000}"/>
    <cellStyle name="Normal 4 2 3 3 4 2 2" xfId="55343" xr:uid="{00000000-0005-0000-0000-000020980000}"/>
    <cellStyle name="Normal 4 2 3 3 4 3" xfId="45776" xr:uid="{00000000-0005-0000-0000-000021980000}"/>
    <cellStyle name="Normal 4 2 3 3 4 4" xfId="29676" xr:uid="{00000000-0005-0000-0000-000022980000}"/>
    <cellStyle name="Normal 4 2 3 3 4 5" xfId="20107" xr:uid="{00000000-0005-0000-0000-000023980000}"/>
    <cellStyle name="Normal 4 2 3 3 5" xfId="10538" xr:uid="{00000000-0005-0000-0000-000024980000}"/>
    <cellStyle name="Normal 4 2 3 3 5 2" xfId="48812" xr:uid="{00000000-0005-0000-0000-000025980000}"/>
    <cellStyle name="Normal 4 2 3 3 5 3" xfId="32712" xr:uid="{00000000-0005-0000-0000-000026980000}"/>
    <cellStyle name="Normal 4 2 3 3 5 4" xfId="23143" xr:uid="{00000000-0005-0000-0000-000027980000}"/>
    <cellStyle name="Normal 4 2 3 3 6" xfId="4466" xr:uid="{00000000-0005-0000-0000-000028980000}"/>
    <cellStyle name="Normal 4 2 3 3 6 2" xfId="52307" xr:uid="{00000000-0005-0000-0000-000029980000}"/>
    <cellStyle name="Normal 4 2 3 3 6 3" xfId="36207" xr:uid="{00000000-0005-0000-0000-00002A980000}"/>
    <cellStyle name="Normal 4 2 3 3 6 4" xfId="17071" xr:uid="{00000000-0005-0000-0000-00002B980000}"/>
    <cellStyle name="Normal 4 2 3 3 7" xfId="42740" xr:uid="{00000000-0005-0000-0000-00002C980000}"/>
    <cellStyle name="Normal 4 2 3 3 8" xfId="26640" xr:uid="{00000000-0005-0000-0000-00002D980000}"/>
    <cellStyle name="Normal 4 2 3 3 9" xfId="13576" xr:uid="{00000000-0005-0000-0000-00002E980000}"/>
    <cellStyle name="Normal 4 2 3 4" xfId="2118" xr:uid="{00000000-0005-0000-0000-00002F980000}"/>
    <cellStyle name="Normal 4 2 3 4 2" xfId="8652" xr:uid="{00000000-0005-0000-0000-000030980000}"/>
    <cellStyle name="Normal 4 2 3 4 2 2" xfId="40393" xr:uid="{00000000-0005-0000-0000-000031980000}"/>
    <cellStyle name="Normal 4 2 3 4 2 2 2" xfId="56493" xr:uid="{00000000-0005-0000-0000-000032980000}"/>
    <cellStyle name="Normal 4 2 3 4 2 3" xfId="46926" xr:uid="{00000000-0005-0000-0000-000033980000}"/>
    <cellStyle name="Normal 4 2 3 4 2 4" xfId="30826" xr:uid="{00000000-0005-0000-0000-000034980000}"/>
    <cellStyle name="Normal 4 2 3 4 2 5" xfId="21257" xr:uid="{00000000-0005-0000-0000-000035980000}"/>
    <cellStyle name="Normal 4 2 3 4 3" xfId="11688" xr:uid="{00000000-0005-0000-0000-000036980000}"/>
    <cellStyle name="Normal 4 2 3 4 3 2" xfId="49962" xr:uid="{00000000-0005-0000-0000-000037980000}"/>
    <cellStyle name="Normal 4 2 3 4 3 3" xfId="33862" xr:uid="{00000000-0005-0000-0000-000038980000}"/>
    <cellStyle name="Normal 4 2 3 4 3 4" xfId="24293" xr:uid="{00000000-0005-0000-0000-000039980000}"/>
    <cellStyle name="Normal 4 2 3 4 4" xfId="5616" xr:uid="{00000000-0005-0000-0000-00003A980000}"/>
    <cellStyle name="Normal 4 2 3 4 4 2" xfId="53457" xr:uid="{00000000-0005-0000-0000-00003B980000}"/>
    <cellStyle name="Normal 4 2 3 4 4 3" xfId="37357" xr:uid="{00000000-0005-0000-0000-00003C980000}"/>
    <cellStyle name="Normal 4 2 3 4 4 4" xfId="18221" xr:uid="{00000000-0005-0000-0000-00003D980000}"/>
    <cellStyle name="Normal 4 2 3 4 5" xfId="43890" xr:uid="{00000000-0005-0000-0000-00003E980000}"/>
    <cellStyle name="Normal 4 2 3 4 6" xfId="27790" xr:uid="{00000000-0005-0000-0000-00003F980000}"/>
    <cellStyle name="Normal 4 2 3 4 7" xfId="14726" xr:uid="{00000000-0005-0000-0000-000040980000}"/>
    <cellStyle name="Normal 4 2 3 5" xfId="1330" xr:uid="{00000000-0005-0000-0000-000041980000}"/>
    <cellStyle name="Normal 4 2 3 5 2" xfId="7864" xr:uid="{00000000-0005-0000-0000-000042980000}"/>
    <cellStyle name="Normal 4 2 3 5 2 2" xfId="39605" xr:uid="{00000000-0005-0000-0000-000043980000}"/>
    <cellStyle name="Normal 4 2 3 5 2 2 2" xfId="55705" xr:uid="{00000000-0005-0000-0000-000044980000}"/>
    <cellStyle name="Normal 4 2 3 5 2 3" xfId="46138" xr:uid="{00000000-0005-0000-0000-000045980000}"/>
    <cellStyle name="Normal 4 2 3 5 2 4" xfId="30038" xr:uid="{00000000-0005-0000-0000-000046980000}"/>
    <cellStyle name="Normal 4 2 3 5 2 5" xfId="20469" xr:uid="{00000000-0005-0000-0000-000047980000}"/>
    <cellStyle name="Normal 4 2 3 5 3" xfId="10900" xr:uid="{00000000-0005-0000-0000-000048980000}"/>
    <cellStyle name="Normal 4 2 3 5 3 2" xfId="49174" xr:uid="{00000000-0005-0000-0000-000049980000}"/>
    <cellStyle name="Normal 4 2 3 5 3 3" xfId="33074" xr:uid="{00000000-0005-0000-0000-00004A980000}"/>
    <cellStyle name="Normal 4 2 3 5 3 4" xfId="23505" xr:uid="{00000000-0005-0000-0000-00004B980000}"/>
    <cellStyle name="Normal 4 2 3 5 4" xfId="4828" xr:uid="{00000000-0005-0000-0000-00004C980000}"/>
    <cellStyle name="Normal 4 2 3 5 4 2" xfId="52669" xr:uid="{00000000-0005-0000-0000-00004D980000}"/>
    <cellStyle name="Normal 4 2 3 5 4 3" xfId="36569" xr:uid="{00000000-0005-0000-0000-00004E980000}"/>
    <cellStyle name="Normal 4 2 3 5 4 4" xfId="17433" xr:uid="{00000000-0005-0000-0000-00004F980000}"/>
    <cellStyle name="Normal 4 2 3 5 5" xfId="43102" xr:uid="{00000000-0005-0000-0000-000050980000}"/>
    <cellStyle name="Normal 4 2 3 5 6" xfId="27002" xr:uid="{00000000-0005-0000-0000-000051980000}"/>
    <cellStyle name="Normal 4 2 3 5 7" xfId="13938" xr:uid="{00000000-0005-0000-0000-000052980000}"/>
    <cellStyle name="Normal 4 2 3 6" xfId="3818" xr:uid="{00000000-0005-0000-0000-000053980000}"/>
    <cellStyle name="Normal 4 2 3 6 2" xfId="35559" xr:uid="{00000000-0005-0000-0000-000054980000}"/>
    <cellStyle name="Normal 4 2 3 6 2 2" xfId="51659" xr:uid="{00000000-0005-0000-0000-000055980000}"/>
    <cellStyle name="Normal 4 2 3 6 3" xfId="42092" xr:uid="{00000000-0005-0000-0000-000056980000}"/>
    <cellStyle name="Normal 4 2 3 6 4" xfId="25992" xr:uid="{00000000-0005-0000-0000-000057980000}"/>
    <cellStyle name="Normal 4 2 3 6 5" xfId="16423" xr:uid="{00000000-0005-0000-0000-000058980000}"/>
    <cellStyle name="Normal 4 2 3 7" xfId="6854" xr:uid="{00000000-0005-0000-0000-000059980000}"/>
    <cellStyle name="Normal 4 2 3 7 2" xfId="38595" xr:uid="{00000000-0005-0000-0000-00005A980000}"/>
    <cellStyle name="Normal 4 2 3 7 2 2" xfId="54695" xr:uid="{00000000-0005-0000-0000-00005B980000}"/>
    <cellStyle name="Normal 4 2 3 7 3" xfId="45128" xr:uid="{00000000-0005-0000-0000-00005C980000}"/>
    <cellStyle name="Normal 4 2 3 7 4" xfId="29028" xr:uid="{00000000-0005-0000-0000-00005D980000}"/>
    <cellStyle name="Normal 4 2 3 7 5" xfId="19459" xr:uid="{00000000-0005-0000-0000-00005E980000}"/>
    <cellStyle name="Normal 4 2 3 8" xfId="9890" xr:uid="{00000000-0005-0000-0000-00005F980000}"/>
    <cellStyle name="Normal 4 2 3 8 2" xfId="48164" xr:uid="{00000000-0005-0000-0000-000060980000}"/>
    <cellStyle name="Normal 4 2 3 8 3" xfId="32064" xr:uid="{00000000-0005-0000-0000-000061980000}"/>
    <cellStyle name="Normal 4 2 3 8 4" xfId="22495" xr:uid="{00000000-0005-0000-0000-000062980000}"/>
    <cellStyle name="Normal 4 2 3 9" xfId="3339" xr:uid="{00000000-0005-0000-0000-000063980000}"/>
    <cellStyle name="Normal 4 2 3 9 2" xfId="51180" xr:uid="{00000000-0005-0000-0000-000064980000}"/>
    <cellStyle name="Normal 4 2 3 9 3" xfId="35080" xr:uid="{00000000-0005-0000-0000-000065980000}"/>
    <cellStyle name="Normal 4 2 3 9 4" xfId="15944" xr:uid="{00000000-0005-0000-0000-000066980000}"/>
    <cellStyle name="Normal 4 2 4" xfId="170" xr:uid="{00000000-0005-0000-0000-000067980000}"/>
    <cellStyle name="Normal 4 2 4 10" xfId="26063" xr:uid="{00000000-0005-0000-0000-000068980000}"/>
    <cellStyle name="Normal 4 2 4 11" xfId="12999" xr:uid="{00000000-0005-0000-0000-000069980000}"/>
    <cellStyle name="Normal 4 2 4 2" xfId="347" xr:uid="{00000000-0005-0000-0000-00006A980000}"/>
    <cellStyle name="Normal 4 2 4 2 2" xfId="2366" xr:uid="{00000000-0005-0000-0000-00006B980000}"/>
    <cellStyle name="Normal 4 2 4 2 2 2" xfId="8900" xr:uid="{00000000-0005-0000-0000-00006C980000}"/>
    <cellStyle name="Normal 4 2 4 2 2 2 2" xfId="40641" xr:uid="{00000000-0005-0000-0000-00006D980000}"/>
    <cellStyle name="Normal 4 2 4 2 2 2 2 2" xfId="56741" xr:uid="{00000000-0005-0000-0000-00006E980000}"/>
    <cellStyle name="Normal 4 2 4 2 2 2 3" xfId="47174" xr:uid="{00000000-0005-0000-0000-00006F980000}"/>
    <cellStyle name="Normal 4 2 4 2 2 2 4" xfId="31074" xr:uid="{00000000-0005-0000-0000-000070980000}"/>
    <cellStyle name="Normal 4 2 4 2 2 2 5" xfId="21505" xr:uid="{00000000-0005-0000-0000-000071980000}"/>
    <cellStyle name="Normal 4 2 4 2 2 3" xfId="11936" xr:uid="{00000000-0005-0000-0000-000072980000}"/>
    <cellStyle name="Normal 4 2 4 2 2 3 2" xfId="50210" xr:uid="{00000000-0005-0000-0000-000073980000}"/>
    <cellStyle name="Normal 4 2 4 2 2 3 3" xfId="34110" xr:uid="{00000000-0005-0000-0000-000074980000}"/>
    <cellStyle name="Normal 4 2 4 2 2 3 4" xfId="24541" xr:uid="{00000000-0005-0000-0000-000075980000}"/>
    <cellStyle name="Normal 4 2 4 2 2 4" xfId="5864" xr:uid="{00000000-0005-0000-0000-000076980000}"/>
    <cellStyle name="Normal 4 2 4 2 2 4 2" xfId="53705" xr:uid="{00000000-0005-0000-0000-000077980000}"/>
    <cellStyle name="Normal 4 2 4 2 2 4 3" xfId="37605" xr:uid="{00000000-0005-0000-0000-000078980000}"/>
    <cellStyle name="Normal 4 2 4 2 2 4 4" xfId="18469" xr:uid="{00000000-0005-0000-0000-000079980000}"/>
    <cellStyle name="Normal 4 2 4 2 2 5" xfId="44138" xr:uid="{00000000-0005-0000-0000-00007A980000}"/>
    <cellStyle name="Normal 4 2 4 2 2 6" xfId="28038" xr:uid="{00000000-0005-0000-0000-00007B980000}"/>
    <cellStyle name="Normal 4 2 4 2 2 7" xfId="14974" xr:uid="{00000000-0005-0000-0000-00007C980000}"/>
    <cellStyle name="Normal 4 2 4 2 3" xfId="1578" xr:uid="{00000000-0005-0000-0000-00007D980000}"/>
    <cellStyle name="Normal 4 2 4 2 3 2" xfId="8112" xr:uid="{00000000-0005-0000-0000-00007E980000}"/>
    <cellStyle name="Normal 4 2 4 2 3 2 2" xfId="39853" xr:uid="{00000000-0005-0000-0000-00007F980000}"/>
    <cellStyle name="Normal 4 2 4 2 3 2 2 2" xfId="55953" xr:uid="{00000000-0005-0000-0000-000080980000}"/>
    <cellStyle name="Normal 4 2 4 2 3 2 3" xfId="46386" xr:uid="{00000000-0005-0000-0000-000081980000}"/>
    <cellStyle name="Normal 4 2 4 2 3 2 4" xfId="30286" xr:uid="{00000000-0005-0000-0000-000082980000}"/>
    <cellStyle name="Normal 4 2 4 2 3 2 5" xfId="20717" xr:uid="{00000000-0005-0000-0000-000083980000}"/>
    <cellStyle name="Normal 4 2 4 2 3 3" xfId="11148" xr:uid="{00000000-0005-0000-0000-000084980000}"/>
    <cellStyle name="Normal 4 2 4 2 3 3 2" xfId="49422" xr:uid="{00000000-0005-0000-0000-000085980000}"/>
    <cellStyle name="Normal 4 2 4 2 3 3 3" xfId="33322" xr:uid="{00000000-0005-0000-0000-000086980000}"/>
    <cellStyle name="Normal 4 2 4 2 3 3 4" xfId="23753" xr:uid="{00000000-0005-0000-0000-000087980000}"/>
    <cellStyle name="Normal 4 2 4 2 3 4" xfId="5076" xr:uid="{00000000-0005-0000-0000-000088980000}"/>
    <cellStyle name="Normal 4 2 4 2 3 4 2" xfId="52917" xr:uid="{00000000-0005-0000-0000-000089980000}"/>
    <cellStyle name="Normal 4 2 4 2 3 4 3" xfId="36817" xr:uid="{00000000-0005-0000-0000-00008A980000}"/>
    <cellStyle name="Normal 4 2 4 2 3 4 4" xfId="17681" xr:uid="{00000000-0005-0000-0000-00008B980000}"/>
    <cellStyle name="Normal 4 2 4 2 3 5" xfId="43350" xr:uid="{00000000-0005-0000-0000-00008C980000}"/>
    <cellStyle name="Normal 4 2 4 2 3 6" xfId="27250" xr:uid="{00000000-0005-0000-0000-00008D980000}"/>
    <cellStyle name="Normal 4 2 4 2 3 7" xfId="14186" xr:uid="{00000000-0005-0000-0000-00008E980000}"/>
    <cellStyle name="Normal 4 2 4 2 4" xfId="7102" xr:uid="{00000000-0005-0000-0000-00008F980000}"/>
    <cellStyle name="Normal 4 2 4 2 4 2" xfId="38843" xr:uid="{00000000-0005-0000-0000-000090980000}"/>
    <cellStyle name="Normal 4 2 4 2 4 2 2" xfId="54943" xr:uid="{00000000-0005-0000-0000-000091980000}"/>
    <cellStyle name="Normal 4 2 4 2 4 3" xfId="45376" xr:uid="{00000000-0005-0000-0000-000092980000}"/>
    <cellStyle name="Normal 4 2 4 2 4 4" xfId="29276" xr:uid="{00000000-0005-0000-0000-000093980000}"/>
    <cellStyle name="Normal 4 2 4 2 4 5" xfId="19707" xr:uid="{00000000-0005-0000-0000-000094980000}"/>
    <cellStyle name="Normal 4 2 4 2 5" xfId="10138" xr:uid="{00000000-0005-0000-0000-000095980000}"/>
    <cellStyle name="Normal 4 2 4 2 5 2" xfId="48412" xr:uid="{00000000-0005-0000-0000-000096980000}"/>
    <cellStyle name="Normal 4 2 4 2 5 3" xfId="32312" xr:uid="{00000000-0005-0000-0000-000097980000}"/>
    <cellStyle name="Normal 4 2 4 2 5 4" xfId="22743" xr:uid="{00000000-0005-0000-0000-000098980000}"/>
    <cellStyle name="Normal 4 2 4 2 6" xfId="4066" xr:uid="{00000000-0005-0000-0000-000099980000}"/>
    <cellStyle name="Normal 4 2 4 2 6 2" xfId="51907" xr:uid="{00000000-0005-0000-0000-00009A980000}"/>
    <cellStyle name="Normal 4 2 4 2 6 3" xfId="35807" xr:uid="{00000000-0005-0000-0000-00009B980000}"/>
    <cellStyle name="Normal 4 2 4 2 6 4" xfId="16671" xr:uid="{00000000-0005-0000-0000-00009C980000}"/>
    <cellStyle name="Normal 4 2 4 2 7" xfId="42340" xr:uid="{00000000-0005-0000-0000-00009D980000}"/>
    <cellStyle name="Normal 4 2 4 2 8" xfId="26240" xr:uid="{00000000-0005-0000-0000-00009E980000}"/>
    <cellStyle name="Normal 4 2 4 2 9" xfId="13176" xr:uid="{00000000-0005-0000-0000-00009F980000}"/>
    <cellStyle name="Normal 4 2 4 3" xfId="987" xr:uid="{00000000-0005-0000-0000-0000A0980000}"/>
    <cellStyle name="Normal 4 2 4 3 2" xfId="3015" xr:uid="{00000000-0005-0000-0000-0000A1980000}"/>
    <cellStyle name="Normal 4 2 4 3 2 2" xfId="9547" xr:uid="{00000000-0005-0000-0000-0000A2980000}"/>
    <cellStyle name="Normal 4 2 4 3 2 2 2" xfId="41288" xr:uid="{00000000-0005-0000-0000-0000A3980000}"/>
    <cellStyle name="Normal 4 2 4 3 2 2 2 2" xfId="57388" xr:uid="{00000000-0005-0000-0000-0000A4980000}"/>
    <cellStyle name="Normal 4 2 4 3 2 2 3" xfId="47821" xr:uid="{00000000-0005-0000-0000-0000A5980000}"/>
    <cellStyle name="Normal 4 2 4 3 2 2 4" xfId="31721" xr:uid="{00000000-0005-0000-0000-0000A6980000}"/>
    <cellStyle name="Normal 4 2 4 3 2 2 5" xfId="22152" xr:uid="{00000000-0005-0000-0000-0000A7980000}"/>
    <cellStyle name="Normal 4 2 4 3 2 3" xfId="12583" xr:uid="{00000000-0005-0000-0000-0000A8980000}"/>
    <cellStyle name="Normal 4 2 4 3 2 3 2" xfId="50857" xr:uid="{00000000-0005-0000-0000-0000A9980000}"/>
    <cellStyle name="Normal 4 2 4 3 2 3 3" xfId="34757" xr:uid="{00000000-0005-0000-0000-0000AA980000}"/>
    <cellStyle name="Normal 4 2 4 3 2 3 4" xfId="25188" xr:uid="{00000000-0005-0000-0000-0000AB980000}"/>
    <cellStyle name="Normal 4 2 4 3 2 4" xfId="6511" xr:uid="{00000000-0005-0000-0000-0000AC980000}"/>
    <cellStyle name="Normal 4 2 4 3 2 4 2" xfId="54352" xr:uid="{00000000-0005-0000-0000-0000AD980000}"/>
    <cellStyle name="Normal 4 2 4 3 2 4 3" xfId="38252" xr:uid="{00000000-0005-0000-0000-0000AE980000}"/>
    <cellStyle name="Normal 4 2 4 3 2 4 4" xfId="19116" xr:uid="{00000000-0005-0000-0000-0000AF980000}"/>
    <cellStyle name="Normal 4 2 4 3 2 5" xfId="44785" xr:uid="{00000000-0005-0000-0000-0000B0980000}"/>
    <cellStyle name="Normal 4 2 4 3 2 6" xfId="28685" xr:uid="{00000000-0005-0000-0000-0000B1980000}"/>
    <cellStyle name="Normal 4 2 4 3 2 7" xfId="15621" xr:uid="{00000000-0005-0000-0000-0000B2980000}"/>
    <cellStyle name="Normal 4 2 4 3 3" xfId="1997" xr:uid="{00000000-0005-0000-0000-0000B3980000}"/>
    <cellStyle name="Normal 4 2 4 3 3 2" xfId="8531" xr:uid="{00000000-0005-0000-0000-0000B4980000}"/>
    <cellStyle name="Normal 4 2 4 3 3 2 2" xfId="40272" xr:uid="{00000000-0005-0000-0000-0000B5980000}"/>
    <cellStyle name="Normal 4 2 4 3 3 2 2 2" xfId="56372" xr:uid="{00000000-0005-0000-0000-0000B6980000}"/>
    <cellStyle name="Normal 4 2 4 3 3 2 3" xfId="46805" xr:uid="{00000000-0005-0000-0000-0000B7980000}"/>
    <cellStyle name="Normal 4 2 4 3 3 2 4" xfId="30705" xr:uid="{00000000-0005-0000-0000-0000B8980000}"/>
    <cellStyle name="Normal 4 2 4 3 3 2 5" xfId="21136" xr:uid="{00000000-0005-0000-0000-0000B9980000}"/>
    <cellStyle name="Normal 4 2 4 3 3 3" xfId="11567" xr:uid="{00000000-0005-0000-0000-0000BA980000}"/>
    <cellStyle name="Normal 4 2 4 3 3 3 2" xfId="49841" xr:uid="{00000000-0005-0000-0000-0000BB980000}"/>
    <cellStyle name="Normal 4 2 4 3 3 3 3" xfId="33741" xr:uid="{00000000-0005-0000-0000-0000BC980000}"/>
    <cellStyle name="Normal 4 2 4 3 3 3 4" xfId="24172" xr:uid="{00000000-0005-0000-0000-0000BD980000}"/>
    <cellStyle name="Normal 4 2 4 3 3 4" xfId="5495" xr:uid="{00000000-0005-0000-0000-0000BE980000}"/>
    <cellStyle name="Normal 4 2 4 3 3 4 2" xfId="53336" xr:uid="{00000000-0005-0000-0000-0000BF980000}"/>
    <cellStyle name="Normal 4 2 4 3 3 4 3" xfId="37236" xr:uid="{00000000-0005-0000-0000-0000C0980000}"/>
    <cellStyle name="Normal 4 2 4 3 3 4 4" xfId="18100" xr:uid="{00000000-0005-0000-0000-0000C1980000}"/>
    <cellStyle name="Normal 4 2 4 3 3 5" xfId="43769" xr:uid="{00000000-0005-0000-0000-0000C2980000}"/>
    <cellStyle name="Normal 4 2 4 3 3 6" xfId="27669" xr:uid="{00000000-0005-0000-0000-0000C3980000}"/>
    <cellStyle name="Normal 4 2 4 3 3 7" xfId="14605" xr:uid="{00000000-0005-0000-0000-0000C4980000}"/>
    <cellStyle name="Normal 4 2 4 3 4" xfId="7521" xr:uid="{00000000-0005-0000-0000-0000C5980000}"/>
    <cellStyle name="Normal 4 2 4 3 4 2" xfId="39262" xr:uid="{00000000-0005-0000-0000-0000C6980000}"/>
    <cellStyle name="Normal 4 2 4 3 4 2 2" xfId="55362" xr:uid="{00000000-0005-0000-0000-0000C7980000}"/>
    <cellStyle name="Normal 4 2 4 3 4 3" xfId="45795" xr:uid="{00000000-0005-0000-0000-0000C8980000}"/>
    <cellStyle name="Normal 4 2 4 3 4 4" xfId="29695" xr:uid="{00000000-0005-0000-0000-0000C9980000}"/>
    <cellStyle name="Normal 4 2 4 3 4 5" xfId="20126" xr:uid="{00000000-0005-0000-0000-0000CA980000}"/>
    <cellStyle name="Normal 4 2 4 3 5" xfId="10557" xr:uid="{00000000-0005-0000-0000-0000CB980000}"/>
    <cellStyle name="Normal 4 2 4 3 5 2" xfId="48831" xr:uid="{00000000-0005-0000-0000-0000CC980000}"/>
    <cellStyle name="Normal 4 2 4 3 5 3" xfId="32731" xr:uid="{00000000-0005-0000-0000-0000CD980000}"/>
    <cellStyle name="Normal 4 2 4 3 5 4" xfId="23162" xr:uid="{00000000-0005-0000-0000-0000CE980000}"/>
    <cellStyle name="Normal 4 2 4 3 6" xfId="4485" xr:uid="{00000000-0005-0000-0000-0000CF980000}"/>
    <cellStyle name="Normal 4 2 4 3 6 2" xfId="52326" xr:uid="{00000000-0005-0000-0000-0000D0980000}"/>
    <cellStyle name="Normal 4 2 4 3 6 3" xfId="36226" xr:uid="{00000000-0005-0000-0000-0000D1980000}"/>
    <cellStyle name="Normal 4 2 4 3 6 4" xfId="17090" xr:uid="{00000000-0005-0000-0000-0000D2980000}"/>
    <cellStyle name="Normal 4 2 4 3 7" xfId="42759" xr:uid="{00000000-0005-0000-0000-0000D3980000}"/>
    <cellStyle name="Normal 4 2 4 3 8" xfId="26659" xr:uid="{00000000-0005-0000-0000-0000D4980000}"/>
    <cellStyle name="Normal 4 2 4 3 9" xfId="13595" xr:uid="{00000000-0005-0000-0000-0000D5980000}"/>
    <cellStyle name="Normal 4 2 4 4" xfId="2189" xr:uid="{00000000-0005-0000-0000-0000D6980000}"/>
    <cellStyle name="Normal 4 2 4 4 2" xfId="8723" xr:uid="{00000000-0005-0000-0000-0000D7980000}"/>
    <cellStyle name="Normal 4 2 4 4 2 2" xfId="40464" xr:uid="{00000000-0005-0000-0000-0000D8980000}"/>
    <cellStyle name="Normal 4 2 4 4 2 2 2" xfId="56564" xr:uid="{00000000-0005-0000-0000-0000D9980000}"/>
    <cellStyle name="Normal 4 2 4 4 2 3" xfId="46997" xr:uid="{00000000-0005-0000-0000-0000DA980000}"/>
    <cellStyle name="Normal 4 2 4 4 2 4" xfId="30897" xr:uid="{00000000-0005-0000-0000-0000DB980000}"/>
    <cellStyle name="Normal 4 2 4 4 2 5" xfId="21328" xr:uid="{00000000-0005-0000-0000-0000DC980000}"/>
    <cellStyle name="Normal 4 2 4 4 3" xfId="11759" xr:uid="{00000000-0005-0000-0000-0000DD980000}"/>
    <cellStyle name="Normal 4 2 4 4 3 2" xfId="50033" xr:uid="{00000000-0005-0000-0000-0000DE980000}"/>
    <cellStyle name="Normal 4 2 4 4 3 3" xfId="33933" xr:uid="{00000000-0005-0000-0000-0000DF980000}"/>
    <cellStyle name="Normal 4 2 4 4 3 4" xfId="24364" xr:uid="{00000000-0005-0000-0000-0000E0980000}"/>
    <cellStyle name="Normal 4 2 4 4 4" xfId="5687" xr:uid="{00000000-0005-0000-0000-0000E1980000}"/>
    <cellStyle name="Normal 4 2 4 4 4 2" xfId="53528" xr:uid="{00000000-0005-0000-0000-0000E2980000}"/>
    <cellStyle name="Normal 4 2 4 4 4 3" xfId="37428" xr:uid="{00000000-0005-0000-0000-0000E3980000}"/>
    <cellStyle name="Normal 4 2 4 4 4 4" xfId="18292" xr:uid="{00000000-0005-0000-0000-0000E4980000}"/>
    <cellStyle name="Normal 4 2 4 4 5" xfId="43961" xr:uid="{00000000-0005-0000-0000-0000E5980000}"/>
    <cellStyle name="Normal 4 2 4 4 6" xfId="27861" xr:uid="{00000000-0005-0000-0000-0000E6980000}"/>
    <cellStyle name="Normal 4 2 4 4 7" xfId="14797" xr:uid="{00000000-0005-0000-0000-0000E7980000}"/>
    <cellStyle name="Normal 4 2 4 5" xfId="1401" xr:uid="{00000000-0005-0000-0000-0000E8980000}"/>
    <cellStyle name="Normal 4 2 4 5 2" xfId="7935" xr:uid="{00000000-0005-0000-0000-0000E9980000}"/>
    <cellStyle name="Normal 4 2 4 5 2 2" xfId="39676" xr:uid="{00000000-0005-0000-0000-0000EA980000}"/>
    <cellStyle name="Normal 4 2 4 5 2 2 2" xfId="55776" xr:uid="{00000000-0005-0000-0000-0000EB980000}"/>
    <cellStyle name="Normal 4 2 4 5 2 3" xfId="46209" xr:uid="{00000000-0005-0000-0000-0000EC980000}"/>
    <cellStyle name="Normal 4 2 4 5 2 4" xfId="30109" xr:uid="{00000000-0005-0000-0000-0000ED980000}"/>
    <cellStyle name="Normal 4 2 4 5 2 5" xfId="20540" xr:uid="{00000000-0005-0000-0000-0000EE980000}"/>
    <cellStyle name="Normal 4 2 4 5 3" xfId="10971" xr:uid="{00000000-0005-0000-0000-0000EF980000}"/>
    <cellStyle name="Normal 4 2 4 5 3 2" xfId="49245" xr:uid="{00000000-0005-0000-0000-0000F0980000}"/>
    <cellStyle name="Normal 4 2 4 5 3 3" xfId="33145" xr:uid="{00000000-0005-0000-0000-0000F1980000}"/>
    <cellStyle name="Normal 4 2 4 5 3 4" xfId="23576" xr:uid="{00000000-0005-0000-0000-0000F2980000}"/>
    <cellStyle name="Normal 4 2 4 5 4" xfId="4899" xr:uid="{00000000-0005-0000-0000-0000F3980000}"/>
    <cellStyle name="Normal 4 2 4 5 4 2" xfId="52740" xr:uid="{00000000-0005-0000-0000-0000F4980000}"/>
    <cellStyle name="Normal 4 2 4 5 4 3" xfId="36640" xr:uid="{00000000-0005-0000-0000-0000F5980000}"/>
    <cellStyle name="Normal 4 2 4 5 4 4" xfId="17504" xr:uid="{00000000-0005-0000-0000-0000F6980000}"/>
    <cellStyle name="Normal 4 2 4 5 5" xfId="43173" xr:uid="{00000000-0005-0000-0000-0000F7980000}"/>
    <cellStyle name="Normal 4 2 4 5 6" xfId="27073" xr:uid="{00000000-0005-0000-0000-0000F8980000}"/>
    <cellStyle name="Normal 4 2 4 5 7" xfId="14009" xr:uid="{00000000-0005-0000-0000-0000F9980000}"/>
    <cellStyle name="Normal 4 2 4 6" xfId="6925" xr:uid="{00000000-0005-0000-0000-0000FA980000}"/>
    <cellStyle name="Normal 4 2 4 6 2" xfId="38666" xr:uid="{00000000-0005-0000-0000-0000FB980000}"/>
    <cellStyle name="Normal 4 2 4 6 2 2" xfId="54766" xr:uid="{00000000-0005-0000-0000-0000FC980000}"/>
    <cellStyle name="Normal 4 2 4 6 3" xfId="45199" xr:uid="{00000000-0005-0000-0000-0000FD980000}"/>
    <cellStyle name="Normal 4 2 4 6 4" xfId="29099" xr:uid="{00000000-0005-0000-0000-0000FE980000}"/>
    <cellStyle name="Normal 4 2 4 6 5" xfId="19530" xr:uid="{00000000-0005-0000-0000-0000FF980000}"/>
    <cellStyle name="Normal 4 2 4 7" xfId="9961" xr:uid="{00000000-0005-0000-0000-000000990000}"/>
    <cellStyle name="Normal 4 2 4 7 2" xfId="48235" xr:uid="{00000000-0005-0000-0000-000001990000}"/>
    <cellStyle name="Normal 4 2 4 7 3" xfId="32135" xr:uid="{00000000-0005-0000-0000-000002990000}"/>
    <cellStyle name="Normal 4 2 4 7 4" xfId="22566" xr:uid="{00000000-0005-0000-0000-000003990000}"/>
    <cellStyle name="Normal 4 2 4 8" xfId="3889" xr:uid="{00000000-0005-0000-0000-000004990000}"/>
    <cellStyle name="Normal 4 2 4 8 2" xfId="51730" xr:uid="{00000000-0005-0000-0000-000005990000}"/>
    <cellStyle name="Normal 4 2 4 8 3" xfId="35630" xr:uid="{00000000-0005-0000-0000-000006990000}"/>
    <cellStyle name="Normal 4 2 4 8 4" xfId="16494" xr:uid="{00000000-0005-0000-0000-000007990000}"/>
    <cellStyle name="Normal 4 2 4 9" xfId="42163" xr:uid="{00000000-0005-0000-0000-000008990000}"/>
    <cellStyle name="Normal 4 2 5" xfId="241" xr:uid="{00000000-0005-0000-0000-000009990000}"/>
    <cellStyle name="Normal 4 2 5 2" xfId="2260" xr:uid="{00000000-0005-0000-0000-00000A990000}"/>
    <cellStyle name="Normal 4 2 5 2 2" xfId="8794" xr:uid="{00000000-0005-0000-0000-00000B990000}"/>
    <cellStyle name="Normal 4 2 5 2 2 2" xfId="40535" xr:uid="{00000000-0005-0000-0000-00000C990000}"/>
    <cellStyle name="Normal 4 2 5 2 2 2 2" xfId="56635" xr:uid="{00000000-0005-0000-0000-00000D990000}"/>
    <cellStyle name="Normal 4 2 5 2 2 3" xfId="47068" xr:uid="{00000000-0005-0000-0000-00000E990000}"/>
    <cellStyle name="Normal 4 2 5 2 2 4" xfId="30968" xr:uid="{00000000-0005-0000-0000-00000F990000}"/>
    <cellStyle name="Normal 4 2 5 2 2 5" xfId="21399" xr:uid="{00000000-0005-0000-0000-000010990000}"/>
    <cellStyle name="Normal 4 2 5 2 3" xfId="11830" xr:uid="{00000000-0005-0000-0000-000011990000}"/>
    <cellStyle name="Normal 4 2 5 2 3 2" xfId="50104" xr:uid="{00000000-0005-0000-0000-000012990000}"/>
    <cellStyle name="Normal 4 2 5 2 3 3" xfId="34004" xr:uid="{00000000-0005-0000-0000-000013990000}"/>
    <cellStyle name="Normal 4 2 5 2 3 4" xfId="24435" xr:uid="{00000000-0005-0000-0000-000014990000}"/>
    <cellStyle name="Normal 4 2 5 2 4" xfId="5758" xr:uid="{00000000-0005-0000-0000-000015990000}"/>
    <cellStyle name="Normal 4 2 5 2 4 2" xfId="53599" xr:uid="{00000000-0005-0000-0000-000016990000}"/>
    <cellStyle name="Normal 4 2 5 2 4 3" xfId="37499" xr:uid="{00000000-0005-0000-0000-000017990000}"/>
    <cellStyle name="Normal 4 2 5 2 4 4" xfId="18363" xr:uid="{00000000-0005-0000-0000-000018990000}"/>
    <cellStyle name="Normal 4 2 5 2 5" xfId="44032" xr:uid="{00000000-0005-0000-0000-000019990000}"/>
    <cellStyle name="Normal 4 2 5 2 6" xfId="27932" xr:uid="{00000000-0005-0000-0000-00001A990000}"/>
    <cellStyle name="Normal 4 2 5 2 7" xfId="14868" xr:uid="{00000000-0005-0000-0000-00001B990000}"/>
    <cellStyle name="Normal 4 2 5 3" xfId="1472" xr:uid="{00000000-0005-0000-0000-00001C990000}"/>
    <cellStyle name="Normal 4 2 5 3 2" xfId="8006" xr:uid="{00000000-0005-0000-0000-00001D990000}"/>
    <cellStyle name="Normal 4 2 5 3 2 2" xfId="39747" xr:uid="{00000000-0005-0000-0000-00001E990000}"/>
    <cellStyle name="Normal 4 2 5 3 2 2 2" xfId="55847" xr:uid="{00000000-0005-0000-0000-00001F990000}"/>
    <cellStyle name="Normal 4 2 5 3 2 3" xfId="46280" xr:uid="{00000000-0005-0000-0000-000020990000}"/>
    <cellStyle name="Normal 4 2 5 3 2 4" xfId="30180" xr:uid="{00000000-0005-0000-0000-000021990000}"/>
    <cellStyle name="Normal 4 2 5 3 2 5" xfId="20611" xr:uid="{00000000-0005-0000-0000-000022990000}"/>
    <cellStyle name="Normal 4 2 5 3 3" xfId="11042" xr:uid="{00000000-0005-0000-0000-000023990000}"/>
    <cellStyle name="Normal 4 2 5 3 3 2" xfId="49316" xr:uid="{00000000-0005-0000-0000-000024990000}"/>
    <cellStyle name="Normal 4 2 5 3 3 3" xfId="33216" xr:uid="{00000000-0005-0000-0000-000025990000}"/>
    <cellStyle name="Normal 4 2 5 3 3 4" xfId="23647" xr:uid="{00000000-0005-0000-0000-000026990000}"/>
    <cellStyle name="Normal 4 2 5 3 4" xfId="4970" xr:uid="{00000000-0005-0000-0000-000027990000}"/>
    <cellStyle name="Normal 4 2 5 3 4 2" xfId="52811" xr:uid="{00000000-0005-0000-0000-000028990000}"/>
    <cellStyle name="Normal 4 2 5 3 4 3" xfId="36711" xr:uid="{00000000-0005-0000-0000-000029990000}"/>
    <cellStyle name="Normal 4 2 5 3 4 4" xfId="17575" xr:uid="{00000000-0005-0000-0000-00002A990000}"/>
    <cellStyle name="Normal 4 2 5 3 5" xfId="43244" xr:uid="{00000000-0005-0000-0000-00002B990000}"/>
    <cellStyle name="Normal 4 2 5 3 6" xfId="27144" xr:uid="{00000000-0005-0000-0000-00002C990000}"/>
    <cellStyle name="Normal 4 2 5 3 7" xfId="14080" xr:uid="{00000000-0005-0000-0000-00002D990000}"/>
    <cellStyle name="Normal 4 2 5 4" xfId="6996" xr:uid="{00000000-0005-0000-0000-00002E990000}"/>
    <cellStyle name="Normal 4 2 5 4 2" xfId="38737" xr:uid="{00000000-0005-0000-0000-00002F990000}"/>
    <cellStyle name="Normal 4 2 5 4 2 2" xfId="54837" xr:uid="{00000000-0005-0000-0000-000030990000}"/>
    <cellStyle name="Normal 4 2 5 4 3" xfId="45270" xr:uid="{00000000-0005-0000-0000-000031990000}"/>
    <cellStyle name="Normal 4 2 5 4 4" xfId="29170" xr:uid="{00000000-0005-0000-0000-000032990000}"/>
    <cellStyle name="Normal 4 2 5 4 5" xfId="19601" xr:uid="{00000000-0005-0000-0000-000033990000}"/>
    <cellStyle name="Normal 4 2 5 5" xfId="10032" xr:uid="{00000000-0005-0000-0000-000034990000}"/>
    <cellStyle name="Normal 4 2 5 5 2" xfId="48306" xr:uid="{00000000-0005-0000-0000-000035990000}"/>
    <cellStyle name="Normal 4 2 5 5 3" xfId="32206" xr:uid="{00000000-0005-0000-0000-000036990000}"/>
    <cellStyle name="Normal 4 2 5 5 4" xfId="22637" xr:uid="{00000000-0005-0000-0000-000037990000}"/>
    <cellStyle name="Normal 4 2 5 6" xfId="3960" xr:uid="{00000000-0005-0000-0000-000038990000}"/>
    <cellStyle name="Normal 4 2 5 6 2" xfId="51801" xr:uid="{00000000-0005-0000-0000-000039990000}"/>
    <cellStyle name="Normal 4 2 5 6 3" xfId="35701" xr:uid="{00000000-0005-0000-0000-00003A990000}"/>
    <cellStyle name="Normal 4 2 5 6 4" xfId="16565" xr:uid="{00000000-0005-0000-0000-00003B990000}"/>
    <cellStyle name="Normal 4 2 5 7" xfId="42234" xr:uid="{00000000-0005-0000-0000-00003C990000}"/>
    <cellStyle name="Normal 4 2 5 8" xfId="26134" xr:uid="{00000000-0005-0000-0000-00003D990000}"/>
    <cellStyle name="Normal 4 2 5 9" xfId="13070" xr:uid="{00000000-0005-0000-0000-00003E990000}"/>
    <cellStyle name="Normal 4 2 6" xfId="516" xr:uid="{00000000-0005-0000-0000-00003F990000}"/>
    <cellStyle name="Normal 4 2 6 2" xfId="2546" xr:uid="{00000000-0005-0000-0000-000040990000}"/>
    <cellStyle name="Normal 4 2 6 2 2" xfId="9078" xr:uid="{00000000-0005-0000-0000-000041990000}"/>
    <cellStyle name="Normal 4 2 6 2 2 2" xfId="40819" xr:uid="{00000000-0005-0000-0000-000042990000}"/>
    <cellStyle name="Normal 4 2 6 2 2 2 2" xfId="56919" xr:uid="{00000000-0005-0000-0000-000043990000}"/>
    <cellStyle name="Normal 4 2 6 2 2 3" xfId="47352" xr:uid="{00000000-0005-0000-0000-000044990000}"/>
    <cellStyle name="Normal 4 2 6 2 2 4" xfId="31252" xr:uid="{00000000-0005-0000-0000-000045990000}"/>
    <cellStyle name="Normal 4 2 6 2 2 5" xfId="21683" xr:uid="{00000000-0005-0000-0000-000046990000}"/>
    <cellStyle name="Normal 4 2 6 2 3" xfId="12114" xr:uid="{00000000-0005-0000-0000-000047990000}"/>
    <cellStyle name="Normal 4 2 6 2 3 2" xfId="50388" xr:uid="{00000000-0005-0000-0000-000048990000}"/>
    <cellStyle name="Normal 4 2 6 2 3 3" xfId="34288" xr:uid="{00000000-0005-0000-0000-000049990000}"/>
    <cellStyle name="Normal 4 2 6 2 3 4" xfId="24719" xr:uid="{00000000-0005-0000-0000-00004A990000}"/>
    <cellStyle name="Normal 4 2 6 2 4" xfId="6042" xr:uid="{00000000-0005-0000-0000-00004B990000}"/>
    <cellStyle name="Normal 4 2 6 2 4 2" xfId="53883" xr:uid="{00000000-0005-0000-0000-00004C990000}"/>
    <cellStyle name="Normal 4 2 6 2 4 3" xfId="37783" xr:uid="{00000000-0005-0000-0000-00004D990000}"/>
    <cellStyle name="Normal 4 2 6 2 4 4" xfId="18647" xr:uid="{00000000-0005-0000-0000-00004E990000}"/>
    <cellStyle name="Normal 4 2 6 2 5" xfId="44316" xr:uid="{00000000-0005-0000-0000-00004F990000}"/>
    <cellStyle name="Normal 4 2 6 2 6" xfId="28216" xr:uid="{00000000-0005-0000-0000-000050990000}"/>
    <cellStyle name="Normal 4 2 6 2 7" xfId="15152" xr:uid="{00000000-0005-0000-0000-000051990000}"/>
    <cellStyle name="Normal 4 2 6 3" xfId="1295" xr:uid="{00000000-0005-0000-0000-000052990000}"/>
    <cellStyle name="Normal 4 2 6 3 2" xfId="7829" xr:uid="{00000000-0005-0000-0000-000053990000}"/>
    <cellStyle name="Normal 4 2 6 3 2 2" xfId="39570" xr:uid="{00000000-0005-0000-0000-000054990000}"/>
    <cellStyle name="Normal 4 2 6 3 2 2 2" xfId="55670" xr:uid="{00000000-0005-0000-0000-000055990000}"/>
    <cellStyle name="Normal 4 2 6 3 2 3" xfId="46103" xr:uid="{00000000-0005-0000-0000-000056990000}"/>
    <cellStyle name="Normal 4 2 6 3 2 4" xfId="30003" xr:uid="{00000000-0005-0000-0000-000057990000}"/>
    <cellStyle name="Normal 4 2 6 3 2 5" xfId="20434" xr:uid="{00000000-0005-0000-0000-000058990000}"/>
    <cellStyle name="Normal 4 2 6 3 3" xfId="10865" xr:uid="{00000000-0005-0000-0000-000059990000}"/>
    <cellStyle name="Normal 4 2 6 3 3 2" xfId="49139" xr:uid="{00000000-0005-0000-0000-00005A990000}"/>
    <cellStyle name="Normal 4 2 6 3 3 3" xfId="33039" xr:uid="{00000000-0005-0000-0000-00005B990000}"/>
    <cellStyle name="Normal 4 2 6 3 3 4" xfId="23470" xr:uid="{00000000-0005-0000-0000-00005C990000}"/>
    <cellStyle name="Normal 4 2 6 3 4" xfId="4793" xr:uid="{00000000-0005-0000-0000-00005D990000}"/>
    <cellStyle name="Normal 4 2 6 3 4 2" xfId="52634" xr:uid="{00000000-0005-0000-0000-00005E990000}"/>
    <cellStyle name="Normal 4 2 6 3 4 3" xfId="36534" xr:uid="{00000000-0005-0000-0000-00005F990000}"/>
    <cellStyle name="Normal 4 2 6 3 4 4" xfId="17398" xr:uid="{00000000-0005-0000-0000-000060990000}"/>
    <cellStyle name="Normal 4 2 6 3 5" xfId="43067" xr:uid="{00000000-0005-0000-0000-000061990000}"/>
    <cellStyle name="Normal 4 2 6 3 6" xfId="26967" xr:uid="{00000000-0005-0000-0000-000062990000}"/>
    <cellStyle name="Normal 4 2 6 3 7" xfId="13903" xr:uid="{00000000-0005-0000-0000-000063990000}"/>
    <cellStyle name="Normal 4 2 6 4" xfId="6819" xr:uid="{00000000-0005-0000-0000-000064990000}"/>
    <cellStyle name="Normal 4 2 6 4 2" xfId="38560" xr:uid="{00000000-0005-0000-0000-000065990000}"/>
    <cellStyle name="Normal 4 2 6 4 2 2" xfId="54660" xr:uid="{00000000-0005-0000-0000-000066990000}"/>
    <cellStyle name="Normal 4 2 6 4 3" xfId="45093" xr:uid="{00000000-0005-0000-0000-000067990000}"/>
    <cellStyle name="Normal 4 2 6 4 4" xfId="28993" xr:uid="{00000000-0005-0000-0000-000068990000}"/>
    <cellStyle name="Normal 4 2 6 4 5" xfId="19424" xr:uid="{00000000-0005-0000-0000-000069990000}"/>
    <cellStyle name="Normal 4 2 6 5" xfId="9855" xr:uid="{00000000-0005-0000-0000-00006A990000}"/>
    <cellStyle name="Normal 4 2 6 5 2" xfId="48129" xr:uid="{00000000-0005-0000-0000-00006B990000}"/>
    <cellStyle name="Normal 4 2 6 5 3" xfId="32029" xr:uid="{00000000-0005-0000-0000-00006C990000}"/>
    <cellStyle name="Normal 4 2 6 5 4" xfId="22460" xr:uid="{00000000-0005-0000-0000-00006D990000}"/>
    <cellStyle name="Normal 4 2 6 6" xfId="3783" xr:uid="{00000000-0005-0000-0000-00006E990000}"/>
    <cellStyle name="Normal 4 2 6 6 2" xfId="51624" xr:uid="{00000000-0005-0000-0000-00006F990000}"/>
    <cellStyle name="Normal 4 2 6 6 3" xfId="35524" xr:uid="{00000000-0005-0000-0000-000070990000}"/>
    <cellStyle name="Normal 4 2 6 6 4" xfId="16388" xr:uid="{00000000-0005-0000-0000-000071990000}"/>
    <cellStyle name="Normal 4 2 6 7" xfId="42057" xr:uid="{00000000-0005-0000-0000-000072990000}"/>
    <cellStyle name="Normal 4 2 6 8" xfId="25957" xr:uid="{00000000-0005-0000-0000-000073990000}"/>
    <cellStyle name="Normal 4 2 6 9" xfId="12893" xr:uid="{00000000-0005-0000-0000-000074990000}"/>
    <cellStyle name="Normal 4 2 7" xfId="746" xr:uid="{00000000-0005-0000-0000-000075990000}"/>
    <cellStyle name="Normal 4 2 7 2" xfId="2774" xr:uid="{00000000-0005-0000-0000-000076990000}"/>
    <cellStyle name="Normal 4 2 7 2 2" xfId="9306" xr:uid="{00000000-0005-0000-0000-000077990000}"/>
    <cellStyle name="Normal 4 2 7 2 2 2" xfId="41047" xr:uid="{00000000-0005-0000-0000-000078990000}"/>
    <cellStyle name="Normal 4 2 7 2 2 2 2" xfId="57147" xr:uid="{00000000-0005-0000-0000-000079990000}"/>
    <cellStyle name="Normal 4 2 7 2 2 3" xfId="47580" xr:uid="{00000000-0005-0000-0000-00007A990000}"/>
    <cellStyle name="Normal 4 2 7 2 2 4" xfId="31480" xr:uid="{00000000-0005-0000-0000-00007B990000}"/>
    <cellStyle name="Normal 4 2 7 2 2 5" xfId="21911" xr:uid="{00000000-0005-0000-0000-00007C990000}"/>
    <cellStyle name="Normal 4 2 7 2 3" xfId="12342" xr:uid="{00000000-0005-0000-0000-00007D990000}"/>
    <cellStyle name="Normal 4 2 7 2 3 2" xfId="50616" xr:uid="{00000000-0005-0000-0000-00007E990000}"/>
    <cellStyle name="Normal 4 2 7 2 3 3" xfId="34516" xr:uid="{00000000-0005-0000-0000-00007F990000}"/>
    <cellStyle name="Normal 4 2 7 2 3 4" xfId="24947" xr:uid="{00000000-0005-0000-0000-000080990000}"/>
    <cellStyle name="Normal 4 2 7 2 4" xfId="6270" xr:uid="{00000000-0005-0000-0000-000081990000}"/>
    <cellStyle name="Normal 4 2 7 2 4 2" xfId="54111" xr:uid="{00000000-0005-0000-0000-000082990000}"/>
    <cellStyle name="Normal 4 2 7 2 4 3" xfId="38011" xr:uid="{00000000-0005-0000-0000-000083990000}"/>
    <cellStyle name="Normal 4 2 7 2 4 4" xfId="18875" xr:uid="{00000000-0005-0000-0000-000084990000}"/>
    <cellStyle name="Normal 4 2 7 2 5" xfId="44544" xr:uid="{00000000-0005-0000-0000-000085990000}"/>
    <cellStyle name="Normal 4 2 7 2 6" xfId="28444" xr:uid="{00000000-0005-0000-0000-000086990000}"/>
    <cellStyle name="Normal 4 2 7 2 7" xfId="15380" xr:uid="{00000000-0005-0000-0000-000087990000}"/>
    <cellStyle name="Normal 4 2 7 3" xfId="1756" xr:uid="{00000000-0005-0000-0000-000088990000}"/>
    <cellStyle name="Normal 4 2 7 3 2" xfId="8290" xr:uid="{00000000-0005-0000-0000-000089990000}"/>
    <cellStyle name="Normal 4 2 7 3 2 2" xfId="40031" xr:uid="{00000000-0005-0000-0000-00008A990000}"/>
    <cellStyle name="Normal 4 2 7 3 2 2 2" xfId="56131" xr:uid="{00000000-0005-0000-0000-00008B990000}"/>
    <cellStyle name="Normal 4 2 7 3 2 3" xfId="46564" xr:uid="{00000000-0005-0000-0000-00008C990000}"/>
    <cellStyle name="Normal 4 2 7 3 2 4" xfId="30464" xr:uid="{00000000-0005-0000-0000-00008D990000}"/>
    <cellStyle name="Normal 4 2 7 3 2 5" xfId="20895" xr:uid="{00000000-0005-0000-0000-00008E990000}"/>
    <cellStyle name="Normal 4 2 7 3 3" xfId="11326" xr:uid="{00000000-0005-0000-0000-00008F990000}"/>
    <cellStyle name="Normal 4 2 7 3 3 2" xfId="49600" xr:uid="{00000000-0005-0000-0000-000090990000}"/>
    <cellStyle name="Normal 4 2 7 3 3 3" xfId="33500" xr:uid="{00000000-0005-0000-0000-000091990000}"/>
    <cellStyle name="Normal 4 2 7 3 3 4" xfId="23931" xr:uid="{00000000-0005-0000-0000-000092990000}"/>
    <cellStyle name="Normal 4 2 7 3 4" xfId="5254" xr:uid="{00000000-0005-0000-0000-000093990000}"/>
    <cellStyle name="Normal 4 2 7 3 4 2" xfId="53095" xr:uid="{00000000-0005-0000-0000-000094990000}"/>
    <cellStyle name="Normal 4 2 7 3 4 3" xfId="36995" xr:uid="{00000000-0005-0000-0000-000095990000}"/>
    <cellStyle name="Normal 4 2 7 3 4 4" xfId="17859" xr:uid="{00000000-0005-0000-0000-000096990000}"/>
    <cellStyle name="Normal 4 2 7 3 5" xfId="43528" xr:uid="{00000000-0005-0000-0000-000097990000}"/>
    <cellStyle name="Normal 4 2 7 3 6" xfId="27428" xr:uid="{00000000-0005-0000-0000-000098990000}"/>
    <cellStyle name="Normal 4 2 7 3 7" xfId="14364" xr:uid="{00000000-0005-0000-0000-000099990000}"/>
    <cellStyle name="Normal 4 2 7 4" xfId="7280" xr:uid="{00000000-0005-0000-0000-00009A990000}"/>
    <cellStyle name="Normal 4 2 7 4 2" xfId="39021" xr:uid="{00000000-0005-0000-0000-00009B990000}"/>
    <cellStyle name="Normal 4 2 7 4 2 2" xfId="55121" xr:uid="{00000000-0005-0000-0000-00009C990000}"/>
    <cellStyle name="Normal 4 2 7 4 3" xfId="45554" xr:uid="{00000000-0005-0000-0000-00009D990000}"/>
    <cellStyle name="Normal 4 2 7 4 4" xfId="29454" xr:uid="{00000000-0005-0000-0000-00009E990000}"/>
    <cellStyle name="Normal 4 2 7 4 5" xfId="19885" xr:uid="{00000000-0005-0000-0000-00009F990000}"/>
    <cellStyle name="Normal 4 2 7 5" xfId="10316" xr:uid="{00000000-0005-0000-0000-0000A0990000}"/>
    <cellStyle name="Normal 4 2 7 5 2" xfId="48590" xr:uid="{00000000-0005-0000-0000-0000A1990000}"/>
    <cellStyle name="Normal 4 2 7 5 3" xfId="32490" xr:uid="{00000000-0005-0000-0000-0000A2990000}"/>
    <cellStyle name="Normal 4 2 7 5 4" xfId="22921" xr:uid="{00000000-0005-0000-0000-0000A3990000}"/>
    <cellStyle name="Normal 4 2 7 6" xfId="4244" xr:uid="{00000000-0005-0000-0000-0000A4990000}"/>
    <cellStyle name="Normal 4 2 7 6 2" xfId="52085" xr:uid="{00000000-0005-0000-0000-0000A5990000}"/>
    <cellStyle name="Normal 4 2 7 6 3" xfId="35985" xr:uid="{00000000-0005-0000-0000-0000A6990000}"/>
    <cellStyle name="Normal 4 2 7 6 4" xfId="16849" xr:uid="{00000000-0005-0000-0000-0000A7990000}"/>
    <cellStyle name="Normal 4 2 7 7" xfId="42518" xr:uid="{00000000-0005-0000-0000-0000A8990000}"/>
    <cellStyle name="Normal 4 2 7 8" xfId="26418" xr:uid="{00000000-0005-0000-0000-0000A9990000}"/>
    <cellStyle name="Normal 4 2 7 9" xfId="13354" xr:uid="{00000000-0005-0000-0000-0000AA990000}"/>
    <cellStyle name="Normal 4 2 8" xfId="2083" xr:uid="{00000000-0005-0000-0000-0000AB990000}"/>
    <cellStyle name="Normal 4 2 8 2" xfId="8617" xr:uid="{00000000-0005-0000-0000-0000AC990000}"/>
    <cellStyle name="Normal 4 2 8 2 2" xfId="40358" xr:uid="{00000000-0005-0000-0000-0000AD990000}"/>
    <cellStyle name="Normal 4 2 8 2 2 2" xfId="56458" xr:uid="{00000000-0005-0000-0000-0000AE990000}"/>
    <cellStyle name="Normal 4 2 8 2 3" xfId="46891" xr:uid="{00000000-0005-0000-0000-0000AF990000}"/>
    <cellStyle name="Normal 4 2 8 2 4" xfId="30791" xr:uid="{00000000-0005-0000-0000-0000B0990000}"/>
    <cellStyle name="Normal 4 2 8 2 5" xfId="21222" xr:uid="{00000000-0005-0000-0000-0000B1990000}"/>
    <cellStyle name="Normal 4 2 8 3" xfId="11653" xr:uid="{00000000-0005-0000-0000-0000B2990000}"/>
    <cellStyle name="Normal 4 2 8 3 2" xfId="49927" xr:uid="{00000000-0005-0000-0000-0000B3990000}"/>
    <cellStyle name="Normal 4 2 8 3 3" xfId="33827" xr:uid="{00000000-0005-0000-0000-0000B4990000}"/>
    <cellStyle name="Normal 4 2 8 3 4" xfId="24258" xr:uid="{00000000-0005-0000-0000-0000B5990000}"/>
    <cellStyle name="Normal 4 2 8 4" xfId="5581" xr:uid="{00000000-0005-0000-0000-0000B6990000}"/>
    <cellStyle name="Normal 4 2 8 4 2" xfId="53422" xr:uid="{00000000-0005-0000-0000-0000B7990000}"/>
    <cellStyle name="Normal 4 2 8 4 3" xfId="37322" xr:uid="{00000000-0005-0000-0000-0000B8990000}"/>
    <cellStyle name="Normal 4 2 8 4 4" xfId="18186" xr:uid="{00000000-0005-0000-0000-0000B9990000}"/>
    <cellStyle name="Normal 4 2 8 5" xfId="43855" xr:uid="{00000000-0005-0000-0000-0000BA990000}"/>
    <cellStyle name="Normal 4 2 8 6" xfId="27755" xr:uid="{00000000-0005-0000-0000-0000BB990000}"/>
    <cellStyle name="Normal 4 2 8 7" xfId="14691" xr:uid="{00000000-0005-0000-0000-0000BC990000}"/>
    <cellStyle name="Normal 4 2 9" xfId="1073" xr:uid="{00000000-0005-0000-0000-0000BD990000}"/>
    <cellStyle name="Normal 4 2 9 2" xfId="7607" xr:uid="{00000000-0005-0000-0000-0000BE990000}"/>
    <cellStyle name="Normal 4 2 9 2 2" xfId="39348" xr:uid="{00000000-0005-0000-0000-0000BF990000}"/>
    <cellStyle name="Normal 4 2 9 2 2 2" xfId="55448" xr:uid="{00000000-0005-0000-0000-0000C0990000}"/>
    <cellStyle name="Normal 4 2 9 2 3" xfId="45881" xr:uid="{00000000-0005-0000-0000-0000C1990000}"/>
    <cellStyle name="Normal 4 2 9 2 4" xfId="29781" xr:uid="{00000000-0005-0000-0000-0000C2990000}"/>
    <cellStyle name="Normal 4 2 9 2 5" xfId="20212" xr:uid="{00000000-0005-0000-0000-0000C3990000}"/>
    <cellStyle name="Normal 4 2 9 3" xfId="10643" xr:uid="{00000000-0005-0000-0000-0000C4990000}"/>
    <cellStyle name="Normal 4 2 9 3 2" xfId="48917" xr:uid="{00000000-0005-0000-0000-0000C5990000}"/>
    <cellStyle name="Normal 4 2 9 3 3" xfId="32817" xr:uid="{00000000-0005-0000-0000-0000C6990000}"/>
    <cellStyle name="Normal 4 2 9 3 4" xfId="23248" xr:uid="{00000000-0005-0000-0000-0000C7990000}"/>
    <cellStyle name="Normal 4 2 9 4" xfId="4571" xr:uid="{00000000-0005-0000-0000-0000C8990000}"/>
    <cellStyle name="Normal 4 2 9 4 2" xfId="52412" xr:uid="{00000000-0005-0000-0000-0000C9990000}"/>
    <cellStyle name="Normal 4 2 9 4 3" xfId="36312" xr:uid="{00000000-0005-0000-0000-0000CA990000}"/>
    <cellStyle name="Normal 4 2 9 4 4" xfId="17176" xr:uid="{00000000-0005-0000-0000-0000CB990000}"/>
    <cellStyle name="Normal 4 2 9 5" xfId="42845" xr:uid="{00000000-0005-0000-0000-0000CC990000}"/>
    <cellStyle name="Normal 4 2 9 6" xfId="26745" xr:uid="{00000000-0005-0000-0000-0000CD990000}"/>
    <cellStyle name="Normal 4 2 9 7" xfId="13681" xr:uid="{00000000-0005-0000-0000-0000CE990000}"/>
    <cellStyle name="Normal 4 20" xfId="3083" xr:uid="{00000000-0005-0000-0000-0000CF990000}"/>
    <cellStyle name="Normal 4 20 2" xfId="50925" xr:uid="{00000000-0005-0000-0000-0000D0990000}"/>
    <cellStyle name="Normal 4 20 3" xfId="34825" xr:uid="{00000000-0005-0000-0000-0000D1990000}"/>
    <cellStyle name="Normal 4 20 4" xfId="15689" xr:uid="{00000000-0005-0000-0000-0000D2990000}"/>
    <cellStyle name="Normal 4 21" xfId="41358" xr:uid="{00000000-0005-0000-0000-0000D3990000}"/>
    <cellStyle name="Normal 4 22" xfId="25258" xr:uid="{00000000-0005-0000-0000-0000D4990000}"/>
    <cellStyle name="Normal 4 23" xfId="12653" xr:uid="{00000000-0005-0000-0000-0000D5990000}"/>
    <cellStyle name="Normal 4 3" xfId="113" xr:uid="{00000000-0005-0000-0000-0000D6990000}"/>
    <cellStyle name="Normal 4 3 10" xfId="9711" xr:uid="{00000000-0005-0000-0000-0000D7990000}"/>
    <cellStyle name="Normal 4 3 10 2" xfId="47985" xr:uid="{00000000-0005-0000-0000-0000D8990000}"/>
    <cellStyle name="Normal 4 3 10 3" xfId="31885" xr:uid="{00000000-0005-0000-0000-0000D9990000}"/>
    <cellStyle name="Normal 4 3 10 4" xfId="22316" xr:uid="{00000000-0005-0000-0000-0000DA990000}"/>
    <cellStyle name="Normal 4 3 11" xfId="3179" xr:uid="{00000000-0005-0000-0000-0000DB990000}"/>
    <cellStyle name="Normal 4 3 11 2" xfId="51021" xr:uid="{00000000-0005-0000-0000-0000DC990000}"/>
    <cellStyle name="Normal 4 3 11 3" xfId="34921" xr:uid="{00000000-0005-0000-0000-0000DD990000}"/>
    <cellStyle name="Normal 4 3 11 4" xfId="15785" xr:uid="{00000000-0005-0000-0000-0000DE990000}"/>
    <cellStyle name="Normal 4 3 12" xfId="41454" xr:uid="{00000000-0005-0000-0000-0000DF990000}"/>
    <cellStyle name="Normal 4 3 13" xfId="25354" xr:uid="{00000000-0005-0000-0000-0000E0990000}"/>
    <cellStyle name="Normal 4 3 14" xfId="12749" xr:uid="{00000000-0005-0000-0000-0000E1990000}"/>
    <cellStyle name="Normal 4 3 2" xfId="188" xr:uid="{00000000-0005-0000-0000-0000E2990000}"/>
    <cellStyle name="Normal 4 3 2 10" xfId="41691" xr:uid="{00000000-0005-0000-0000-0000E3990000}"/>
    <cellStyle name="Normal 4 3 2 11" xfId="25591" xr:uid="{00000000-0005-0000-0000-0000E4990000}"/>
    <cellStyle name="Normal 4 3 2 12" xfId="13017" xr:uid="{00000000-0005-0000-0000-0000E5990000}"/>
    <cellStyle name="Normal 4 3 2 2" xfId="365" xr:uid="{00000000-0005-0000-0000-0000E6990000}"/>
    <cellStyle name="Normal 4 3 2 2 2" xfId="2384" xr:uid="{00000000-0005-0000-0000-0000E7990000}"/>
    <cellStyle name="Normal 4 3 2 2 2 2" xfId="8918" xr:uid="{00000000-0005-0000-0000-0000E8990000}"/>
    <cellStyle name="Normal 4 3 2 2 2 2 2" xfId="40659" xr:uid="{00000000-0005-0000-0000-0000E9990000}"/>
    <cellStyle name="Normal 4 3 2 2 2 2 2 2" xfId="56759" xr:uid="{00000000-0005-0000-0000-0000EA990000}"/>
    <cellStyle name="Normal 4 3 2 2 2 2 3" xfId="47192" xr:uid="{00000000-0005-0000-0000-0000EB990000}"/>
    <cellStyle name="Normal 4 3 2 2 2 2 4" xfId="31092" xr:uid="{00000000-0005-0000-0000-0000EC990000}"/>
    <cellStyle name="Normal 4 3 2 2 2 2 5" xfId="21523" xr:uid="{00000000-0005-0000-0000-0000ED990000}"/>
    <cellStyle name="Normal 4 3 2 2 2 3" xfId="11954" xr:uid="{00000000-0005-0000-0000-0000EE990000}"/>
    <cellStyle name="Normal 4 3 2 2 2 3 2" xfId="50228" xr:uid="{00000000-0005-0000-0000-0000EF990000}"/>
    <cellStyle name="Normal 4 3 2 2 2 3 3" xfId="34128" xr:uid="{00000000-0005-0000-0000-0000F0990000}"/>
    <cellStyle name="Normal 4 3 2 2 2 3 4" xfId="24559" xr:uid="{00000000-0005-0000-0000-0000F1990000}"/>
    <cellStyle name="Normal 4 3 2 2 2 4" xfId="5882" xr:uid="{00000000-0005-0000-0000-0000F2990000}"/>
    <cellStyle name="Normal 4 3 2 2 2 4 2" xfId="53723" xr:uid="{00000000-0005-0000-0000-0000F3990000}"/>
    <cellStyle name="Normal 4 3 2 2 2 4 3" xfId="37623" xr:uid="{00000000-0005-0000-0000-0000F4990000}"/>
    <cellStyle name="Normal 4 3 2 2 2 4 4" xfId="18487" xr:uid="{00000000-0005-0000-0000-0000F5990000}"/>
    <cellStyle name="Normal 4 3 2 2 2 5" xfId="44156" xr:uid="{00000000-0005-0000-0000-0000F6990000}"/>
    <cellStyle name="Normal 4 3 2 2 2 6" xfId="28056" xr:uid="{00000000-0005-0000-0000-0000F7990000}"/>
    <cellStyle name="Normal 4 3 2 2 2 7" xfId="14992" xr:uid="{00000000-0005-0000-0000-0000F8990000}"/>
    <cellStyle name="Normal 4 3 2 2 3" xfId="1596" xr:uid="{00000000-0005-0000-0000-0000F9990000}"/>
    <cellStyle name="Normal 4 3 2 2 3 2" xfId="8130" xr:uid="{00000000-0005-0000-0000-0000FA990000}"/>
    <cellStyle name="Normal 4 3 2 2 3 2 2" xfId="39871" xr:uid="{00000000-0005-0000-0000-0000FB990000}"/>
    <cellStyle name="Normal 4 3 2 2 3 2 2 2" xfId="55971" xr:uid="{00000000-0005-0000-0000-0000FC990000}"/>
    <cellStyle name="Normal 4 3 2 2 3 2 3" xfId="46404" xr:uid="{00000000-0005-0000-0000-0000FD990000}"/>
    <cellStyle name="Normal 4 3 2 2 3 2 4" xfId="30304" xr:uid="{00000000-0005-0000-0000-0000FE990000}"/>
    <cellStyle name="Normal 4 3 2 2 3 2 5" xfId="20735" xr:uid="{00000000-0005-0000-0000-0000FF990000}"/>
    <cellStyle name="Normal 4 3 2 2 3 3" xfId="11166" xr:uid="{00000000-0005-0000-0000-0000009A0000}"/>
    <cellStyle name="Normal 4 3 2 2 3 3 2" xfId="49440" xr:uid="{00000000-0005-0000-0000-0000019A0000}"/>
    <cellStyle name="Normal 4 3 2 2 3 3 3" xfId="33340" xr:uid="{00000000-0005-0000-0000-0000029A0000}"/>
    <cellStyle name="Normal 4 3 2 2 3 3 4" xfId="23771" xr:uid="{00000000-0005-0000-0000-0000039A0000}"/>
    <cellStyle name="Normal 4 3 2 2 3 4" xfId="5094" xr:uid="{00000000-0005-0000-0000-0000049A0000}"/>
    <cellStyle name="Normal 4 3 2 2 3 4 2" xfId="52935" xr:uid="{00000000-0005-0000-0000-0000059A0000}"/>
    <cellStyle name="Normal 4 3 2 2 3 4 3" xfId="36835" xr:uid="{00000000-0005-0000-0000-0000069A0000}"/>
    <cellStyle name="Normal 4 3 2 2 3 4 4" xfId="17699" xr:uid="{00000000-0005-0000-0000-0000079A0000}"/>
    <cellStyle name="Normal 4 3 2 2 3 5" xfId="43368" xr:uid="{00000000-0005-0000-0000-0000089A0000}"/>
    <cellStyle name="Normal 4 3 2 2 3 6" xfId="27268" xr:uid="{00000000-0005-0000-0000-0000099A0000}"/>
    <cellStyle name="Normal 4 3 2 2 3 7" xfId="14204" xr:uid="{00000000-0005-0000-0000-00000A9A0000}"/>
    <cellStyle name="Normal 4 3 2 2 4" xfId="7120" xr:uid="{00000000-0005-0000-0000-00000B9A0000}"/>
    <cellStyle name="Normal 4 3 2 2 4 2" xfId="38861" xr:uid="{00000000-0005-0000-0000-00000C9A0000}"/>
    <cellStyle name="Normal 4 3 2 2 4 2 2" xfId="54961" xr:uid="{00000000-0005-0000-0000-00000D9A0000}"/>
    <cellStyle name="Normal 4 3 2 2 4 3" xfId="45394" xr:uid="{00000000-0005-0000-0000-00000E9A0000}"/>
    <cellStyle name="Normal 4 3 2 2 4 4" xfId="29294" xr:uid="{00000000-0005-0000-0000-00000F9A0000}"/>
    <cellStyle name="Normal 4 3 2 2 4 5" xfId="19725" xr:uid="{00000000-0005-0000-0000-0000109A0000}"/>
    <cellStyle name="Normal 4 3 2 2 5" xfId="10156" xr:uid="{00000000-0005-0000-0000-0000119A0000}"/>
    <cellStyle name="Normal 4 3 2 2 5 2" xfId="48430" xr:uid="{00000000-0005-0000-0000-0000129A0000}"/>
    <cellStyle name="Normal 4 3 2 2 5 3" xfId="32330" xr:uid="{00000000-0005-0000-0000-0000139A0000}"/>
    <cellStyle name="Normal 4 3 2 2 5 4" xfId="22761" xr:uid="{00000000-0005-0000-0000-0000149A0000}"/>
    <cellStyle name="Normal 4 3 2 2 6" xfId="4084" xr:uid="{00000000-0005-0000-0000-0000159A0000}"/>
    <cellStyle name="Normal 4 3 2 2 6 2" xfId="51925" xr:uid="{00000000-0005-0000-0000-0000169A0000}"/>
    <cellStyle name="Normal 4 3 2 2 6 3" xfId="35825" xr:uid="{00000000-0005-0000-0000-0000179A0000}"/>
    <cellStyle name="Normal 4 3 2 2 6 4" xfId="16689" xr:uid="{00000000-0005-0000-0000-0000189A0000}"/>
    <cellStyle name="Normal 4 3 2 2 7" xfId="42358" xr:uid="{00000000-0005-0000-0000-0000199A0000}"/>
    <cellStyle name="Normal 4 3 2 2 8" xfId="26258" xr:uid="{00000000-0005-0000-0000-00001A9A0000}"/>
    <cellStyle name="Normal 4 3 2 2 9" xfId="13194" xr:uid="{00000000-0005-0000-0000-00001B9A0000}"/>
    <cellStyle name="Normal 4 3 2 3" xfId="1004" xr:uid="{00000000-0005-0000-0000-00001C9A0000}"/>
    <cellStyle name="Normal 4 3 2 3 2" xfId="3032" xr:uid="{00000000-0005-0000-0000-00001D9A0000}"/>
    <cellStyle name="Normal 4 3 2 3 2 2" xfId="9564" xr:uid="{00000000-0005-0000-0000-00001E9A0000}"/>
    <cellStyle name="Normal 4 3 2 3 2 2 2" xfId="41305" xr:uid="{00000000-0005-0000-0000-00001F9A0000}"/>
    <cellStyle name="Normal 4 3 2 3 2 2 2 2" xfId="57405" xr:uid="{00000000-0005-0000-0000-0000209A0000}"/>
    <cellStyle name="Normal 4 3 2 3 2 2 3" xfId="47838" xr:uid="{00000000-0005-0000-0000-0000219A0000}"/>
    <cellStyle name="Normal 4 3 2 3 2 2 4" xfId="31738" xr:uid="{00000000-0005-0000-0000-0000229A0000}"/>
    <cellStyle name="Normal 4 3 2 3 2 2 5" xfId="22169" xr:uid="{00000000-0005-0000-0000-0000239A0000}"/>
    <cellStyle name="Normal 4 3 2 3 2 3" xfId="12600" xr:uid="{00000000-0005-0000-0000-0000249A0000}"/>
    <cellStyle name="Normal 4 3 2 3 2 3 2" xfId="50874" xr:uid="{00000000-0005-0000-0000-0000259A0000}"/>
    <cellStyle name="Normal 4 3 2 3 2 3 3" xfId="34774" xr:uid="{00000000-0005-0000-0000-0000269A0000}"/>
    <cellStyle name="Normal 4 3 2 3 2 3 4" xfId="25205" xr:uid="{00000000-0005-0000-0000-0000279A0000}"/>
    <cellStyle name="Normal 4 3 2 3 2 4" xfId="6528" xr:uid="{00000000-0005-0000-0000-0000289A0000}"/>
    <cellStyle name="Normal 4 3 2 3 2 4 2" xfId="54369" xr:uid="{00000000-0005-0000-0000-0000299A0000}"/>
    <cellStyle name="Normal 4 3 2 3 2 4 3" xfId="38269" xr:uid="{00000000-0005-0000-0000-00002A9A0000}"/>
    <cellStyle name="Normal 4 3 2 3 2 4 4" xfId="19133" xr:uid="{00000000-0005-0000-0000-00002B9A0000}"/>
    <cellStyle name="Normal 4 3 2 3 2 5" xfId="44802" xr:uid="{00000000-0005-0000-0000-00002C9A0000}"/>
    <cellStyle name="Normal 4 3 2 3 2 6" xfId="28702" xr:uid="{00000000-0005-0000-0000-00002D9A0000}"/>
    <cellStyle name="Normal 4 3 2 3 2 7" xfId="15638" xr:uid="{00000000-0005-0000-0000-00002E9A0000}"/>
    <cellStyle name="Normal 4 3 2 3 3" xfId="2014" xr:uid="{00000000-0005-0000-0000-00002F9A0000}"/>
    <cellStyle name="Normal 4 3 2 3 3 2" xfId="8548" xr:uid="{00000000-0005-0000-0000-0000309A0000}"/>
    <cellStyle name="Normal 4 3 2 3 3 2 2" xfId="40289" xr:uid="{00000000-0005-0000-0000-0000319A0000}"/>
    <cellStyle name="Normal 4 3 2 3 3 2 2 2" xfId="56389" xr:uid="{00000000-0005-0000-0000-0000329A0000}"/>
    <cellStyle name="Normal 4 3 2 3 3 2 3" xfId="46822" xr:uid="{00000000-0005-0000-0000-0000339A0000}"/>
    <cellStyle name="Normal 4 3 2 3 3 2 4" xfId="30722" xr:uid="{00000000-0005-0000-0000-0000349A0000}"/>
    <cellStyle name="Normal 4 3 2 3 3 2 5" xfId="21153" xr:uid="{00000000-0005-0000-0000-0000359A0000}"/>
    <cellStyle name="Normal 4 3 2 3 3 3" xfId="11584" xr:uid="{00000000-0005-0000-0000-0000369A0000}"/>
    <cellStyle name="Normal 4 3 2 3 3 3 2" xfId="49858" xr:uid="{00000000-0005-0000-0000-0000379A0000}"/>
    <cellStyle name="Normal 4 3 2 3 3 3 3" xfId="33758" xr:uid="{00000000-0005-0000-0000-0000389A0000}"/>
    <cellStyle name="Normal 4 3 2 3 3 3 4" xfId="24189" xr:uid="{00000000-0005-0000-0000-0000399A0000}"/>
    <cellStyle name="Normal 4 3 2 3 3 4" xfId="5512" xr:uid="{00000000-0005-0000-0000-00003A9A0000}"/>
    <cellStyle name="Normal 4 3 2 3 3 4 2" xfId="53353" xr:uid="{00000000-0005-0000-0000-00003B9A0000}"/>
    <cellStyle name="Normal 4 3 2 3 3 4 3" xfId="37253" xr:uid="{00000000-0005-0000-0000-00003C9A0000}"/>
    <cellStyle name="Normal 4 3 2 3 3 4 4" xfId="18117" xr:uid="{00000000-0005-0000-0000-00003D9A0000}"/>
    <cellStyle name="Normal 4 3 2 3 3 5" xfId="43786" xr:uid="{00000000-0005-0000-0000-00003E9A0000}"/>
    <cellStyle name="Normal 4 3 2 3 3 6" xfId="27686" xr:uid="{00000000-0005-0000-0000-00003F9A0000}"/>
    <cellStyle name="Normal 4 3 2 3 3 7" xfId="14622" xr:uid="{00000000-0005-0000-0000-0000409A0000}"/>
    <cellStyle name="Normal 4 3 2 3 4" xfId="7538" xr:uid="{00000000-0005-0000-0000-0000419A0000}"/>
    <cellStyle name="Normal 4 3 2 3 4 2" xfId="39279" xr:uid="{00000000-0005-0000-0000-0000429A0000}"/>
    <cellStyle name="Normal 4 3 2 3 4 2 2" xfId="55379" xr:uid="{00000000-0005-0000-0000-0000439A0000}"/>
    <cellStyle name="Normal 4 3 2 3 4 3" xfId="45812" xr:uid="{00000000-0005-0000-0000-0000449A0000}"/>
    <cellStyle name="Normal 4 3 2 3 4 4" xfId="29712" xr:uid="{00000000-0005-0000-0000-0000459A0000}"/>
    <cellStyle name="Normal 4 3 2 3 4 5" xfId="20143" xr:uid="{00000000-0005-0000-0000-0000469A0000}"/>
    <cellStyle name="Normal 4 3 2 3 5" xfId="10574" xr:uid="{00000000-0005-0000-0000-0000479A0000}"/>
    <cellStyle name="Normal 4 3 2 3 5 2" xfId="48848" xr:uid="{00000000-0005-0000-0000-0000489A0000}"/>
    <cellStyle name="Normal 4 3 2 3 5 3" xfId="32748" xr:uid="{00000000-0005-0000-0000-0000499A0000}"/>
    <cellStyle name="Normal 4 3 2 3 5 4" xfId="23179" xr:uid="{00000000-0005-0000-0000-00004A9A0000}"/>
    <cellStyle name="Normal 4 3 2 3 6" xfId="4502" xr:uid="{00000000-0005-0000-0000-00004B9A0000}"/>
    <cellStyle name="Normal 4 3 2 3 6 2" xfId="52343" xr:uid="{00000000-0005-0000-0000-00004C9A0000}"/>
    <cellStyle name="Normal 4 3 2 3 6 3" xfId="36243" xr:uid="{00000000-0005-0000-0000-00004D9A0000}"/>
    <cellStyle name="Normal 4 3 2 3 6 4" xfId="17107" xr:uid="{00000000-0005-0000-0000-00004E9A0000}"/>
    <cellStyle name="Normal 4 3 2 3 7" xfId="42776" xr:uid="{00000000-0005-0000-0000-00004F9A0000}"/>
    <cellStyle name="Normal 4 3 2 3 8" xfId="26676" xr:uid="{00000000-0005-0000-0000-0000509A0000}"/>
    <cellStyle name="Normal 4 3 2 3 9" xfId="13612" xr:uid="{00000000-0005-0000-0000-0000519A0000}"/>
    <cellStyle name="Normal 4 3 2 4" xfId="2207" xr:uid="{00000000-0005-0000-0000-0000529A0000}"/>
    <cellStyle name="Normal 4 3 2 4 2" xfId="8741" xr:uid="{00000000-0005-0000-0000-0000539A0000}"/>
    <cellStyle name="Normal 4 3 2 4 2 2" xfId="40482" xr:uid="{00000000-0005-0000-0000-0000549A0000}"/>
    <cellStyle name="Normal 4 3 2 4 2 2 2" xfId="56582" xr:uid="{00000000-0005-0000-0000-0000559A0000}"/>
    <cellStyle name="Normal 4 3 2 4 2 3" xfId="47015" xr:uid="{00000000-0005-0000-0000-0000569A0000}"/>
    <cellStyle name="Normal 4 3 2 4 2 4" xfId="30915" xr:uid="{00000000-0005-0000-0000-0000579A0000}"/>
    <cellStyle name="Normal 4 3 2 4 2 5" xfId="21346" xr:uid="{00000000-0005-0000-0000-0000589A0000}"/>
    <cellStyle name="Normal 4 3 2 4 3" xfId="11777" xr:uid="{00000000-0005-0000-0000-0000599A0000}"/>
    <cellStyle name="Normal 4 3 2 4 3 2" xfId="50051" xr:uid="{00000000-0005-0000-0000-00005A9A0000}"/>
    <cellStyle name="Normal 4 3 2 4 3 3" xfId="33951" xr:uid="{00000000-0005-0000-0000-00005B9A0000}"/>
    <cellStyle name="Normal 4 3 2 4 3 4" xfId="24382" xr:uid="{00000000-0005-0000-0000-00005C9A0000}"/>
    <cellStyle name="Normal 4 3 2 4 4" xfId="5705" xr:uid="{00000000-0005-0000-0000-00005D9A0000}"/>
    <cellStyle name="Normal 4 3 2 4 4 2" xfId="53546" xr:uid="{00000000-0005-0000-0000-00005E9A0000}"/>
    <cellStyle name="Normal 4 3 2 4 4 3" xfId="37446" xr:uid="{00000000-0005-0000-0000-00005F9A0000}"/>
    <cellStyle name="Normal 4 3 2 4 4 4" xfId="18310" xr:uid="{00000000-0005-0000-0000-0000609A0000}"/>
    <cellStyle name="Normal 4 3 2 4 5" xfId="43979" xr:uid="{00000000-0005-0000-0000-0000619A0000}"/>
    <cellStyle name="Normal 4 3 2 4 6" xfId="27879" xr:uid="{00000000-0005-0000-0000-0000629A0000}"/>
    <cellStyle name="Normal 4 3 2 4 7" xfId="14815" xr:uid="{00000000-0005-0000-0000-0000639A0000}"/>
    <cellStyle name="Normal 4 3 2 5" xfId="1419" xr:uid="{00000000-0005-0000-0000-0000649A0000}"/>
    <cellStyle name="Normal 4 3 2 5 2" xfId="7953" xr:uid="{00000000-0005-0000-0000-0000659A0000}"/>
    <cellStyle name="Normal 4 3 2 5 2 2" xfId="39694" xr:uid="{00000000-0005-0000-0000-0000669A0000}"/>
    <cellStyle name="Normal 4 3 2 5 2 2 2" xfId="55794" xr:uid="{00000000-0005-0000-0000-0000679A0000}"/>
    <cellStyle name="Normal 4 3 2 5 2 3" xfId="46227" xr:uid="{00000000-0005-0000-0000-0000689A0000}"/>
    <cellStyle name="Normal 4 3 2 5 2 4" xfId="30127" xr:uid="{00000000-0005-0000-0000-0000699A0000}"/>
    <cellStyle name="Normal 4 3 2 5 2 5" xfId="20558" xr:uid="{00000000-0005-0000-0000-00006A9A0000}"/>
    <cellStyle name="Normal 4 3 2 5 3" xfId="10989" xr:uid="{00000000-0005-0000-0000-00006B9A0000}"/>
    <cellStyle name="Normal 4 3 2 5 3 2" xfId="49263" xr:uid="{00000000-0005-0000-0000-00006C9A0000}"/>
    <cellStyle name="Normal 4 3 2 5 3 3" xfId="33163" xr:uid="{00000000-0005-0000-0000-00006D9A0000}"/>
    <cellStyle name="Normal 4 3 2 5 3 4" xfId="23594" xr:uid="{00000000-0005-0000-0000-00006E9A0000}"/>
    <cellStyle name="Normal 4 3 2 5 4" xfId="4917" xr:uid="{00000000-0005-0000-0000-00006F9A0000}"/>
    <cellStyle name="Normal 4 3 2 5 4 2" xfId="52758" xr:uid="{00000000-0005-0000-0000-0000709A0000}"/>
    <cellStyle name="Normal 4 3 2 5 4 3" xfId="36658" xr:uid="{00000000-0005-0000-0000-0000719A0000}"/>
    <cellStyle name="Normal 4 3 2 5 4 4" xfId="17522" xr:uid="{00000000-0005-0000-0000-0000729A0000}"/>
    <cellStyle name="Normal 4 3 2 5 5" xfId="43191" xr:uid="{00000000-0005-0000-0000-0000739A0000}"/>
    <cellStyle name="Normal 4 3 2 5 6" xfId="27091" xr:uid="{00000000-0005-0000-0000-0000749A0000}"/>
    <cellStyle name="Normal 4 3 2 5 7" xfId="14027" xr:uid="{00000000-0005-0000-0000-0000759A0000}"/>
    <cellStyle name="Normal 4 3 2 6" xfId="3907" xr:uid="{00000000-0005-0000-0000-0000769A0000}"/>
    <cellStyle name="Normal 4 3 2 6 2" xfId="35648" xr:uid="{00000000-0005-0000-0000-0000779A0000}"/>
    <cellStyle name="Normal 4 3 2 6 2 2" xfId="51748" xr:uid="{00000000-0005-0000-0000-0000789A0000}"/>
    <cellStyle name="Normal 4 3 2 6 3" xfId="42181" xr:uid="{00000000-0005-0000-0000-0000799A0000}"/>
    <cellStyle name="Normal 4 3 2 6 4" xfId="26081" xr:uid="{00000000-0005-0000-0000-00007A9A0000}"/>
    <cellStyle name="Normal 4 3 2 6 5" xfId="16512" xr:uid="{00000000-0005-0000-0000-00007B9A0000}"/>
    <cellStyle name="Normal 4 3 2 7" xfId="6943" xr:uid="{00000000-0005-0000-0000-00007C9A0000}"/>
    <cellStyle name="Normal 4 3 2 7 2" xfId="38684" xr:uid="{00000000-0005-0000-0000-00007D9A0000}"/>
    <cellStyle name="Normal 4 3 2 7 2 2" xfId="54784" xr:uid="{00000000-0005-0000-0000-00007E9A0000}"/>
    <cellStyle name="Normal 4 3 2 7 3" xfId="45217" xr:uid="{00000000-0005-0000-0000-00007F9A0000}"/>
    <cellStyle name="Normal 4 3 2 7 4" xfId="29117" xr:uid="{00000000-0005-0000-0000-0000809A0000}"/>
    <cellStyle name="Normal 4 3 2 7 5" xfId="19548" xr:uid="{00000000-0005-0000-0000-0000819A0000}"/>
    <cellStyle name="Normal 4 3 2 8" xfId="9979" xr:uid="{00000000-0005-0000-0000-0000829A0000}"/>
    <cellStyle name="Normal 4 3 2 8 2" xfId="48253" xr:uid="{00000000-0005-0000-0000-0000839A0000}"/>
    <cellStyle name="Normal 4 3 2 8 3" xfId="32153" xr:uid="{00000000-0005-0000-0000-0000849A0000}"/>
    <cellStyle name="Normal 4 3 2 8 4" xfId="22584" xr:uid="{00000000-0005-0000-0000-0000859A0000}"/>
    <cellStyle name="Normal 4 3 2 9" xfId="3417" xr:uid="{00000000-0005-0000-0000-0000869A0000}"/>
    <cellStyle name="Normal 4 3 2 9 2" xfId="51258" xr:uid="{00000000-0005-0000-0000-0000879A0000}"/>
    <cellStyle name="Normal 4 3 2 9 3" xfId="35158" xr:uid="{00000000-0005-0000-0000-0000889A0000}"/>
    <cellStyle name="Normal 4 3 2 9 4" xfId="16022" xr:uid="{00000000-0005-0000-0000-0000899A0000}"/>
    <cellStyle name="Normal 4 3 3" xfId="294" xr:uid="{00000000-0005-0000-0000-00008A9A0000}"/>
    <cellStyle name="Normal 4 3 3 2" xfId="2313" xr:uid="{00000000-0005-0000-0000-00008B9A0000}"/>
    <cellStyle name="Normal 4 3 3 2 2" xfId="8847" xr:uid="{00000000-0005-0000-0000-00008C9A0000}"/>
    <cellStyle name="Normal 4 3 3 2 2 2" xfId="40588" xr:uid="{00000000-0005-0000-0000-00008D9A0000}"/>
    <cellStyle name="Normal 4 3 3 2 2 2 2" xfId="56688" xr:uid="{00000000-0005-0000-0000-00008E9A0000}"/>
    <cellStyle name="Normal 4 3 3 2 2 3" xfId="47121" xr:uid="{00000000-0005-0000-0000-00008F9A0000}"/>
    <cellStyle name="Normal 4 3 3 2 2 4" xfId="31021" xr:uid="{00000000-0005-0000-0000-0000909A0000}"/>
    <cellStyle name="Normal 4 3 3 2 2 5" xfId="21452" xr:uid="{00000000-0005-0000-0000-0000919A0000}"/>
    <cellStyle name="Normal 4 3 3 2 3" xfId="11883" xr:uid="{00000000-0005-0000-0000-0000929A0000}"/>
    <cellStyle name="Normal 4 3 3 2 3 2" xfId="50157" xr:uid="{00000000-0005-0000-0000-0000939A0000}"/>
    <cellStyle name="Normal 4 3 3 2 3 3" xfId="34057" xr:uid="{00000000-0005-0000-0000-0000949A0000}"/>
    <cellStyle name="Normal 4 3 3 2 3 4" xfId="24488" xr:uid="{00000000-0005-0000-0000-0000959A0000}"/>
    <cellStyle name="Normal 4 3 3 2 4" xfId="5811" xr:uid="{00000000-0005-0000-0000-0000969A0000}"/>
    <cellStyle name="Normal 4 3 3 2 4 2" xfId="53652" xr:uid="{00000000-0005-0000-0000-0000979A0000}"/>
    <cellStyle name="Normal 4 3 3 2 4 3" xfId="37552" xr:uid="{00000000-0005-0000-0000-0000989A0000}"/>
    <cellStyle name="Normal 4 3 3 2 4 4" xfId="18416" xr:uid="{00000000-0005-0000-0000-0000999A0000}"/>
    <cellStyle name="Normal 4 3 3 2 5" xfId="44085" xr:uid="{00000000-0005-0000-0000-00009A9A0000}"/>
    <cellStyle name="Normal 4 3 3 2 6" xfId="27985" xr:uid="{00000000-0005-0000-0000-00009B9A0000}"/>
    <cellStyle name="Normal 4 3 3 2 7" xfId="14921" xr:uid="{00000000-0005-0000-0000-00009C9A0000}"/>
    <cellStyle name="Normal 4 3 3 3" xfId="1525" xr:uid="{00000000-0005-0000-0000-00009D9A0000}"/>
    <cellStyle name="Normal 4 3 3 3 2" xfId="8059" xr:uid="{00000000-0005-0000-0000-00009E9A0000}"/>
    <cellStyle name="Normal 4 3 3 3 2 2" xfId="39800" xr:uid="{00000000-0005-0000-0000-00009F9A0000}"/>
    <cellStyle name="Normal 4 3 3 3 2 2 2" xfId="55900" xr:uid="{00000000-0005-0000-0000-0000A09A0000}"/>
    <cellStyle name="Normal 4 3 3 3 2 3" xfId="46333" xr:uid="{00000000-0005-0000-0000-0000A19A0000}"/>
    <cellStyle name="Normal 4 3 3 3 2 4" xfId="30233" xr:uid="{00000000-0005-0000-0000-0000A29A0000}"/>
    <cellStyle name="Normal 4 3 3 3 2 5" xfId="20664" xr:uid="{00000000-0005-0000-0000-0000A39A0000}"/>
    <cellStyle name="Normal 4 3 3 3 3" xfId="11095" xr:uid="{00000000-0005-0000-0000-0000A49A0000}"/>
    <cellStyle name="Normal 4 3 3 3 3 2" xfId="49369" xr:uid="{00000000-0005-0000-0000-0000A59A0000}"/>
    <cellStyle name="Normal 4 3 3 3 3 3" xfId="33269" xr:uid="{00000000-0005-0000-0000-0000A69A0000}"/>
    <cellStyle name="Normal 4 3 3 3 3 4" xfId="23700" xr:uid="{00000000-0005-0000-0000-0000A79A0000}"/>
    <cellStyle name="Normal 4 3 3 3 4" xfId="5023" xr:uid="{00000000-0005-0000-0000-0000A89A0000}"/>
    <cellStyle name="Normal 4 3 3 3 4 2" xfId="52864" xr:uid="{00000000-0005-0000-0000-0000A99A0000}"/>
    <cellStyle name="Normal 4 3 3 3 4 3" xfId="36764" xr:uid="{00000000-0005-0000-0000-0000AA9A0000}"/>
    <cellStyle name="Normal 4 3 3 3 4 4" xfId="17628" xr:uid="{00000000-0005-0000-0000-0000AB9A0000}"/>
    <cellStyle name="Normal 4 3 3 3 5" xfId="43297" xr:uid="{00000000-0005-0000-0000-0000AC9A0000}"/>
    <cellStyle name="Normal 4 3 3 3 6" xfId="27197" xr:uid="{00000000-0005-0000-0000-0000AD9A0000}"/>
    <cellStyle name="Normal 4 3 3 3 7" xfId="14133" xr:uid="{00000000-0005-0000-0000-0000AE9A0000}"/>
    <cellStyle name="Normal 4 3 3 4" xfId="7049" xr:uid="{00000000-0005-0000-0000-0000AF9A0000}"/>
    <cellStyle name="Normal 4 3 3 4 2" xfId="38790" xr:uid="{00000000-0005-0000-0000-0000B09A0000}"/>
    <cellStyle name="Normal 4 3 3 4 2 2" xfId="54890" xr:uid="{00000000-0005-0000-0000-0000B19A0000}"/>
    <cellStyle name="Normal 4 3 3 4 3" xfId="45323" xr:uid="{00000000-0005-0000-0000-0000B29A0000}"/>
    <cellStyle name="Normal 4 3 3 4 4" xfId="29223" xr:uid="{00000000-0005-0000-0000-0000B39A0000}"/>
    <cellStyle name="Normal 4 3 3 4 5" xfId="19654" xr:uid="{00000000-0005-0000-0000-0000B49A0000}"/>
    <cellStyle name="Normal 4 3 3 5" xfId="10085" xr:uid="{00000000-0005-0000-0000-0000B59A0000}"/>
    <cellStyle name="Normal 4 3 3 5 2" xfId="48359" xr:uid="{00000000-0005-0000-0000-0000B69A0000}"/>
    <cellStyle name="Normal 4 3 3 5 3" xfId="32259" xr:uid="{00000000-0005-0000-0000-0000B79A0000}"/>
    <cellStyle name="Normal 4 3 3 5 4" xfId="22690" xr:uid="{00000000-0005-0000-0000-0000B89A0000}"/>
    <cellStyle name="Normal 4 3 3 6" xfId="4013" xr:uid="{00000000-0005-0000-0000-0000B99A0000}"/>
    <cellStyle name="Normal 4 3 3 6 2" xfId="51854" xr:uid="{00000000-0005-0000-0000-0000BA9A0000}"/>
    <cellStyle name="Normal 4 3 3 6 3" xfId="35754" xr:uid="{00000000-0005-0000-0000-0000BB9A0000}"/>
    <cellStyle name="Normal 4 3 3 6 4" xfId="16618" xr:uid="{00000000-0005-0000-0000-0000BC9A0000}"/>
    <cellStyle name="Normal 4 3 3 7" xfId="42287" xr:uid="{00000000-0005-0000-0000-0000BD9A0000}"/>
    <cellStyle name="Normal 4 3 3 8" xfId="26187" xr:uid="{00000000-0005-0000-0000-0000BE9A0000}"/>
    <cellStyle name="Normal 4 3 3 9" xfId="13123" xr:uid="{00000000-0005-0000-0000-0000BF9A0000}"/>
    <cellStyle name="Normal 4 3 4" xfId="552" xr:uid="{00000000-0005-0000-0000-0000C09A0000}"/>
    <cellStyle name="Normal 4 3 4 2" xfId="2581" xr:uid="{00000000-0005-0000-0000-0000C19A0000}"/>
    <cellStyle name="Normal 4 3 4 2 2" xfId="9113" xr:uid="{00000000-0005-0000-0000-0000C29A0000}"/>
    <cellStyle name="Normal 4 3 4 2 2 2" xfId="40854" xr:uid="{00000000-0005-0000-0000-0000C39A0000}"/>
    <cellStyle name="Normal 4 3 4 2 2 2 2" xfId="56954" xr:uid="{00000000-0005-0000-0000-0000C49A0000}"/>
    <cellStyle name="Normal 4 3 4 2 2 3" xfId="47387" xr:uid="{00000000-0005-0000-0000-0000C59A0000}"/>
    <cellStyle name="Normal 4 3 4 2 2 4" xfId="31287" xr:uid="{00000000-0005-0000-0000-0000C69A0000}"/>
    <cellStyle name="Normal 4 3 4 2 2 5" xfId="21718" xr:uid="{00000000-0005-0000-0000-0000C79A0000}"/>
    <cellStyle name="Normal 4 3 4 2 3" xfId="12149" xr:uid="{00000000-0005-0000-0000-0000C89A0000}"/>
    <cellStyle name="Normal 4 3 4 2 3 2" xfId="50423" xr:uid="{00000000-0005-0000-0000-0000C99A0000}"/>
    <cellStyle name="Normal 4 3 4 2 3 3" xfId="34323" xr:uid="{00000000-0005-0000-0000-0000CA9A0000}"/>
    <cellStyle name="Normal 4 3 4 2 3 4" xfId="24754" xr:uid="{00000000-0005-0000-0000-0000CB9A0000}"/>
    <cellStyle name="Normal 4 3 4 2 4" xfId="6077" xr:uid="{00000000-0005-0000-0000-0000CC9A0000}"/>
    <cellStyle name="Normal 4 3 4 2 4 2" xfId="53918" xr:uid="{00000000-0005-0000-0000-0000CD9A0000}"/>
    <cellStyle name="Normal 4 3 4 2 4 3" xfId="37818" xr:uid="{00000000-0005-0000-0000-0000CE9A0000}"/>
    <cellStyle name="Normal 4 3 4 2 4 4" xfId="18682" xr:uid="{00000000-0005-0000-0000-0000CF9A0000}"/>
    <cellStyle name="Normal 4 3 4 2 5" xfId="44351" xr:uid="{00000000-0005-0000-0000-0000D09A0000}"/>
    <cellStyle name="Normal 4 3 4 2 6" xfId="28251" xr:uid="{00000000-0005-0000-0000-0000D19A0000}"/>
    <cellStyle name="Normal 4 3 4 2 7" xfId="15187" xr:uid="{00000000-0005-0000-0000-0000D29A0000}"/>
    <cellStyle name="Normal 4 3 4 3" xfId="1348" xr:uid="{00000000-0005-0000-0000-0000D39A0000}"/>
    <cellStyle name="Normal 4 3 4 3 2" xfId="7882" xr:uid="{00000000-0005-0000-0000-0000D49A0000}"/>
    <cellStyle name="Normal 4 3 4 3 2 2" xfId="39623" xr:uid="{00000000-0005-0000-0000-0000D59A0000}"/>
    <cellStyle name="Normal 4 3 4 3 2 2 2" xfId="55723" xr:uid="{00000000-0005-0000-0000-0000D69A0000}"/>
    <cellStyle name="Normal 4 3 4 3 2 3" xfId="46156" xr:uid="{00000000-0005-0000-0000-0000D79A0000}"/>
    <cellStyle name="Normal 4 3 4 3 2 4" xfId="30056" xr:uid="{00000000-0005-0000-0000-0000D89A0000}"/>
    <cellStyle name="Normal 4 3 4 3 2 5" xfId="20487" xr:uid="{00000000-0005-0000-0000-0000D99A0000}"/>
    <cellStyle name="Normal 4 3 4 3 3" xfId="10918" xr:uid="{00000000-0005-0000-0000-0000DA9A0000}"/>
    <cellStyle name="Normal 4 3 4 3 3 2" xfId="49192" xr:uid="{00000000-0005-0000-0000-0000DB9A0000}"/>
    <cellStyle name="Normal 4 3 4 3 3 3" xfId="33092" xr:uid="{00000000-0005-0000-0000-0000DC9A0000}"/>
    <cellStyle name="Normal 4 3 4 3 3 4" xfId="23523" xr:uid="{00000000-0005-0000-0000-0000DD9A0000}"/>
    <cellStyle name="Normal 4 3 4 3 4" xfId="4846" xr:uid="{00000000-0005-0000-0000-0000DE9A0000}"/>
    <cellStyle name="Normal 4 3 4 3 4 2" xfId="52687" xr:uid="{00000000-0005-0000-0000-0000DF9A0000}"/>
    <cellStyle name="Normal 4 3 4 3 4 3" xfId="36587" xr:uid="{00000000-0005-0000-0000-0000E09A0000}"/>
    <cellStyle name="Normal 4 3 4 3 4 4" xfId="17451" xr:uid="{00000000-0005-0000-0000-0000E19A0000}"/>
    <cellStyle name="Normal 4 3 4 3 5" xfId="43120" xr:uid="{00000000-0005-0000-0000-0000E29A0000}"/>
    <cellStyle name="Normal 4 3 4 3 6" xfId="27020" xr:uid="{00000000-0005-0000-0000-0000E39A0000}"/>
    <cellStyle name="Normal 4 3 4 3 7" xfId="13956" xr:uid="{00000000-0005-0000-0000-0000E49A0000}"/>
    <cellStyle name="Normal 4 3 4 4" xfId="6872" xr:uid="{00000000-0005-0000-0000-0000E59A0000}"/>
    <cellStyle name="Normal 4 3 4 4 2" xfId="38613" xr:uid="{00000000-0005-0000-0000-0000E69A0000}"/>
    <cellStyle name="Normal 4 3 4 4 2 2" xfId="54713" xr:uid="{00000000-0005-0000-0000-0000E79A0000}"/>
    <cellStyle name="Normal 4 3 4 4 3" xfId="45146" xr:uid="{00000000-0005-0000-0000-0000E89A0000}"/>
    <cellStyle name="Normal 4 3 4 4 4" xfId="29046" xr:uid="{00000000-0005-0000-0000-0000E99A0000}"/>
    <cellStyle name="Normal 4 3 4 4 5" xfId="19477" xr:uid="{00000000-0005-0000-0000-0000EA9A0000}"/>
    <cellStyle name="Normal 4 3 4 5" xfId="9908" xr:uid="{00000000-0005-0000-0000-0000EB9A0000}"/>
    <cellStyle name="Normal 4 3 4 5 2" xfId="48182" xr:uid="{00000000-0005-0000-0000-0000EC9A0000}"/>
    <cellStyle name="Normal 4 3 4 5 3" xfId="32082" xr:uid="{00000000-0005-0000-0000-0000ED9A0000}"/>
    <cellStyle name="Normal 4 3 4 5 4" xfId="22513" xr:uid="{00000000-0005-0000-0000-0000EE9A0000}"/>
    <cellStyle name="Normal 4 3 4 6" xfId="3836" xr:uid="{00000000-0005-0000-0000-0000EF9A0000}"/>
    <cellStyle name="Normal 4 3 4 6 2" xfId="51677" xr:uid="{00000000-0005-0000-0000-0000F09A0000}"/>
    <cellStyle name="Normal 4 3 4 6 3" xfId="35577" xr:uid="{00000000-0005-0000-0000-0000F19A0000}"/>
    <cellStyle name="Normal 4 3 4 6 4" xfId="16441" xr:uid="{00000000-0005-0000-0000-0000F29A0000}"/>
    <cellStyle name="Normal 4 3 4 7" xfId="42110" xr:uid="{00000000-0005-0000-0000-0000F39A0000}"/>
    <cellStyle name="Normal 4 3 4 8" xfId="26010" xr:uid="{00000000-0005-0000-0000-0000F49A0000}"/>
    <cellStyle name="Normal 4 3 4 9" xfId="12946" xr:uid="{00000000-0005-0000-0000-0000F59A0000}"/>
    <cellStyle name="Normal 4 3 5" xfId="824" xr:uid="{00000000-0005-0000-0000-0000F69A0000}"/>
    <cellStyle name="Normal 4 3 5 2" xfId="2852" xr:uid="{00000000-0005-0000-0000-0000F79A0000}"/>
    <cellStyle name="Normal 4 3 5 2 2" xfId="9384" xr:uid="{00000000-0005-0000-0000-0000F89A0000}"/>
    <cellStyle name="Normal 4 3 5 2 2 2" xfId="41125" xr:uid="{00000000-0005-0000-0000-0000F99A0000}"/>
    <cellStyle name="Normal 4 3 5 2 2 2 2" xfId="57225" xr:uid="{00000000-0005-0000-0000-0000FA9A0000}"/>
    <cellStyle name="Normal 4 3 5 2 2 3" xfId="47658" xr:uid="{00000000-0005-0000-0000-0000FB9A0000}"/>
    <cellStyle name="Normal 4 3 5 2 2 4" xfId="31558" xr:uid="{00000000-0005-0000-0000-0000FC9A0000}"/>
    <cellStyle name="Normal 4 3 5 2 2 5" xfId="21989" xr:uid="{00000000-0005-0000-0000-0000FD9A0000}"/>
    <cellStyle name="Normal 4 3 5 2 3" xfId="12420" xr:uid="{00000000-0005-0000-0000-0000FE9A0000}"/>
    <cellStyle name="Normal 4 3 5 2 3 2" xfId="50694" xr:uid="{00000000-0005-0000-0000-0000FF9A0000}"/>
    <cellStyle name="Normal 4 3 5 2 3 3" xfId="34594" xr:uid="{00000000-0005-0000-0000-0000009B0000}"/>
    <cellStyle name="Normal 4 3 5 2 3 4" xfId="25025" xr:uid="{00000000-0005-0000-0000-0000019B0000}"/>
    <cellStyle name="Normal 4 3 5 2 4" xfId="6348" xr:uid="{00000000-0005-0000-0000-0000029B0000}"/>
    <cellStyle name="Normal 4 3 5 2 4 2" xfId="54189" xr:uid="{00000000-0005-0000-0000-0000039B0000}"/>
    <cellStyle name="Normal 4 3 5 2 4 3" xfId="38089" xr:uid="{00000000-0005-0000-0000-0000049B0000}"/>
    <cellStyle name="Normal 4 3 5 2 4 4" xfId="18953" xr:uid="{00000000-0005-0000-0000-0000059B0000}"/>
    <cellStyle name="Normal 4 3 5 2 5" xfId="44622" xr:uid="{00000000-0005-0000-0000-0000069B0000}"/>
    <cellStyle name="Normal 4 3 5 2 6" xfId="28522" xr:uid="{00000000-0005-0000-0000-0000079B0000}"/>
    <cellStyle name="Normal 4 3 5 2 7" xfId="15458" xr:uid="{00000000-0005-0000-0000-0000089B0000}"/>
    <cellStyle name="Normal 4 3 5 3" xfId="1834" xr:uid="{00000000-0005-0000-0000-0000099B0000}"/>
    <cellStyle name="Normal 4 3 5 3 2" xfId="8368" xr:uid="{00000000-0005-0000-0000-00000A9B0000}"/>
    <cellStyle name="Normal 4 3 5 3 2 2" xfId="40109" xr:uid="{00000000-0005-0000-0000-00000B9B0000}"/>
    <cellStyle name="Normal 4 3 5 3 2 2 2" xfId="56209" xr:uid="{00000000-0005-0000-0000-00000C9B0000}"/>
    <cellStyle name="Normal 4 3 5 3 2 3" xfId="46642" xr:uid="{00000000-0005-0000-0000-00000D9B0000}"/>
    <cellStyle name="Normal 4 3 5 3 2 4" xfId="30542" xr:uid="{00000000-0005-0000-0000-00000E9B0000}"/>
    <cellStyle name="Normal 4 3 5 3 2 5" xfId="20973" xr:uid="{00000000-0005-0000-0000-00000F9B0000}"/>
    <cellStyle name="Normal 4 3 5 3 3" xfId="11404" xr:uid="{00000000-0005-0000-0000-0000109B0000}"/>
    <cellStyle name="Normal 4 3 5 3 3 2" xfId="49678" xr:uid="{00000000-0005-0000-0000-0000119B0000}"/>
    <cellStyle name="Normal 4 3 5 3 3 3" xfId="33578" xr:uid="{00000000-0005-0000-0000-0000129B0000}"/>
    <cellStyle name="Normal 4 3 5 3 3 4" xfId="24009" xr:uid="{00000000-0005-0000-0000-0000139B0000}"/>
    <cellStyle name="Normal 4 3 5 3 4" xfId="5332" xr:uid="{00000000-0005-0000-0000-0000149B0000}"/>
    <cellStyle name="Normal 4 3 5 3 4 2" xfId="53173" xr:uid="{00000000-0005-0000-0000-0000159B0000}"/>
    <cellStyle name="Normal 4 3 5 3 4 3" xfId="37073" xr:uid="{00000000-0005-0000-0000-0000169B0000}"/>
    <cellStyle name="Normal 4 3 5 3 4 4" xfId="17937" xr:uid="{00000000-0005-0000-0000-0000179B0000}"/>
    <cellStyle name="Normal 4 3 5 3 5" xfId="43606" xr:uid="{00000000-0005-0000-0000-0000189B0000}"/>
    <cellStyle name="Normal 4 3 5 3 6" xfId="27506" xr:uid="{00000000-0005-0000-0000-0000199B0000}"/>
    <cellStyle name="Normal 4 3 5 3 7" xfId="14442" xr:uid="{00000000-0005-0000-0000-00001A9B0000}"/>
    <cellStyle name="Normal 4 3 5 4" xfId="7358" xr:uid="{00000000-0005-0000-0000-00001B9B0000}"/>
    <cellStyle name="Normal 4 3 5 4 2" xfId="39099" xr:uid="{00000000-0005-0000-0000-00001C9B0000}"/>
    <cellStyle name="Normal 4 3 5 4 2 2" xfId="55199" xr:uid="{00000000-0005-0000-0000-00001D9B0000}"/>
    <cellStyle name="Normal 4 3 5 4 3" xfId="45632" xr:uid="{00000000-0005-0000-0000-00001E9B0000}"/>
    <cellStyle name="Normal 4 3 5 4 4" xfId="29532" xr:uid="{00000000-0005-0000-0000-00001F9B0000}"/>
    <cellStyle name="Normal 4 3 5 4 5" xfId="19963" xr:uid="{00000000-0005-0000-0000-0000209B0000}"/>
    <cellStyle name="Normal 4 3 5 5" xfId="10394" xr:uid="{00000000-0005-0000-0000-0000219B0000}"/>
    <cellStyle name="Normal 4 3 5 5 2" xfId="48668" xr:uid="{00000000-0005-0000-0000-0000229B0000}"/>
    <cellStyle name="Normal 4 3 5 5 3" xfId="32568" xr:uid="{00000000-0005-0000-0000-0000239B0000}"/>
    <cellStyle name="Normal 4 3 5 5 4" xfId="22999" xr:uid="{00000000-0005-0000-0000-0000249B0000}"/>
    <cellStyle name="Normal 4 3 5 6" xfId="4322" xr:uid="{00000000-0005-0000-0000-0000259B0000}"/>
    <cellStyle name="Normal 4 3 5 6 2" xfId="52163" xr:uid="{00000000-0005-0000-0000-0000269B0000}"/>
    <cellStyle name="Normal 4 3 5 6 3" xfId="36063" xr:uid="{00000000-0005-0000-0000-0000279B0000}"/>
    <cellStyle name="Normal 4 3 5 6 4" xfId="16927" xr:uid="{00000000-0005-0000-0000-0000289B0000}"/>
    <cellStyle name="Normal 4 3 5 7" xfId="42596" xr:uid="{00000000-0005-0000-0000-0000299B0000}"/>
    <cellStyle name="Normal 4 3 5 8" xfId="26496" xr:uid="{00000000-0005-0000-0000-00002A9B0000}"/>
    <cellStyle name="Normal 4 3 5 9" xfId="13432" xr:uid="{00000000-0005-0000-0000-00002B9B0000}"/>
    <cellStyle name="Normal 4 3 6" xfId="2136" xr:uid="{00000000-0005-0000-0000-00002C9B0000}"/>
    <cellStyle name="Normal 4 3 6 2" xfId="8670" xr:uid="{00000000-0005-0000-0000-00002D9B0000}"/>
    <cellStyle name="Normal 4 3 6 2 2" xfId="40411" xr:uid="{00000000-0005-0000-0000-00002E9B0000}"/>
    <cellStyle name="Normal 4 3 6 2 2 2" xfId="56511" xr:uid="{00000000-0005-0000-0000-00002F9B0000}"/>
    <cellStyle name="Normal 4 3 6 2 3" xfId="46944" xr:uid="{00000000-0005-0000-0000-0000309B0000}"/>
    <cellStyle name="Normal 4 3 6 2 4" xfId="30844" xr:uid="{00000000-0005-0000-0000-0000319B0000}"/>
    <cellStyle name="Normal 4 3 6 2 5" xfId="21275" xr:uid="{00000000-0005-0000-0000-0000329B0000}"/>
    <cellStyle name="Normal 4 3 6 3" xfId="11706" xr:uid="{00000000-0005-0000-0000-0000339B0000}"/>
    <cellStyle name="Normal 4 3 6 3 2" xfId="49980" xr:uid="{00000000-0005-0000-0000-0000349B0000}"/>
    <cellStyle name="Normal 4 3 6 3 3" xfId="33880" xr:uid="{00000000-0005-0000-0000-0000359B0000}"/>
    <cellStyle name="Normal 4 3 6 3 4" xfId="24311" xr:uid="{00000000-0005-0000-0000-0000369B0000}"/>
    <cellStyle name="Normal 4 3 6 4" xfId="5634" xr:uid="{00000000-0005-0000-0000-0000379B0000}"/>
    <cellStyle name="Normal 4 3 6 4 2" xfId="53475" xr:uid="{00000000-0005-0000-0000-0000389B0000}"/>
    <cellStyle name="Normal 4 3 6 4 3" xfId="37375" xr:uid="{00000000-0005-0000-0000-0000399B0000}"/>
    <cellStyle name="Normal 4 3 6 4 4" xfId="18239" xr:uid="{00000000-0005-0000-0000-00003A9B0000}"/>
    <cellStyle name="Normal 4 3 6 5" xfId="43908" xr:uid="{00000000-0005-0000-0000-00003B9B0000}"/>
    <cellStyle name="Normal 4 3 6 6" xfId="27808" xr:uid="{00000000-0005-0000-0000-00003C9B0000}"/>
    <cellStyle name="Normal 4 3 6 7" xfId="14744" xr:uid="{00000000-0005-0000-0000-00003D9B0000}"/>
    <cellStyle name="Normal 4 3 7" xfId="1151" xr:uid="{00000000-0005-0000-0000-00003E9B0000}"/>
    <cellStyle name="Normal 4 3 7 2" xfId="7685" xr:uid="{00000000-0005-0000-0000-00003F9B0000}"/>
    <cellStyle name="Normal 4 3 7 2 2" xfId="39426" xr:uid="{00000000-0005-0000-0000-0000409B0000}"/>
    <cellStyle name="Normal 4 3 7 2 2 2" xfId="55526" xr:uid="{00000000-0005-0000-0000-0000419B0000}"/>
    <cellStyle name="Normal 4 3 7 2 3" xfId="45959" xr:uid="{00000000-0005-0000-0000-0000429B0000}"/>
    <cellStyle name="Normal 4 3 7 2 4" xfId="29859" xr:uid="{00000000-0005-0000-0000-0000439B0000}"/>
    <cellStyle name="Normal 4 3 7 2 5" xfId="20290" xr:uid="{00000000-0005-0000-0000-0000449B0000}"/>
    <cellStyle name="Normal 4 3 7 3" xfId="10721" xr:uid="{00000000-0005-0000-0000-0000459B0000}"/>
    <cellStyle name="Normal 4 3 7 3 2" xfId="48995" xr:uid="{00000000-0005-0000-0000-0000469B0000}"/>
    <cellStyle name="Normal 4 3 7 3 3" xfId="32895" xr:uid="{00000000-0005-0000-0000-0000479B0000}"/>
    <cellStyle name="Normal 4 3 7 3 4" xfId="23326" xr:uid="{00000000-0005-0000-0000-0000489B0000}"/>
    <cellStyle name="Normal 4 3 7 4" xfId="4649" xr:uid="{00000000-0005-0000-0000-0000499B0000}"/>
    <cellStyle name="Normal 4 3 7 4 2" xfId="52490" xr:uid="{00000000-0005-0000-0000-00004A9B0000}"/>
    <cellStyle name="Normal 4 3 7 4 3" xfId="36390" xr:uid="{00000000-0005-0000-0000-00004B9B0000}"/>
    <cellStyle name="Normal 4 3 7 4 4" xfId="17254" xr:uid="{00000000-0005-0000-0000-00004C9B0000}"/>
    <cellStyle name="Normal 4 3 7 5" xfId="42923" xr:uid="{00000000-0005-0000-0000-00004D9B0000}"/>
    <cellStyle name="Normal 4 3 7 6" xfId="26823" xr:uid="{00000000-0005-0000-0000-00004E9B0000}"/>
    <cellStyle name="Normal 4 3 7 7" xfId="13759" xr:uid="{00000000-0005-0000-0000-00004F9B0000}"/>
    <cellStyle name="Normal 4 3 8" xfId="3639" xr:uid="{00000000-0005-0000-0000-0000509B0000}"/>
    <cellStyle name="Normal 4 3 8 2" xfId="35380" xr:uid="{00000000-0005-0000-0000-0000519B0000}"/>
    <cellStyle name="Normal 4 3 8 2 2" xfId="51480" xr:uid="{00000000-0005-0000-0000-0000529B0000}"/>
    <cellStyle name="Normal 4 3 8 3" xfId="41913" xr:uid="{00000000-0005-0000-0000-0000539B0000}"/>
    <cellStyle name="Normal 4 3 8 4" xfId="25813" xr:uid="{00000000-0005-0000-0000-0000549B0000}"/>
    <cellStyle name="Normal 4 3 8 5" xfId="16244" xr:uid="{00000000-0005-0000-0000-0000559B0000}"/>
    <cellStyle name="Normal 4 3 9" xfId="6675" xr:uid="{00000000-0005-0000-0000-0000569B0000}"/>
    <cellStyle name="Normal 4 3 9 2" xfId="38416" xr:uid="{00000000-0005-0000-0000-0000579B0000}"/>
    <cellStyle name="Normal 4 3 9 2 2" xfId="54516" xr:uid="{00000000-0005-0000-0000-0000589B0000}"/>
    <cellStyle name="Normal 4 3 9 3" xfId="44949" xr:uid="{00000000-0005-0000-0000-0000599B0000}"/>
    <cellStyle name="Normal 4 3 9 4" xfId="28849" xr:uid="{00000000-0005-0000-0000-00005A9B0000}"/>
    <cellStyle name="Normal 4 3 9 5" xfId="19280" xr:uid="{00000000-0005-0000-0000-00005B9B0000}"/>
    <cellStyle name="Normal 4 4" xfId="77" xr:uid="{00000000-0005-0000-0000-00005C9B0000}"/>
    <cellStyle name="Normal 4 4 10" xfId="3196" xr:uid="{00000000-0005-0000-0000-00005D9B0000}"/>
    <cellStyle name="Normal 4 4 10 2" xfId="51038" xr:uid="{00000000-0005-0000-0000-00005E9B0000}"/>
    <cellStyle name="Normal 4 4 10 3" xfId="34938" xr:uid="{00000000-0005-0000-0000-00005F9B0000}"/>
    <cellStyle name="Normal 4 4 10 4" xfId="15802" xr:uid="{00000000-0005-0000-0000-0000609B0000}"/>
    <cellStyle name="Normal 4 4 11" xfId="41471" xr:uid="{00000000-0005-0000-0000-0000619B0000}"/>
    <cellStyle name="Normal 4 4 12" xfId="25371" xr:uid="{00000000-0005-0000-0000-0000629B0000}"/>
    <cellStyle name="Normal 4 4 13" xfId="12766" xr:uid="{00000000-0005-0000-0000-0000639B0000}"/>
    <cellStyle name="Normal 4 4 2" xfId="258" xr:uid="{00000000-0005-0000-0000-0000649B0000}"/>
    <cellStyle name="Normal 4 4 2 10" xfId="25608" xr:uid="{00000000-0005-0000-0000-0000659B0000}"/>
    <cellStyle name="Normal 4 4 2 11" xfId="13087" xr:uid="{00000000-0005-0000-0000-0000669B0000}"/>
    <cellStyle name="Normal 4 4 2 2" xfId="1038" xr:uid="{00000000-0005-0000-0000-0000679B0000}"/>
    <cellStyle name="Normal 4 4 2 2 2" xfId="3066" xr:uid="{00000000-0005-0000-0000-0000689B0000}"/>
    <cellStyle name="Normal 4 4 2 2 2 2" xfId="9598" xr:uid="{00000000-0005-0000-0000-0000699B0000}"/>
    <cellStyle name="Normal 4 4 2 2 2 2 2" xfId="41339" xr:uid="{00000000-0005-0000-0000-00006A9B0000}"/>
    <cellStyle name="Normal 4 4 2 2 2 2 2 2" xfId="57439" xr:uid="{00000000-0005-0000-0000-00006B9B0000}"/>
    <cellStyle name="Normal 4 4 2 2 2 2 3" xfId="47872" xr:uid="{00000000-0005-0000-0000-00006C9B0000}"/>
    <cellStyle name="Normal 4 4 2 2 2 2 4" xfId="31772" xr:uid="{00000000-0005-0000-0000-00006D9B0000}"/>
    <cellStyle name="Normal 4 4 2 2 2 2 5" xfId="22203" xr:uid="{00000000-0005-0000-0000-00006E9B0000}"/>
    <cellStyle name="Normal 4 4 2 2 2 3" xfId="12634" xr:uid="{00000000-0005-0000-0000-00006F9B0000}"/>
    <cellStyle name="Normal 4 4 2 2 2 3 2" xfId="50908" xr:uid="{00000000-0005-0000-0000-0000709B0000}"/>
    <cellStyle name="Normal 4 4 2 2 2 3 3" xfId="34808" xr:uid="{00000000-0005-0000-0000-0000719B0000}"/>
    <cellStyle name="Normal 4 4 2 2 2 3 4" xfId="25239" xr:uid="{00000000-0005-0000-0000-0000729B0000}"/>
    <cellStyle name="Normal 4 4 2 2 2 4" xfId="6562" xr:uid="{00000000-0005-0000-0000-0000739B0000}"/>
    <cellStyle name="Normal 4 4 2 2 2 4 2" xfId="54403" xr:uid="{00000000-0005-0000-0000-0000749B0000}"/>
    <cellStyle name="Normal 4 4 2 2 2 4 3" xfId="38303" xr:uid="{00000000-0005-0000-0000-0000759B0000}"/>
    <cellStyle name="Normal 4 4 2 2 2 4 4" xfId="19167" xr:uid="{00000000-0005-0000-0000-0000769B0000}"/>
    <cellStyle name="Normal 4 4 2 2 2 5" xfId="44836" xr:uid="{00000000-0005-0000-0000-0000779B0000}"/>
    <cellStyle name="Normal 4 4 2 2 2 6" xfId="28736" xr:uid="{00000000-0005-0000-0000-0000789B0000}"/>
    <cellStyle name="Normal 4 4 2 2 2 7" xfId="15672" xr:uid="{00000000-0005-0000-0000-0000799B0000}"/>
    <cellStyle name="Normal 4 4 2 2 3" xfId="2048" xr:uid="{00000000-0005-0000-0000-00007A9B0000}"/>
    <cellStyle name="Normal 4 4 2 2 3 2" xfId="8582" xr:uid="{00000000-0005-0000-0000-00007B9B0000}"/>
    <cellStyle name="Normal 4 4 2 2 3 2 2" xfId="40323" xr:uid="{00000000-0005-0000-0000-00007C9B0000}"/>
    <cellStyle name="Normal 4 4 2 2 3 2 2 2" xfId="56423" xr:uid="{00000000-0005-0000-0000-00007D9B0000}"/>
    <cellStyle name="Normal 4 4 2 2 3 2 3" xfId="46856" xr:uid="{00000000-0005-0000-0000-00007E9B0000}"/>
    <cellStyle name="Normal 4 4 2 2 3 2 4" xfId="30756" xr:uid="{00000000-0005-0000-0000-00007F9B0000}"/>
    <cellStyle name="Normal 4 4 2 2 3 2 5" xfId="21187" xr:uid="{00000000-0005-0000-0000-0000809B0000}"/>
    <cellStyle name="Normal 4 4 2 2 3 3" xfId="11618" xr:uid="{00000000-0005-0000-0000-0000819B0000}"/>
    <cellStyle name="Normal 4 4 2 2 3 3 2" xfId="49892" xr:uid="{00000000-0005-0000-0000-0000829B0000}"/>
    <cellStyle name="Normal 4 4 2 2 3 3 3" xfId="33792" xr:uid="{00000000-0005-0000-0000-0000839B0000}"/>
    <cellStyle name="Normal 4 4 2 2 3 3 4" xfId="24223" xr:uid="{00000000-0005-0000-0000-0000849B0000}"/>
    <cellStyle name="Normal 4 4 2 2 3 4" xfId="5546" xr:uid="{00000000-0005-0000-0000-0000859B0000}"/>
    <cellStyle name="Normal 4 4 2 2 3 4 2" xfId="53387" xr:uid="{00000000-0005-0000-0000-0000869B0000}"/>
    <cellStyle name="Normal 4 4 2 2 3 4 3" xfId="37287" xr:uid="{00000000-0005-0000-0000-0000879B0000}"/>
    <cellStyle name="Normal 4 4 2 2 3 4 4" xfId="18151" xr:uid="{00000000-0005-0000-0000-0000889B0000}"/>
    <cellStyle name="Normal 4 4 2 2 3 5" xfId="43820" xr:uid="{00000000-0005-0000-0000-0000899B0000}"/>
    <cellStyle name="Normal 4 4 2 2 3 6" xfId="27720" xr:uid="{00000000-0005-0000-0000-00008A9B0000}"/>
    <cellStyle name="Normal 4 4 2 2 3 7" xfId="14656" xr:uid="{00000000-0005-0000-0000-00008B9B0000}"/>
    <cellStyle name="Normal 4 4 2 2 4" xfId="7572" xr:uid="{00000000-0005-0000-0000-00008C9B0000}"/>
    <cellStyle name="Normal 4 4 2 2 4 2" xfId="39313" xr:uid="{00000000-0005-0000-0000-00008D9B0000}"/>
    <cellStyle name="Normal 4 4 2 2 4 2 2" xfId="55413" xr:uid="{00000000-0005-0000-0000-00008E9B0000}"/>
    <cellStyle name="Normal 4 4 2 2 4 3" xfId="45846" xr:uid="{00000000-0005-0000-0000-00008F9B0000}"/>
    <cellStyle name="Normal 4 4 2 2 4 4" xfId="29746" xr:uid="{00000000-0005-0000-0000-0000909B0000}"/>
    <cellStyle name="Normal 4 4 2 2 4 5" xfId="20177" xr:uid="{00000000-0005-0000-0000-0000919B0000}"/>
    <cellStyle name="Normal 4 4 2 2 5" xfId="10608" xr:uid="{00000000-0005-0000-0000-0000929B0000}"/>
    <cellStyle name="Normal 4 4 2 2 5 2" xfId="48882" xr:uid="{00000000-0005-0000-0000-0000939B0000}"/>
    <cellStyle name="Normal 4 4 2 2 5 3" xfId="32782" xr:uid="{00000000-0005-0000-0000-0000949B0000}"/>
    <cellStyle name="Normal 4 4 2 2 5 4" xfId="23213" xr:uid="{00000000-0005-0000-0000-0000959B0000}"/>
    <cellStyle name="Normal 4 4 2 2 6" xfId="4536" xr:uid="{00000000-0005-0000-0000-0000969B0000}"/>
    <cellStyle name="Normal 4 4 2 2 6 2" xfId="52377" xr:uid="{00000000-0005-0000-0000-0000979B0000}"/>
    <cellStyle name="Normal 4 4 2 2 6 3" xfId="36277" xr:uid="{00000000-0005-0000-0000-0000989B0000}"/>
    <cellStyle name="Normal 4 4 2 2 6 4" xfId="17141" xr:uid="{00000000-0005-0000-0000-0000999B0000}"/>
    <cellStyle name="Normal 4 4 2 2 7" xfId="42810" xr:uid="{00000000-0005-0000-0000-00009A9B0000}"/>
    <cellStyle name="Normal 4 4 2 2 8" xfId="26710" xr:uid="{00000000-0005-0000-0000-00009B9B0000}"/>
    <cellStyle name="Normal 4 4 2 2 9" xfId="13646" xr:uid="{00000000-0005-0000-0000-00009C9B0000}"/>
    <cellStyle name="Normal 4 4 2 3" xfId="2277" xr:uid="{00000000-0005-0000-0000-00009D9B0000}"/>
    <cellStyle name="Normal 4 4 2 3 2" xfId="8811" xr:uid="{00000000-0005-0000-0000-00009E9B0000}"/>
    <cellStyle name="Normal 4 4 2 3 2 2" xfId="40552" xr:uid="{00000000-0005-0000-0000-00009F9B0000}"/>
    <cellStyle name="Normal 4 4 2 3 2 2 2" xfId="56652" xr:uid="{00000000-0005-0000-0000-0000A09B0000}"/>
    <cellStyle name="Normal 4 4 2 3 2 3" xfId="47085" xr:uid="{00000000-0005-0000-0000-0000A19B0000}"/>
    <cellStyle name="Normal 4 4 2 3 2 4" xfId="30985" xr:uid="{00000000-0005-0000-0000-0000A29B0000}"/>
    <cellStyle name="Normal 4 4 2 3 2 5" xfId="21416" xr:uid="{00000000-0005-0000-0000-0000A39B0000}"/>
    <cellStyle name="Normal 4 4 2 3 3" xfId="11847" xr:uid="{00000000-0005-0000-0000-0000A49B0000}"/>
    <cellStyle name="Normal 4 4 2 3 3 2" xfId="50121" xr:uid="{00000000-0005-0000-0000-0000A59B0000}"/>
    <cellStyle name="Normal 4 4 2 3 3 3" xfId="34021" xr:uid="{00000000-0005-0000-0000-0000A69B0000}"/>
    <cellStyle name="Normal 4 4 2 3 3 4" xfId="24452" xr:uid="{00000000-0005-0000-0000-0000A79B0000}"/>
    <cellStyle name="Normal 4 4 2 3 4" xfId="5775" xr:uid="{00000000-0005-0000-0000-0000A89B0000}"/>
    <cellStyle name="Normal 4 4 2 3 4 2" xfId="53616" xr:uid="{00000000-0005-0000-0000-0000A99B0000}"/>
    <cellStyle name="Normal 4 4 2 3 4 3" xfId="37516" xr:uid="{00000000-0005-0000-0000-0000AA9B0000}"/>
    <cellStyle name="Normal 4 4 2 3 4 4" xfId="18380" xr:uid="{00000000-0005-0000-0000-0000AB9B0000}"/>
    <cellStyle name="Normal 4 4 2 3 5" xfId="44049" xr:uid="{00000000-0005-0000-0000-0000AC9B0000}"/>
    <cellStyle name="Normal 4 4 2 3 6" xfId="27949" xr:uid="{00000000-0005-0000-0000-0000AD9B0000}"/>
    <cellStyle name="Normal 4 4 2 3 7" xfId="14885" xr:uid="{00000000-0005-0000-0000-0000AE9B0000}"/>
    <cellStyle name="Normal 4 4 2 4" xfId="1489" xr:uid="{00000000-0005-0000-0000-0000AF9B0000}"/>
    <cellStyle name="Normal 4 4 2 4 2" xfId="8023" xr:uid="{00000000-0005-0000-0000-0000B09B0000}"/>
    <cellStyle name="Normal 4 4 2 4 2 2" xfId="39764" xr:uid="{00000000-0005-0000-0000-0000B19B0000}"/>
    <cellStyle name="Normal 4 4 2 4 2 2 2" xfId="55864" xr:uid="{00000000-0005-0000-0000-0000B29B0000}"/>
    <cellStyle name="Normal 4 4 2 4 2 3" xfId="46297" xr:uid="{00000000-0005-0000-0000-0000B39B0000}"/>
    <cellStyle name="Normal 4 4 2 4 2 4" xfId="30197" xr:uid="{00000000-0005-0000-0000-0000B49B0000}"/>
    <cellStyle name="Normal 4 4 2 4 2 5" xfId="20628" xr:uid="{00000000-0005-0000-0000-0000B59B0000}"/>
    <cellStyle name="Normal 4 4 2 4 3" xfId="11059" xr:uid="{00000000-0005-0000-0000-0000B69B0000}"/>
    <cellStyle name="Normal 4 4 2 4 3 2" xfId="49333" xr:uid="{00000000-0005-0000-0000-0000B79B0000}"/>
    <cellStyle name="Normal 4 4 2 4 3 3" xfId="33233" xr:uid="{00000000-0005-0000-0000-0000B89B0000}"/>
    <cellStyle name="Normal 4 4 2 4 3 4" xfId="23664" xr:uid="{00000000-0005-0000-0000-0000B99B0000}"/>
    <cellStyle name="Normal 4 4 2 4 4" xfId="4987" xr:uid="{00000000-0005-0000-0000-0000BA9B0000}"/>
    <cellStyle name="Normal 4 4 2 4 4 2" xfId="52828" xr:uid="{00000000-0005-0000-0000-0000BB9B0000}"/>
    <cellStyle name="Normal 4 4 2 4 4 3" xfId="36728" xr:uid="{00000000-0005-0000-0000-0000BC9B0000}"/>
    <cellStyle name="Normal 4 4 2 4 4 4" xfId="17592" xr:uid="{00000000-0005-0000-0000-0000BD9B0000}"/>
    <cellStyle name="Normal 4 4 2 4 5" xfId="43261" xr:uid="{00000000-0005-0000-0000-0000BE9B0000}"/>
    <cellStyle name="Normal 4 4 2 4 6" xfId="27161" xr:uid="{00000000-0005-0000-0000-0000BF9B0000}"/>
    <cellStyle name="Normal 4 4 2 4 7" xfId="14097" xr:uid="{00000000-0005-0000-0000-0000C09B0000}"/>
    <cellStyle name="Normal 4 4 2 5" xfId="3977" xr:uid="{00000000-0005-0000-0000-0000C19B0000}"/>
    <cellStyle name="Normal 4 4 2 5 2" xfId="35718" xr:uid="{00000000-0005-0000-0000-0000C29B0000}"/>
    <cellStyle name="Normal 4 4 2 5 2 2" xfId="51818" xr:uid="{00000000-0005-0000-0000-0000C39B0000}"/>
    <cellStyle name="Normal 4 4 2 5 3" xfId="42251" xr:uid="{00000000-0005-0000-0000-0000C49B0000}"/>
    <cellStyle name="Normal 4 4 2 5 4" xfId="26151" xr:uid="{00000000-0005-0000-0000-0000C59B0000}"/>
    <cellStyle name="Normal 4 4 2 5 5" xfId="16582" xr:uid="{00000000-0005-0000-0000-0000C69B0000}"/>
    <cellStyle name="Normal 4 4 2 6" xfId="7013" xr:uid="{00000000-0005-0000-0000-0000C79B0000}"/>
    <cellStyle name="Normal 4 4 2 6 2" xfId="38754" xr:uid="{00000000-0005-0000-0000-0000C89B0000}"/>
    <cellStyle name="Normal 4 4 2 6 2 2" xfId="54854" xr:uid="{00000000-0005-0000-0000-0000C99B0000}"/>
    <cellStyle name="Normal 4 4 2 6 3" xfId="45287" xr:uid="{00000000-0005-0000-0000-0000CA9B0000}"/>
    <cellStyle name="Normal 4 4 2 6 4" xfId="29187" xr:uid="{00000000-0005-0000-0000-0000CB9B0000}"/>
    <cellStyle name="Normal 4 4 2 6 5" xfId="19618" xr:uid="{00000000-0005-0000-0000-0000CC9B0000}"/>
    <cellStyle name="Normal 4 4 2 7" xfId="10049" xr:uid="{00000000-0005-0000-0000-0000CD9B0000}"/>
    <cellStyle name="Normal 4 4 2 7 2" xfId="48323" xr:uid="{00000000-0005-0000-0000-0000CE9B0000}"/>
    <cellStyle name="Normal 4 4 2 7 3" xfId="32223" xr:uid="{00000000-0005-0000-0000-0000CF9B0000}"/>
    <cellStyle name="Normal 4 4 2 7 4" xfId="22654" xr:uid="{00000000-0005-0000-0000-0000D09B0000}"/>
    <cellStyle name="Normal 4 4 2 8" xfId="3434" xr:uid="{00000000-0005-0000-0000-0000D19B0000}"/>
    <cellStyle name="Normal 4 4 2 8 2" xfId="51275" xr:uid="{00000000-0005-0000-0000-0000D29B0000}"/>
    <cellStyle name="Normal 4 4 2 8 3" xfId="35175" xr:uid="{00000000-0005-0000-0000-0000D39B0000}"/>
    <cellStyle name="Normal 4 4 2 8 4" xfId="16039" xr:uid="{00000000-0005-0000-0000-0000D49B0000}"/>
    <cellStyle name="Normal 4 4 2 9" xfId="41708" xr:uid="{00000000-0005-0000-0000-0000D59B0000}"/>
    <cellStyle name="Normal 4 4 3" xfId="533" xr:uid="{00000000-0005-0000-0000-0000D69B0000}"/>
    <cellStyle name="Normal 4 4 3 2" xfId="2563" xr:uid="{00000000-0005-0000-0000-0000D79B0000}"/>
    <cellStyle name="Normal 4 4 3 2 2" xfId="9095" xr:uid="{00000000-0005-0000-0000-0000D89B0000}"/>
    <cellStyle name="Normal 4 4 3 2 2 2" xfId="40836" xr:uid="{00000000-0005-0000-0000-0000D99B0000}"/>
    <cellStyle name="Normal 4 4 3 2 2 2 2" xfId="56936" xr:uid="{00000000-0005-0000-0000-0000DA9B0000}"/>
    <cellStyle name="Normal 4 4 3 2 2 3" xfId="47369" xr:uid="{00000000-0005-0000-0000-0000DB9B0000}"/>
    <cellStyle name="Normal 4 4 3 2 2 4" xfId="31269" xr:uid="{00000000-0005-0000-0000-0000DC9B0000}"/>
    <cellStyle name="Normal 4 4 3 2 2 5" xfId="21700" xr:uid="{00000000-0005-0000-0000-0000DD9B0000}"/>
    <cellStyle name="Normal 4 4 3 2 3" xfId="12131" xr:uid="{00000000-0005-0000-0000-0000DE9B0000}"/>
    <cellStyle name="Normal 4 4 3 2 3 2" xfId="50405" xr:uid="{00000000-0005-0000-0000-0000DF9B0000}"/>
    <cellStyle name="Normal 4 4 3 2 3 3" xfId="34305" xr:uid="{00000000-0005-0000-0000-0000E09B0000}"/>
    <cellStyle name="Normal 4 4 3 2 3 4" xfId="24736" xr:uid="{00000000-0005-0000-0000-0000E19B0000}"/>
    <cellStyle name="Normal 4 4 3 2 4" xfId="6059" xr:uid="{00000000-0005-0000-0000-0000E29B0000}"/>
    <cellStyle name="Normal 4 4 3 2 4 2" xfId="53900" xr:uid="{00000000-0005-0000-0000-0000E39B0000}"/>
    <cellStyle name="Normal 4 4 3 2 4 3" xfId="37800" xr:uid="{00000000-0005-0000-0000-0000E49B0000}"/>
    <cellStyle name="Normal 4 4 3 2 4 4" xfId="18664" xr:uid="{00000000-0005-0000-0000-0000E59B0000}"/>
    <cellStyle name="Normal 4 4 3 2 5" xfId="44333" xr:uid="{00000000-0005-0000-0000-0000E69B0000}"/>
    <cellStyle name="Normal 4 4 3 2 6" xfId="28233" xr:uid="{00000000-0005-0000-0000-0000E79B0000}"/>
    <cellStyle name="Normal 4 4 3 2 7" xfId="15169" xr:uid="{00000000-0005-0000-0000-0000E89B0000}"/>
    <cellStyle name="Normal 4 4 3 3" xfId="1312" xr:uid="{00000000-0005-0000-0000-0000E99B0000}"/>
    <cellStyle name="Normal 4 4 3 3 2" xfId="7846" xr:uid="{00000000-0005-0000-0000-0000EA9B0000}"/>
    <cellStyle name="Normal 4 4 3 3 2 2" xfId="39587" xr:uid="{00000000-0005-0000-0000-0000EB9B0000}"/>
    <cellStyle name="Normal 4 4 3 3 2 2 2" xfId="55687" xr:uid="{00000000-0005-0000-0000-0000EC9B0000}"/>
    <cellStyle name="Normal 4 4 3 3 2 3" xfId="46120" xr:uid="{00000000-0005-0000-0000-0000ED9B0000}"/>
    <cellStyle name="Normal 4 4 3 3 2 4" xfId="30020" xr:uid="{00000000-0005-0000-0000-0000EE9B0000}"/>
    <cellStyle name="Normal 4 4 3 3 2 5" xfId="20451" xr:uid="{00000000-0005-0000-0000-0000EF9B0000}"/>
    <cellStyle name="Normal 4 4 3 3 3" xfId="10882" xr:uid="{00000000-0005-0000-0000-0000F09B0000}"/>
    <cellStyle name="Normal 4 4 3 3 3 2" xfId="49156" xr:uid="{00000000-0005-0000-0000-0000F19B0000}"/>
    <cellStyle name="Normal 4 4 3 3 3 3" xfId="33056" xr:uid="{00000000-0005-0000-0000-0000F29B0000}"/>
    <cellStyle name="Normal 4 4 3 3 3 4" xfId="23487" xr:uid="{00000000-0005-0000-0000-0000F39B0000}"/>
    <cellStyle name="Normal 4 4 3 3 4" xfId="4810" xr:uid="{00000000-0005-0000-0000-0000F49B0000}"/>
    <cellStyle name="Normal 4 4 3 3 4 2" xfId="52651" xr:uid="{00000000-0005-0000-0000-0000F59B0000}"/>
    <cellStyle name="Normal 4 4 3 3 4 3" xfId="36551" xr:uid="{00000000-0005-0000-0000-0000F69B0000}"/>
    <cellStyle name="Normal 4 4 3 3 4 4" xfId="17415" xr:uid="{00000000-0005-0000-0000-0000F79B0000}"/>
    <cellStyle name="Normal 4 4 3 3 5" xfId="43084" xr:uid="{00000000-0005-0000-0000-0000F89B0000}"/>
    <cellStyle name="Normal 4 4 3 3 6" xfId="26984" xr:uid="{00000000-0005-0000-0000-0000F99B0000}"/>
    <cellStyle name="Normal 4 4 3 3 7" xfId="13920" xr:uid="{00000000-0005-0000-0000-0000FA9B0000}"/>
    <cellStyle name="Normal 4 4 3 4" xfId="6836" xr:uid="{00000000-0005-0000-0000-0000FB9B0000}"/>
    <cellStyle name="Normal 4 4 3 4 2" xfId="38577" xr:uid="{00000000-0005-0000-0000-0000FC9B0000}"/>
    <cellStyle name="Normal 4 4 3 4 2 2" xfId="54677" xr:uid="{00000000-0005-0000-0000-0000FD9B0000}"/>
    <cellStyle name="Normal 4 4 3 4 3" xfId="45110" xr:uid="{00000000-0005-0000-0000-0000FE9B0000}"/>
    <cellStyle name="Normal 4 4 3 4 4" xfId="29010" xr:uid="{00000000-0005-0000-0000-0000FF9B0000}"/>
    <cellStyle name="Normal 4 4 3 4 5" xfId="19441" xr:uid="{00000000-0005-0000-0000-0000009C0000}"/>
    <cellStyle name="Normal 4 4 3 5" xfId="9872" xr:uid="{00000000-0005-0000-0000-0000019C0000}"/>
    <cellStyle name="Normal 4 4 3 5 2" xfId="48146" xr:uid="{00000000-0005-0000-0000-0000029C0000}"/>
    <cellStyle name="Normal 4 4 3 5 3" xfId="32046" xr:uid="{00000000-0005-0000-0000-0000039C0000}"/>
    <cellStyle name="Normal 4 4 3 5 4" xfId="22477" xr:uid="{00000000-0005-0000-0000-0000049C0000}"/>
    <cellStyle name="Normal 4 4 3 6" xfId="3800" xr:uid="{00000000-0005-0000-0000-0000059C0000}"/>
    <cellStyle name="Normal 4 4 3 6 2" xfId="51641" xr:uid="{00000000-0005-0000-0000-0000069C0000}"/>
    <cellStyle name="Normal 4 4 3 6 3" xfId="35541" xr:uid="{00000000-0005-0000-0000-0000079C0000}"/>
    <cellStyle name="Normal 4 4 3 6 4" xfId="16405" xr:uid="{00000000-0005-0000-0000-0000089C0000}"/>
    <cellStyle name="Normal 4 4 3 7" xfId="42074" xr:uid="{00000000-0005-0000-0000-0000099C0000}"/>
    <cellStyle name="Normal 4 4 3 8" xfId="25974" xr:uid="{00000000-0005-0000-0000-00000A9C0000}"/>
    <cellStyle name="Normal 4 4 3 9" xfId="12910" xr:uid="{00000000-0005-0000-0000-00000B9C0000}"/>
    <cellStyle name="Normal 4 4 4" xfId="841" xr:uid="{00000000-0005-0000-0000-00000C9C0000}"/>
    <cellStyle name="Normal 4 4 4 2" xfId="2869" xr:uid="{00000000-0005-0000-0000-00000D9C0000}"/>
    <cellStyle name="Normal 4 4 4 2 2" xfId="9401" xr:uid="{00000000-0005-0000-0000-00000E9C0000}"/>
    <cellStyle name="Normal 4 4 4 2 2 2" xfId="41142" xr:uid="{00000000-0005-0000-0000-00000F9C0000}"/>
    <cellStyle name="Normal 4 4 4 2 2 2 2" xfId="57242" xr:uid="{00000000-0005-0000-0000-0000109C0000}"/>
    <cellStyle name="Normal 4 4 4 2 2 3" xfId="47675" xr:uid="{00000000-0005-0000-0000-0000119C0000}"/>
    <cellStyle name="Normal 4 4 4 2 2 4" xfId="31575" xr:uid="{00000000-0005-0000-0000-0000129C0000}"/>
    <cellStyle name="Normal 4 4 4 2 2 5" xfId="22006" xr:uid="{00000000-0005-0000-0000-0000139C0000}"/>
    <cellStyle name="Normal 4 4 4 2 3" xfId="12437" xr:uid="{00000000-0005-0000-0000-0000149C0000}"/>
    <cellStyle name="Normal 4 4 4 2 3 2" xfId="50711" xr:uid="{00000000-0005-0000-0000-0000159C0000}"/>
    <cellStyle name="Normal 4 4 4 2 3 3" xfId="34611" xr:uid="{00000000-0005-0000-0000-0000169C0000}"/>
    <cellStyle name="Normal 4 4 4 2 3 4" xfId="25042" xr:uid="{00000000-0005-0000-0000-0000179C0000}"/>
    <cellStyle name="Normal 4 4 4 2 4" xfId="6365" xr:uid="{00000000-0005-0000-0000-0000189C0000}"/>
    <cellStyle name="Normal 4 4 4 2 4 2" xfId="54206" xr:uid="{00000000-0005-0000-0000-0000199C0000}"/>
    <cellStyle name="Normal 4 4 4 2 4 3" xfId="38106" xr:uid="{00000000-0005-0000-0000-00001A9C0000}"/>
    <cellStyle name="Normal 4 4 4 2 4 4" xfId="18970" xr:uid="{00000000-0005-0000-0000-00001B9C0000}"/>
    <cellStyle name="Normal 4 4 4 2 5" xfId="44639" xr:uid="{00000000-0005-0000-0000-00001C9C0000}"/>
    <cellStyle name="Normal 4 4 4 2 6" xfId="28539" xr:uid="{00000000-0005-0000-0000-00001D9C0000}"/>
    <cellStyle name="Normal 4 4 4 2 7" xfId="15475" xr:uid="{00000000-0005-0000-0000-00001E9C0000}"/>
    <cellStyle name="Normal 4 4 4 3" xfId="1851" xr:uid="{00000000-0005-0000-0000-00001F9C0000}"/>
    <cellStyle name="Normal 4 4 4 3 2" xfId="8385" xr:uid="{00000000-0005-0000-0000-0000209C0000}"/>
    <cellStyle name="Normal 4 4 4 3 2 2" xfId="40126" xr:uid="{00000000-0005-0000-0000-0000219C0000}"/>
    <cellStyle name="Normal 4 4 4 3 2 2 2" xfId="56226" xr:uid="{00000000-0005-0000-0000-0000229C0000}"/>
    <cellStyle name="Normal 4 4 4 3 2 3" xfId="46659" xr:uid="{00000000-0005-0000-0000-0000239C0000}"/>
    <cellStyle name="Normal 4 4 4 3 2 4" xfId="30559" xr:uid="{00000000-0005-0000-0000-0000249C0000}"/>
    <cellStyle name="Normal 4 4 4 3 2 5" xfId="20990" xr:uid="{00000000-0005-0000-0000-0000259C0000}"/>
    <cellStyle name="Normal 4 4 4 3 3" xfId="11421" xr:uid="{00000000-0005-0000-0000-0000269C0000}"/>
    <cellStyle name="Normal 4 4 4 3 3 2" xfId="49695" xr:uid="{00000000-0005-0000-0000-0000279C0000}"/>
    <cellStyle name="Normal 4 4 4 3 3 3" xfId="33595" xr:uid="{00000000-0005-0000-0000-0000289C0000}"/>
    <cellStyle name="Normal 4 4 4 3 3 4" xfId="24026" xr:uid="{00000000-0005-0000-0000-0000299C0000}"/>
    <cellStyle name="Normal 4 4 4 3 4" xfId="5349" xr:uid="{00000000-0005-0000-0000-00002A9C0000}"/>
    <cellStyle name="Normal 4 4 4 3 4 2" xfId="53190" xr:uid="{00000000-0005-0000-0000-00002B9C0000}"/>
    <cellStyle name="Normal 4 4 4 3 4 3" xfId="37090" xr:uid="{00000000-0005-0000-0000-00002C9C0000}"/>
    <cellStyle name="Normal 4 4 4 3 4 4" xfId="17954" xr:uid="{00000000-0005-0000-0000-00002D9C0000}"/>
    <cellStyle name="Normal 4 4 4 3 5" xfId="43623" xr:uid="{00000000-0005-0000-0000-00002E9C0000}"/>
    <cellStyle name="Normal 4 4 4 3 6" xfId="27523" xr:uid="{00000000-0005-0000-0000-00002F9C0000}"/>
    <cellStyle name="Normal 4 4 4 3 7" xfId="14459" xr:uid="{00000000-0005-0000-0000-0000309C0000}"/>
    <cellStyle name="Normal 4 4 4 4" xfId="7375" xr:uid="{00000000-0005-0000-0000-0000319C0000}"/>
    <cellStyle name="Normal 4 4 4 4 2" xfId="39116" xr:uid="{00000000-0005-0000-0000-0000329C0000}"/>
    <cellStyle name="Normal 4 4 4 4 2 2" xfId="55216" xr:uid="{00000000-0005-0000-0000-0000339C0000}"/>
    <cellStyle name="Normal 4 4 4 4 3" xfId="45649" xr:uid="{00000000-0005-0000-0000-0000349C0000}"/>
    <cellStyle name="Normal 4 4 4 4 4" xfId="29549" xr:uid="{00000000-0005-0000-0000-0000359C0000}"/>
    <cellStyle name="Normal 4 4 4 4 5" xfId="19980" xr:uid="{00000000-0005-0000-0000-0000369C0000}"/>
    <cellStyle name="Normal 4 4 4 5" xfId="10411" xr:uid="{00000000-0005-0000-0000-0000379C0000}"/>
    <cellStyle name="Normal 4 4 4 5 2" xfId="48685" xr:uid="{00000000-0005-0000-0000-0000389C0000}"/>
    <cellStyle name="Normal 4 4 4 5 3" xfId="32585" xr:uid="{00000000-0005-0000-0000-0000399C0000}"/>
    <cellStyle name="Normal 4 4 4 5 4" xfId="23016" xr:uid="{00000000-0005-0000-0000-00003A9C0000}"/>
    <cellStyle name="Normal 4 4 4 6" xfId="4339" xr:uid="{00000000-0005-0000-0000-00003B9C0000}"/>
    <cellStyle name="Normal 4 4 4 6 2" xfId="52180" xr:uid="{00000000-0005-0000-0000-00003C9C0000}"/>
    <cellStyle name="Normal 4 4 4 6 3" xfId="36080" xr:uid="{00000000-0005-0000-0000-00003D9C0000}"/>
    <cellStyle name="Normal 4 4 4 6 4" xfId="16944" xr:uid="{00000000-0005-0000-0000-00003E9C0000}"/>
    <cellStyle name="Normal 4 4 4 7" xfId="42613" xr:uid="{00000000-0005-0000-0000-00003F9C0000}"/>
    <cellStyle name="Normal 4 4 4 8" xfId="26513" xr:uid="{00000000-0005-0000-0000-0000409C0000}"/>
    <cellStyle name="Normal 4 4 4 9" xfId="13449" xr:uid="{00000000-0005-0000-0000-0000419C0000}"/>
    <cellStyle name="Normal 4 4 5" xfId="2100" xr:uid="{00000000-0005-0000-0000-0000429C0000}"/>
    <cellStyle name="Normal 4 4 5 2" xfId="8634" xr:uid="{00000000-0005-0000-0000-0000439C0000}"/>
    <cellStyle name="Normal 4 4 5 2 2" xfId="40375" xr:uid="{00000000-0005-0000-0000-0000449C0000}"/>
    <cellStyle name="Normal 4 4 5 2 2 2" xfId="56475" xr:uid="{00000000-0005-0000-0000-0000459C0000}"/>
    <cellStyle name="Normal 4 4 5 2 3" xfId="46908" xr:uid="{00000000-0005-0000-0000-0000469C0000}"/>
    <cellStyle name="Normal 4 4 5 2 4" xfId="30808" xr:uid="{00000000-0005-0000-0000-0000479C0000}"/>
    <cellStyle name="Normal 4 4 5 2 5" xfId="21239" xr:uid="{00000000-0005-0000-0000-0000489C0000}"/>
    <cellStyle name="Normal 4 4 5 3" xfId="11670" xr:uid="{00000000-0005-0000-0000-0000499C0000}"/>
    <cellStyle name="Normal 4 4 5 3 2" xfId="49944" xr:uid="{00000000-0005-0000-0000-00004A9C0000}"/>
    <cellStyle name="Normal 4 4 5 3 3" xfId="33844" xr:uid="{00000000-0005-0000-0000-00004B9C0000}"/>
    <cellStyle name="Normal 4 4 5 3 4" xfId="24275" xr:uid="{00000000-0005-0000-0000-00004C9C0000}"/>
    <cellStyle name="Normal 4 4 5 4" xfId="5598" xr:uid="{00000000-0005-0000-0000-00004D9C0000}"/>
    <cellStyle name="Normal 4 4 5 4 2" xfId="53439" xr:uid="{00000000-0005-0000-0000-00004E9C0000}"/>
    <cellStyle name="Normal 4 4 5 4 3" xfId="37339" xr:uid="{00000000-0005-0000-0000-00004F9C0000}"/>
    <cellStyle name="Normal 4 4 5 4 4" xfId="18203" xr:uid="{00000000-0005-0000-0000-0000509C0000}"/>
    <cellStyle name="Normal 4 4 5 5" xfId="43872" xr:uid="{00000000-0005-0000-0000-0000519C0000}"/>
    <cellStyle name="Normal 4 4 5 6" xfId="27772" xr:uid="{00000000-0005-0000-0000-0000529C0000}"/>
    <cellStyle name="Normal 4 4 5 7" xfId="14708" xr:uid="{00000000-0005-0000-0000-0000539C0000}"/>
    <cellStyle name="Normal 4 4 6" xfId="1168" xr:uid="{00000000-0005-0000-0000-0000549C0000}"/>
    <cellStyle name="Normal 4 4 6 2" xfId="7702" xr:uid="{00000000-0005-0000-0000-0000559C0000}"/>
    <cellStyle name="Normal 4 4 6 2 2" xfId="39443" xr:uid="{00000000-0005-0000-0000-0000569C0000}"/>
    <cellStyle name="Normal 4 4 6 2 2 2" xfId="55543" xr:uid="{00000000-0005-0000-0000-0000579C0000}"/>
    <cellStyle name="Normal 4 4 6 2 3" xfId="45976" xr:uid="{00000000-0005-0000-0000-0000589C0000}"/>
    <cellStyle name="Normal 4 4 6 2 4" xfId="29876" xr:uid="{00000000-0005-0000-0000-0000599C0000}"/>
    <cellStyle name="Normal 4 4 6 2 5" xfId="20307" xr:uid="{00000000-0005-0000-0000-00005A9C0000}"/>
    <cellStyle name="Normal 4 4 6 3" xfId="10738" xr:uid="{00000000-0005-0000-0000-00005B9C0000}"/>
    <cellStyle name="Normal 4 4 6 3 2" xfId="49012" xr:uid="{00000000-0005-0000-0000-00005C9C0000}"/>
    <cellStyle name="Normal 4 4 6 3 3" xfId="32912" xr:uid="{00000000-0005-0000-0000-00005D9C0000}"/>
    <cellStyle name="Normal 4 4 6 3 4" xfId="23343" xr:uid="{00000000-0005-0000-0000-00005E9C0000}"/>
    <cellStyle name="Normal 4 4 6 4" xfId="4666" xr:uid="{00000000-0005-0000-0000-00005F9C0000}"/>
    <cellStyle name="Normal 4 4 6 4 2" xfId="52507" xr:uid="{00000000-0005-0000-0000-0000609C0000}"/>
    <cellStyle name="Normal 4 4 6 4 3" xfId="36407" xr:uid="{00000000-0005-0000-0000-0000619C0000}"/>
    <cellStyle name="Normal 4 4 6 4 4" xfId="17271" xr:uid="{00000000-0005-0000-0000-0000629C0000}"/>
    <cellStyle name="Normal 4 4 6 5" xfId="42940" xr:uid="{00000000-0005-0000-0000-0000639C0000}"/>
    <cellStyle name="Normal 4 4 6 6" xfId="26840" xr:uid="{00000000-0005-0000-0000-0000649C0000}"/>
    <cellStyle name="Normal 4 4 6 7" xfId="13776" xr:uid="{00000000-0005-0000-0000-0000659C0000}"/>
    <cellStyle name="Normal 4 4 7" xfId="3656" xr:uid="{00000000-0005-0000-0000-0000669C0000}"/>
    <cellStyle name="Normal 4 4 7 2" xfId="35397" xr:uid="{00000000-0005-0000-0000-0000679C0000}"/>
    <cellStyle name="Normal 4 4 7 2 2" xfId="51497" xr:uid="{00000000-0005-0000-0000-0000689C0000}"/>
    <cellStyle name="Normal 4 4 7 3" xfId="41930" xr:uid="{00000000-0005-0000-0000-0000699C0000}"/>
    <cellStyle name="Normal 4 4 7 4" xfId="25830" xr:uid="{00000000-0005-0000-0000-00006A9C0000}"/>
    <cellStyle name="Normal 4 4 7 5" xfId="16261" xr:uid="{00000000-0005-0000-0000-00006B9C0000}"/>
    <cellStyle name="Normal 4 4 8" xfId="6692" xr:uid="{00000000-0005-0000-0000-00006C9C0000}"/>
    <cellStyle name="Normal 4 4 8 2" xfId="38433" xr:uid="{00000000-0005-0000-0000-00006D9C0000}"/>
    <cellStyle name="Normal 4 4 8 2 2" xfId="54533" xr:uid="{00000000-0005-0000-0000-00006E9C0000}"/>
    <cellStyle name="Normal 4 4 8 3" xfId="44966" xr:uid="{00000000-0005-0000-0000-00006F9C0000}"/>
    <cellStyle name="Normal 4 4 8 4" xfId="28866" xr:uid="{00000000-0005-0000-0000-0000709C0000}"/>
    <cellStyle name="Normal 4 4 8 5" xfId="19297" xr:uid="{00000000-0005-0000-0000-0000719C0000}"/>
    <cellStyle name="Normal 4 4 9" xfId="9728" xr:uid="{00000000-0005-0000-0000-0000729C0000}"/>
    <cellStyle name="Normal 4 4 9 2" xfId="48002" xr:uid="{00000000-0005-0000-0000-0000739C0000}"/>
    <cellStyle name="Normal 4 4 9 3" xfId="31902" xr:uid="{00000000-0005-0000-0000-0000749C0000}"/>
    <cellStyle name="Normal 4 4 9 4" xfId="22333" xr:uid="{00000000-0005-0000-0000-0000759C0000}"/>
    <cellStyle name="Normal 4 5" xfId="152" xr:uid="{00000000-0005-0000-0000-0000769C0000}"/>
    <cellStyle name="Normal 4 5 10" xfId="3213" xr:uid="{00000000-0005-0000-0000-0000779C0000}"/>
    <cellStyle name="Normal 4 5 10 2" xfId="51055" xr:uid="{00000000-0005-0000-0000-0000789C0000}"/>
    <cellStyle name="Normal 4 5 10 3" xfId="34955" xr:uid="{00000000-0005-0000-0000-0000799C0000}"/>
    <cellStyle name="Normal 4 5 10 4" xfId="15819" xr:uid="{00000000-0005-0000-0000-00007A9C0000}"/>
    <cellStyle name="Normal 4 5 11" xfId="41488" xr:uid="{00000000-0005-0000-0000-00007B9C0000}"/>
    <cellStyle name="Normal 4 5 12" xfId="25388" xr:uid="{00000000-0005-0000-0000-00007C9C0000}"/>
    <cellStyle name="Normal 4 5 13" xfId="12783" xr:uid="{00000000-0005-0000-0000-00007D9C0000}"/>
    <cellStyle name="Normal 4 5 2" xfId="329" xr:uid="{00000000-0005-0000-0000-00007E9C0000}"/>
    <cellStyle name="Normal 4 5 2 10" xfId="13158" xr:uid="{00000000-0005-0000-0000-00007F9C0000}"/>
    <cellStyle name="Normal 4 5 2 2" xfId="2348" xr:uid="{00000000-0005-0000-0000-0000809C0000}"/>
    <cellStyle name="Normal 4 5 2 2 2" xfId="8882" xr:uid="{00000000-0005-0000-0000-0000819C0000}"/>
    <cellStyle name="Normal 4 5 2 2 2 2" xfId="40623" xr:uid="{00000000-0005-0000-0000-0000829C0000}"/>
    <cellStyle name="Normal 4 5 2 2 2 2 2" xfId="56723" xr:uid="{00000000-0005-0000-0000-0000839C0000}"/>
    <cellStyle name="Normal 4 5 2 2 2 3" xfId="47156" xr:uid="{00000000-0005-0000-0000-0000849C0000}"/>
    <cellStyle name="Normal 4 5 2 2 2 4" xfId="31056" xr:uid="{00000000-0005-0000-0000-0000859C0000}"/>
    <cellStyle name="Normal 4 5 2 2 2 5" xfId="21487" xr:uid="{00000000-0005-0000-0000-0000869C0000}"/>
    <cellStyle name="Normal 4 5 2 2 3" xfId="11918" xr:uid="{00000000-0005-0000-0000-0000879C0000}"/>
    <cellStyle name="Normal 4 5 2 2 3 2" xfId="50192" xr:uid="{00000000-0005-0000-0000-0000889C0000}"/>
    <cellStyle name="Normal 4 5 2 2 3 3" xfId="34092" xr:uid="{00000000-0005-0000-0000-0000899C0000}"/>
    <cellStyle name="Normal 4 5 2 2 3 4" xfId="24523" xr:uid="{00000000-0005-0000-0000-00008A9C0000}"/>
    <cellStyle name="Normal 4 5 2 2 4" xfId="5846" xr:uid="{00000000-0005-0000-0000-00008B9C0000}"/>
    <cellStyle name="Normal 4 5 2 2 4 2" xfId="53687" xr:uid="{00000000-0005-0000-0000-00008C9C0000}"/>
    <cellStyle name="Normal 4 5 2 2 4 3" xfId="37587" xr:uid="{00000000-0005-0000-0000-00008D9C0000}"/>
    <cellStyle name="Normal 4 5 2 2 4 4" xfId="18451" xr:uid="{00000000-0005-0000-0000-00008E9C0000}"/>
    <cellStyle name="Normal 4 5 2 2 5" xfId="44120" xr:uid="{00000000-0005-0000-0000-00008F9C0000}"/>
    <cellStyle name="Normal 4 5 2 2 6" xfId="28020" xr:uid="{00000000-0005-0000-0000-0000909C0000}"/>
    <cellStyle name="Normal 4 5 2 2 7" xfId="14956" xr:uid="{00000000-0005-0000-0000-0000919C0000}"/>
    <cellStyle name="Normal 4 5 2 3" xfId="1560" xr:uid="{00000000-0005-0000-0000-0000929C0000}"/>
    <cellStyle name="Normal 4 5 2 3 2" xfId="8094" xr:uid="{00000000-0005-0000-0000-0000939C0000}"/>
    <cellStyle name="Normal 4 5 2 3 2 2" xfId="39835" xr:uid="{00000000-0005-0000-0000-0000949C0000}"/>
    <cellStyle name="Normal 4 5 2 3 2 2 2" xfId="55935" xr:uid="{00000000-0005-0000-0000-0000959C0000}"/>
    <cellStyle name="Normal 4 5 2 3 2 3" xfId="46368" xr:uid="{00000000-0005-0000-0000-0000969C0000}"/>
    <cellStyle name="Normal 4 5 2 3 2 4" xfId="30268" xr:uid="{00000000-0005-0000-0000-0000979C0000}"/>
    <cellStyle name="Normal 4 5 2 3 2 5" xfId="20699" xr:uid="{00000000-0005-0000-0000-0000989C0000}"/>
    <cellStyle name="Normal 4 5 2 3 3" xfId="11130" xr:uid="{00000000-0005-0000-0000-0000999C0000}"/>
    <cellStyle name="Normal 4 5 2 3 3 2" xfId="49404" xr:uid="{00000000-0005-0000-0000-00009A9C0000}"/>
    <cellStyle name="Normal 4 5 2 3 3 3" xfId="33304" xr:uid="{00000000-0005-0000-0000-00009B9C0000}"/>
    <cellStyle name="Normal 4 5 2 3 3 4" xfId="23735" xr:uid="{00000000-0005-0000-0000-00009C9C0000}"/>
    <cellStyle name="Normal 4 5 2 3 4" xfId="5058" xr:uid="{00000000-0005-0000-0000-00009D9C0000}"/>
    <cellStyle name="Normal 4 5 2 3 4 2" xfId="52899" xr:uid="{00000000-0005-0000-0000-00009E9C0000}"/>
    <cellStyle name="Normal 4 5 2 3 4 3" xfId="36799" xr:uid="{00000000-0005-0000-0000-00009F9C0000}"/>
    <cellStyle name="Normal 4 5 2 3 4 4" xfId="17663" xr:uid="{00000000-0005-0000-0000-0000A09C0000}"/>
    <cellStyle name="Normal 4 5 2 3 5" xfId="43332" xr:uid="{00000000-0005-0000-0000-0000A19C0000}"/>
    <cellStyle name="Normal 4 5 2 3 6" xfId="27232" xr:uid="{00000000-0005-0000-0000-0000A29C0000}"/>
    <cellStyle name="Normal 4 5 2 3 7" xfId="14168" xr:uid="{00000000-0005-0000-0000-0000A39C0000}"/>
    <cellStyle name="Normal 4 5 2 4" xfId="4048" xr:uid="{00000000-0005-0000-0000-0000A49C0000}"/>
    <cellStyle name="Normal 4 5 2 4 2" xfId="35789" xr:uid="{00000000-0005-0000-0000-0000A59C0000}"/>
    <cellStyle name="Normal 4 5 2 4 2 2" xfId="51889" xr:uid="{00000000-0005-0000-0000-0000A69C0000}"/>
    <cellStyle name="Normal 4 5 2 4 3" xfId="42322" xr:uid="{00000000-0005-0000-0000-0000A79C0000}"/>
    <cellStyle name="Normal 4 5 2 4 4" xfId="26222" xr:uid="{00000000-0005-0000-0000-0000A89C0000}"/>
    <cellStyle name="Normal 4 5 2 4 5" xfId="16653" xr:uid="{00000000-0005-0000-0000-0000A99C0000}"/>
    <cellStyle name="Normal 4 5 2 5" xfId="7084" xr:uid="{00000000-0005-0000-0000-0000AA9C0000}"/>
    <cellStyle name="Normal 4 5 2 5 2" xfId="38825" xr:uid="{00000000-0005-0000-0000-0000AB9C0000}"/>
    <cellStyle name="Normal 4 5 2 5 2 2" xfId="54925" xr:uid="{00000000-0005-0000-0000-0000AC9C0000}"/>
    <cellStyle name="Normal 4 5 2 5 3" xfId="45358" xr:uid="{00000000-0005-0000-0000-0000AD9C0000}"/>
    <cellStyle name="Normal 4 5 2 5 4" xfId="29258" xr:uid="{00000000-0005-0000-0000-0000AE9C0000}"/>
    <cellStyle name="Normal 4 5 2 5 5" xfId="19689" xr:uid="{00000000-0005-0000-0000-0000AF9C0000}"/>
    <cellStyle name="Normal 4 5 2 6" xfId="10120" xr:uid="{00000000-0005-0000-0000-0000B09C0000}"/>
    <cellStyle name="Normal 4 5 2 6 2" xfId="48394" xr:uid="{00000000-0005-0000-0000-0000B19C0000}"/>
    <cellStyle name="Normal 4 5 2 6 3" xfId="32294" xr:uid="{00000000-0005-0000-0000-0000B29C0000}"/>
    <cellStyle name="Normal 4 5 2 6 4" xfId="22725" xr:uid="{00000000-0005-0000-0000-0000B39C0000}"/>
    <cellStyle name="Normal 4 5 2 7" xfId="3451" xr:uid="{00000000-0005-0000-0000-0000B49C0000}"/>
    <cellStyle name="Normal 4 5 2 7 2" xfId="51292" xr:uid="{00000000-0005-0000-0000-0000B59C0000}"/>
    <cellStyle name="Normal 4 5 2 7 3" xfId="35192" xr:uid="{00000000-0005-0000-0000-0000B69C0000}"/>
    <cellStyle name="Normal 4 5 2 7 4" xfId="16056" xr:uid="{00000000-0005-0000-0000-0000B79C0000}"/>
    <cellStyle name="Normal 4 5 2 8" xfId="41725" xr:uid="{00000000-0005-0000-0000-0000B89C0000}"/>
    <cellStyle name="Normal 4 5 2 9" xfId="25625" xr:uid="{00000000-0005-0000-0000-0000B99C0000}"/>
    <cellStyle name="Normal 4 5 3" xfId="587" xr:uid="{00000000-0005-0000-0000-0000BA9C0000}"/>
    <cellStyle name="Normal 4 5 3 2" xfId="2615" xr:uid="{00000000-0005-0000-0000-0000BB9C0000}"/>
    <cellStyle name="Normal 4 5 3 2 2" xfId="9147" xr:uid="{00000000-0005-0000-0000-0000BC9C0000}"/>
    <cellStyle name="Normal 4 5 3 2 2 2" xfId="40888" xr:uid="{00000000-0005-0000-0000-0000BD9C0000}"/>
    <cellStyle name="Normal 4 5 3 2 2 2 2" xfId="56988" xr:uid="{00000000-0005-0000-0000-0000BE9C0000}"/>
    <cellStyle name="Normal 4 5 3 2 2 3" xfId="47421" xr:uid="{00000000-0005-0000-0000-0000BF9C0000}"/>
    <cellStyle name="Normal 4 5 3 2 2 4" xfId="31321" xr:uid="{00000000-0005-0000-0000-0000C09C0000}"/>
    <cellStyle name="Normal 4 5 3 2 2 5" xfId="21752" xr:uid="{00000000-0005-0000-0000-0000C19C0000}"/>
    <cellStyle name="Normal 4 5 3 2 3" xfId="12183" xr:uid="{00000000-0005-0000-0000-0000C29C0000}"/>
    <cellStyle name="Normal 4 5 3 2 3 2" xfId="50457" xr:uid="{00000000-0005-0000-0000-0000C39C0000}"/>
    <cellStyle name="Normal 4 5 3 2 3 3" xfId="34357" xr:uid="{00000000-0005-0000-0000-0000C49C0000}"/>
    <cellStyle name="Normal 4 5 3 2 3 4" xfId="24788" xr:uid="{00000000-0005-0000-0000-0000C59C0000}"/>
    <cellStyle name="Normal 4 5 3 2 4" xfId="6111" xr:uid="{00000000-0005-0000-0000-0000C69C0000}"/>
    <cellStyle name="Normal 4 5 3 2 4 2" xfId="53952" xr:uid="{00000000-0005-0000-0000-0000C79C0000}"/>
    <cellStyle name="Normal 4 5 3 2 4 3" xfId="37852" xr:uid="{00000000-0005-0000-0000-0000C89C0000}"/>
    <cellStyle name="Normal 4 5 3 2 4 4" xfId="18716" xr:uid="{00000000-0005-0000-0000-0000C99C0000}"/>
    <cellStyle name="Normal 4 5 3 2 5" xfId="44385" xr:uid="{00000000-0005-0000-0000-0000CA9C0000}"/>
    <cellStyle name="Normal 4 5 3 2 6" xfId="28285" xr:uid="{00000000-0005-0000-0000-0000CB9C0000}"/>
    <cellStyle name="Normal 4 5 3 2 7" xfId="15221" xr:uid="{00000000-0005-0000-0000-0000CC9C0000}"/>
    <cellStyle name="Normal 4 5 3 3" xfId="1383" xr:uid="{00000000-0005-0000-0000-0000CD9C0000}"/>
    <cellStyle name="Normal 4 5 3 3 2" xfId="7917" xr:uid="{00000000-0005-0000-0000-0000CE9C0000}"/>
    <cellStyle name="Normal 4 5 3 3 2 2" xfId="39658" xr:uid="{00000000-0005-0000-0000-0000CF9C0000}"/>
    <cellStyle name="Normal 4 5 3 3 2 2 2" xfId="55758" xr:uid="{00000000-0005-0000-0000-0000D09C0000}"/>
    <cellStyle name="Normal 4 5 3 3 2 3" xfId="46191" xr:uid="{00000000-0005-0000-0000-0000D19C0000}"/>
    <cellStyle name="Normal 4 5 3 3 2 4" xfId="30091" xr:uid="{00000000-0005-0000-0000-0000D29C0000}"/>
    <cellStyle name="Normal 4 5 3 3 2 5" xfId="20522" xr:uid="{00000000-0005-0000-0000-0000D39C0000}"/>
    <cellStyle name="Normal 4 5 3 3 3" xfId="10953" xr:uid="{00000000-0005-0000-0000-0000D49C0000}"/>
    <cellStyle name="Normal 4 5 3 3 3 2" xfId="49227" xr:uid="{00000000-0005-0000-0000-0000D59C0000}"/>
    <cellStyle name="Normal 4 5 3 3 3 3" xfId="33127" xr:uid="{00000000-0005-0000-0000-0000D69C0000}"/>
    <cellStyle name="Normal 4 5 3 3 3 4" xfId="23558" xr:uid="{00000000-0005-0000-0000-0000D79C0000}"/>
    <cellStyle name="Normal 4 5 3 3 4" xfId="4881" xr:uid="{00000000-0005-0000-0000-0000D89C0000}"/>
    <cellStyle name="Normal 4 5 3 3 4 2" xfId="52722" xr:uid="{00000000-0005-0000-0000-0000D99C0000}"/>
    <cellStyle name="Normal 4 5 3 3 4 3" xfId="36622" xr:uid="{00000000-0005-0000-0000-0000DA9C0000}"/>
    <cellStyle name="Normal 4 5 3 3 4 4" xfId="17486" xr:uid="{00000000-0005-0000-0000-0000DB9C0000}"/>
    <cellStyle name="Normal 4 5 3 3 5" xfId="43155" xr:uid="{00000000-0005-0000-0000-0000DC9C0000}"/>
    <cellStyle name="Normal 4 5 3 3 6" xfId="27055" xr:uid="{00000000-0005-0000-0000-0000DD9C0000}"/>
    <cellStyle name="Normal 4 5 3 3 7" xfId="13991" xr:uid="{00000000-0005-0000-0000-0000DE9C0000}"/>
    <cellStyle name="Normal 4 5 3 4" xfId="6907" xr:uid="{00000000-0005-0000-0000-0000DF9C0000}"/>
    <cellStyle name="Normal 4 5 3 4 2" xfId="38648" xr:uid="{00000000-0005-0000-0000-0000E09C0000}"/>
    <cellStyle name="Normal 4 5 3 4 2 2" xfId="54748" xr:uid="{00000000-0005-0000-0000-0000E19C0000}"/>
    <cellStyle name="Normal 4 5 3 4 3" xfId="45181" xr:uid="{00000000-0005-0000-0000-0000E29C0000}"/>
    <cellStyle name="Normal 4 5 3 4 4" xfId="29081" xr:uid="{00000000-0005-0000-0000-0000E39C0000}"/>
    <cellStyle name="Normal 4 5 3 4 5" xfId="19512" xr:uid="{00000000-0005-0000-0000-0000E49C0000}"/>
    <cellStyle name="Normal 4 5 3 5" xfId="9943" xr:uid="{00000000-0005-0000-0000-0000E59C0000}"/>
    <cellStyle name="Normal 4 5 3 5 2" xfId="48217" xr:uid="{00000000-0005-0000-0000-0000E69C0000}"/>
    <cellStyle name="Normal 4 5 3 5 3" xfId="32117" xr:uid="{00000000-0005-0000-0000-0000E79C0000}"/>
    <cellStyle name="Normal 4 5 3 5 4" xfId="22548" xr:uid="{00000000-0005-0000-0000-0000E89C0000}"/>
    <cellStyle name="Normal 4 5 3 6" xfId="3871" xr:uid="{00000000-0005-0000-0000-0000E99C0000}"/>
    <cellStyle name="Normal 4 5 3 6 2" xfId="51712" xr:uid="{00000000-0005-0000-0000-0000EA9C0000}"/>
    <cellStyle name="Normal 4 5 3 6 3" xfId="35612" xr:uid="{00000000-0005-0000-0000-0000EB9C0000}"/>
    <cellStyle name="Normal 4 5 3 6 4" xfId="16476" xr:uid="{00000000-0005-0000-0000-0000EC9C0000}"/>
    <cellStyle name="Normal 4 5 3 7" xfId="42145" xr:uid="{00000000-0005-0000-0000-0000ED9C0000}"/>
    <cellStyle name="Normal 4 5 3 8" xfId="26045" xr:uid="{00000000-0005-0000-0000-0000EE9C0000}"/>
    <cellStyle name="Normal 4 5 3 9" xfId="12981" xr:uid="{00000000-0005-0000-0000-0000EF9C0000}"/>
    <cellStyle name="Normal 4 5 4" xfId="858" xr:uid="{00000000-0005-0000-0000-0000F09C0000}"/>
    <cellStyle name="Normal 4 5 4 2" xfId="2886" xr:uid="{00000000-0005-0000-0000-0000F19C0000}"/>
    <cellStyle name="Normal 4 5 4 2 2" xfId="9418" xr:uid="{00000000-0005-0000-0000-0000F29C0000}"/>
    <cellStyle name="Normal 4 5 4 2 2 2" xfId="41159" xr:uid="{00000000-0005-0000-0000-0000F39C0000}"/>
    <cellStyle name="Normal 4 5 4 2 2 2 2" xfId="57259" xr:uid="{00000000-0005-0000-0000-0000F49C0000}"/>
    <cellStyle name="Normal 4 5 4 2 2 3" xfId="47692" xr:uid="{00000000-0005-0000-0000-0000F59C0000}"/>
    <cellStyle name="Normal 4 5 4 2 2 4" xfId="31592" xr:uid="{00000000-0005-0000-0000-0000F69C0000}"/>
    <cellStyle name="Normal 4 5 4 2 2 5" xfId="22023" xr:uid="{00000000-0005-0000-0000-0000F79C0000}"/>
    <cellStyle name="Normal 4 5 4 2 3" xfId="12454" xr:uid="{00000000-0005-0000-0000-0000F89C0000}"/>
    <cellStyle name="Normal 4 5 4 2 3 2" xfId="50728" xr:uid="{00000000-0005-0000-0000-0000F99C0000}"/>
    <cellStyle name="Normal 4 5 4 2 3 3" xfId="34628" xr:uid="{00000000-0005-0000-0000-0000FA9C0000}"/>
    <cellStyle name="Normal 4 5 4 2 3 4" xfId="25059" xr:uid="{00000000-0005-0000-0000-0000FB9C0000}"/>
    <cellStyle name="Normal 4 5 4 2 4" xfId="6382" xr:uid="{00000000-0005-0000-0000-0000FC9C0000}"/>
    <cellStyle name="Normal 4 5 4 2 4 2" xfId="54223" xr:uid="{00000000-0005-0000-0000-0000FD9C0000}"/>
    <cellStyle name="Normal 4 5 4 2 4 3" xfId="38123" xr:uid="{00000000-0005-0000-0000-0000FE9C0000}"/>
    <cellStyle name="Normal 4 5 4 2 4 4" xfId="18987" xr:uid="{00000000-0005-0000-0000-0000FF9C0000}"/>
    <cellStyle name="Normal 4 5 4 2 5" xfId="44656" xr:uid="{00000000-0005-0000-0000-0000009D0000}"/>
    <cellStyle name="Normal 4 5 4 2 6" xfId="28556" xr:uid="{00000000-0005-0000-0000-0000019D0000}"/>
    <cellStyle name="Normal 4 5 4 2 7" xfId="15492" xr:uid="{00000000-0005-0000-0000-0000029D0000}"/>
    <cellStyle name="Normal 4 5 4 3" xfId="1868" xr:uid="{00000000-0005-0000-0000-0000039D0000}"/>
    <cellStyle name="Normal 4 5 4 3 2" xfId="8402" xr:uid="{00000000-0005-0000-0000-0000049D0000}"/>
    <cellStyle name="Normal 4 5 4 3 2 2" xfId="40143" xr:uid="{00000000-0005-0000-0000-0000059D0000}"/>
    <cellStyle name="Normal 4 5 4 3 2 2 2" xfId="56243" xr:uid="{00000000-0005-0000-0000-0000069D0000}"/>
    <cellStyle name="Normal 4 5 4 3 2 3" xfId="46676" xr:uid="{00000000-0005-0000-0000-0000079D0000}"/>
    <cellStyle name="Normal 4 5 4 3 2 4" xfId="30576" xr:uid="{00000000-0005-0000-0000-0000089D0000}"/>
    <cellStyle name="Normal 4 5 4 3 2 5" xfId="21007" xr:uid="{00000000-0005-0000-0000-0000099D0000}"/>
    <cellStyle name="Normal 4 5 4 3 3" xfId="11438" xr:uid="{00000000-0005-0000-0000-00000A9D0000}"/>
    <cellStyle name="Normal 4 5 4 3 3 2" xfId="49712" xr:uid="{00000000-0005-0000-0000-00000B9D0000}"/>
    <cellStyle name="Normal 4 5 4 3 3 3" xfId="33612" xr:uid="{00000000-0005-0000-0000-00000C9D0000}"/>
    <cellStyle name="Normal 4 5 4 3 3 4" xfId="24043" xr:uid="{00000000-0005-0000-0000-00000D9D0000}"/>
    <cellStyle name="Normal 4 5 4 3 4" xfId="5366" xr:uid="{00000000-0005-0000-0000-00000E9D0000}"/>
    <cellStyle name="Normal 4 5 4 3 4 2" xfId="53207" xr:uid="{00000000-0005-0000-0000-00000F9D0000}"/>
    <cellStyle name="Normal 4 5 4 3 4 3" xfId="37107" xr:uid="{00000000-0005-0000-0000-0000109D0000}"/>
    <cellStyle name="Normal 4 5 4 3 4 4" xfId="17971" xr:uid="{00000000-0005-0000-0000-0000119D0000}"/>
    <cellStyle name="Normal 4 5 4 3 5" xfId="43640" xr:uid="{00000000-0005-0000-0000-0000129D0000}"/>
    <cellStyle name="Normal 4 5 4 3 6" xfId="27540" xr:uid="{00000000-0005-0000-0000-0000139D0000}"/>
    <cellStyle name="Normal 4 5 4 3 7" xfId="14476" xr:uid="{00000000-0005-0000-0000-0000149D0000}"/>
    <cellStyle name="Normal 4 5 4 4" xfId="7392" xr:uid="{00000000-0005-0000-0000-0000159D0000}"/>
    <cellStyle name="Normal 4 5 4 4 2" xfId="39133" xr:uid="{00000000-0005-0000-0000-0000169D0000}"/>
    <cellStyle name="Normal 4 5 4 4 2 2" xfId="55233" xr:uid="{00000000-0005-0000-0000-0000179D0000}"/>
    <cellStyle name="Normal 4 5 4 4 3" xfId="45666" xr:uid="{00000000-0005-0000-0000-0000189D0000}"/>
    <cellStyle name="Normal 4 5 4 4 4" xfId="29566" xr:uid="{00000000-0005-0000-0000-0000199D0000}"/>
    <cellStyle name="Normal 4 5 4 4 5" xfId="19997" xr:uid="{00000000-0005-0000-0000-00001A9D0000}"/>
    <cellStyle name="Normal 4 5 4 5" xfId="10428" xr:uid="{00000000-0005-0000-0000-00001B9D0000}"/>
    <cellStyle name="Normal 4 5 4 5 2" xfId="48702" xr:uid="{00000000-0005-0000-0000-00001C9D0000}"/>
    <cellStyle name="Normal 4 5 4 5 3" xfId="32602" xr:uid="{00000000-0005-0000-0000-00001D9D0000}"/>
    <cellStyle name="Normal 4 5 4 5 4" xfId="23033" xr:uid="{00000000-0005-0000-0000-00001E9D0000}"/>
    <cellStyle name="Normal 4 5 4 6" xfId="4356" xr:uid="{00000000-0005-0000-0000-00001F9D0000}"/>
    <cellStyle name="Normal 4 5 4 6 2" xfId="52197" xr:uid="{00000000-0005-0000-0000-0000209D0000}"/>
    <cellStyle name="Normal 4 5 4 6 3" xfId="36097" xr:uid="{00000000-0005-0000-0000-0000219D0000}"/>
    <cellStyle name="Normal 4 5 4 6 4" xfId="16961" xr:uid="{00000000-0005-0000-0000-0000229D0000}"/>
    <cellStyle name="Normal 4 5 4 7" xfId="42630" xr:uid="{00000000-0005-0000-0000-0000239D0000}"/>
    <cellStyle name="Normal 4 5 4 8" xfId="26530" xr:uid="{00000000-0005-0000-0000-0000249D0000}"/>
    <cellStyle name="Normal 4 5 4 9" xfId="13466" xr:uid="{00000000-0005-0000-0000-0000259D0000}"/>
    <cellStyle name="Normal 4 5 5" xfId="2171" xr:uid="{00000000-0005-0000-0000-0000269D0000}"/>
    <cellStyle name="Normal 4 5 5 2" xfId="8705" xr:uid="{00000000-0005-0000-0000-0000279D0000}"/>
    <cellStyle name="Normal 4 5 5 2 2" xfId="40446" xr:uid="{00000000-0005-0000-0000-0000289D0000}"/>
    <cellStyle name="Normal 4 5 5 2 2 2" xfId="56546" xr:uid="{00000000-0005-0000-0000-0000299D0000}"/>
    <cellStyle name="Normal 4 5 5 2 3" xfId="46979" xr:uid="{00000000-0005-0000-0000-00002A9D0000}"/>
    <cellStyle name="Normal 4 5 5 2 4" xfId="30879" xr:uid="{00000000-0005-0000-0000-00002B9D0000}"/>
    <cellStyle name="Normal 4 5 5 2 5" xfId="21310" xr:uid="{00000000-0005-0000-0000-00002C9D0000}"/>
    <cellStyle name="Normal 4 5 5 3" xfId="11741" xr:uid="{00000000-0005-0000-0000-00002D9D0000}"/>
    <cellStyle name="Normal 4 5 5 3 2" xfId="50015" xr:uid="{00000000-0005-0000-0000-00002E9D0000}"/>
    <cellStyle name="Normal 4 5 5 3 3" xfId="33915" xr:uid="{00000000-0005-0000-0000-00002F9D0000}"/>
    <cellStyle name="Normal 4 5 5 3 4" xfId="24346" xr:uid="{00000000-0005-0000-0000-0000309D0000}"/>
    <cellStyle name="Normal 4 5 5 4" xfId="5669" xr:uid="{00000000-0005-0000-0000-0000319D0000}"/>
    <cellStyle name="Normal 4 5 5 4 2" xfId="53510" xr:uid="{00000000-0005-0000-0000-0000329D0000}"/>
    <cellStyle name="Normal 4 5 5 4 3" xfId="37410" xr:uid="{00000000-0005-0000-0000-0000339D0000}"/>
    <cellStyle name="Normal 4 5 5 4 4" xfId="18274" xr:uid="{00000000-0005-0000-0000-0000349D0000}"/>
    <cellStyle name="Normal 4 5 5 5" xfId="43943" xr:uid="{00000000-0005-0000-0000-0000359D0000}"/>
    <cellStyle name="Normal 4 5 5 6" xfId="27843" xr:uid="{00000000-0005-0000-0000-0000369D0000}"/>
    <cellStyle name="Normal 4 5 5 7" xfId="14779" xr:uid="{00000000-0005-0000-0000-0000379D0000}"/>
    <cellStyle name="Normal 4 5 6" xfId="1185" xr:uid="{00000000-0005-0000-0000-0000389D0000}"/>
    <cellStyle name="Normal 4 5 6 2" xfId="7719" xr:uid="{00000000-0005-0000-0000-0000399D0000}"/>
    <cellStyle name="Normal 4 5 6 2 2" xfId="39460" xr:uid="{00000000-0005-0000-0000-00003A9D0000}"/>
    <cellStyle name="Normal 4 5 6 2 2 2" xfId="55560" xr:uid="{00000000-0005-0000-0000-00003B9D0000}"/>
    <cellStyle name="Normal 4 5 6 2 3" xfId="45993" xr:uid="{00000000-0005-0000-0000-00003C9D0000}"/>
    <cellStyle name="Normal 4 5 6 2 4" xfId="29893" xr:uid="{00000000-0005-0000-0000-00003D9D0000}"/>
    <cellStyle name="Normal 4 5 6 2 5" xfId="20324" xr:uid="{00000000-0005-0000-0000-00003E9D0000}"/>
    <cellStyle name="Normal 4 5 6 3" xfId="10755" xr:uid="{00000000-0005-0000-0000-00003F9D0000}"/>
    <cellStyle name="Normal 4 5 6 3 2" xfId="49029" xr:uid="{00000000-0005-0000-0000-0000409D0000}"/>
    <cellStyle name="Normal 4 5 6 3 3" xfId="32929" xr:uid="{00000000-0005-0000-0000-0000419D0000}"/>
    <cellStyle name="Normal 4 5 6 3 4" xfId="23360" xr:uid="{00000000-0005-0000-0000-0000429D0000}"/>
    <cellStyle name="Normal 4 5 6 4" xfId="4683" xr:uid="{00000000-0005-0000-0000-0000439D0000}"/>
    <cellStyle name="Normal 4 5 6 4 2" xfId="52524" xr:uid="{00000000-0005-0000-0000-0000449D0000}"/>
    <cellStyle name="Normal 4 5 6 4 3" xfId="36424" xr:uid="{00000000-0005-0000-0000-0000459D0000}"/>
    <cellStyle name="Normal 4 5 6 4 4" xfId="17288" xr:uid="{00000000-0005-0000-0000-0000469D0000}"/>
    <cellStyle name="Normal 4 5 6 5" xfId="42957" xr:uid="{00000000-0005-0000-0000-0000479D0000}"/>
    <cellStyle name="Normal 4 5 6 6" xfId="26857" xr:uid="{00000000-0005-0000-0000-0000489D0000}"/>
    <cellStyle name="Normal 4 5 6 7" xfId="13793" xr:uid="{00000000-0005-0000-0000-0000499D0000}"/>
    <cellStyle name="Normal 4 5 7" xfId="3673" xr:uid="{00000000-0005-0000-0000-00004A9D0000}"/>
    <cellStyle name="Normal 4 5 7 2" xfId="35414" xr:uid="{00000000-0005-0000-0000-00004B9D0000}"/>
    <cellStyle name="Normal 4 5 7 2 2" xfId="51514" xr:uid="{00000000-0005-0000-0000-00004C9D0000}"/>
    <cellStyle name="Normal 4 5 7 3" xfId="41947" xr:uid="{00000000-0005-0000-0000-00004D9D0000}"/>
    <cellStyle name="Normal 4 5 7 4" xfId="25847" xr:uid="{00000000-0005-0000-0000-00004E9D0000}"/>
    <cellStyle name="Normal 4 5 7 5" xfId="16278" xr:uid="{00000000-0005-0000-0000-00004F9D0000}"/>
    <cellStyle name="Normal 4 5 8" xfId="6709" xr:uid="{00000000-0005-0000-0000-0000509D0000}"/>
    <cellStyle name="Normal 4 5 8 2" xfId="38450" xr:uid="{00000000-0005-0000-0000-0000519D0000}"/>
    <cellStyle name="Normal 4 5 8 2 2" xfId="54550" xr:uid="{00000000-0005-0000-0000-0000529D0000}"/>
    <cellStyle name="Normal 4 5 8 3" xfId="44983" xr:uid="{00000000-0005-0000-0000-0000539D0000}"/>
    <cellStyle name="Normal 4 5 8 4" xfId="28883" xr:uid="{00000000-0005-0000-0000-0000549D0000}"/>
    <cellStyle name="Normal 4 5 8 5" xfId="19314" xr:uid="{00000000-0005-0000-0000-0000559D0000}"/>
    <cellStyle name="Normal 4 5 9" xfId="9745" xr:uid="{00000000-0005-0000-0000-0000569D0000}"/>
    <cellStyle name="Normal 4 5 9 2" xfId="48019" xr:uid="{00000000-0005-0000-0000-0000579D0000}"/>
    <cellStyle name="Normal 4 5 9 3" xfId="31919" xr:uid="{00000000-0005-0000-0000-0000589D0000}"/>
    <cellStyle name="Normal 4 5 9 4" xfId="22350" xr:uid="{00000000-0005-0000-0000-0000599D0000}"/>
    <cellStyle name="Normal 4 6" xfId="223" xr:uid="{00000000-0005-0000-0000-00005A9D0000}"/>
    <cellStyle name="Normal 4 6 10" xfId="41505" xr:uid="{00000000-0005-0000-0000-00005B9D0000}"/>
    <cellStyle name="Normal 4 6 11" xfId="25405" xr:uid="{00000000-0005-0000-0000-00005C9D0000}"/>
    <cellStyle name="Normal 4 6 12" xfId="12800" xr:uid="{00000000-0005-0000-0000-00005D9D0000}"/>
    <cellStyle name="Normal 4 6 2" xfId="604" xr:uid="{00000000-0005-0000-0000-00005E9D0000}"/>
    <cellStyle name="Normal 4 6 2 10" xfId="13052" xr:uid="{00000000-0005-0000-0000-00005F9D0000}"/>
    <cellStyle name="Normal 4 6 2 2" xfId="2632" xr:uid="{00000000-0005-0000-0000-0000609D0000}"/>
    <cellStyle name="Normal 4 6 2 2 2" xfId="9164" xr:uid="{00000000-0005-0000-0000-0000619D0000}"/>
    <cellStyle name="Normal 4 6 2 2 2 2" xfId="40905" xr:uid="{00000000-0005-0000-0000-0000629D0000}"/>
    <cellStyle name="Normal 4 6 2 2 2 2 2" xfId="57005" xr:uid="{00000000-0005-0000-0000-0000639D0000}"/>
    <cellStyle name="Normal 4 6 2 2 2 3" xfId="47438" xr:uid="{00000000-0005-0000-0000-0000649D0000}"/>
    <cellStyle name="Normal 4 6 2 2 2 4" xfId="31338" xr:uid="{00000000-0005-0000-0000-0000659D0000}"/>
    <cellStyle name="Normal 4 6 2 2 2 5" xfId="21769" xr:uid="{00000000-0005-0000-0000-0000669D0000}"/>
    <cellStyle name="Normal 4 6 2 2 3" xfId="12200" xr:uid="{00000000-0005-0000-0000-0000679D0000}"/>
    <cellStyle name="Normal 4 6 2 2 3 2" xfId="50474" xr:uid="{00000000-0005-0000-0000-0000689D0000}"/>
    <cellStyle name="Normal 4 6 2 2 3 3" xfId="34374" xr:uid="{00000000-0005-0000-0000-0000699D0000}"/>
    <cellStyle name="Normal 4 6 2 2 3 4" xfId="24805" xr:uid="{00000000-0005-0000-0000-00006A9D0000}"/>
    <cellStyle name="Normal 4 6 2 2 4" xfId="6128" xr:uid="{00000000-0005-0000-0000-00006B9D0000}"/>
    <cellStyle name="Normal 4 6 2 2 4 2" xfId="53969" xr:uid="{00000000-0005-0000-0000-00006C9D0000}"/>
    <cellStyle name="Normal 4 6 2 2 4 3" xfId="37869" xr:uid="{00000000-0005-0000-0000-00006D9D0000}"/>
    <cellStyle name="Normal 4 6 2 2 4 4" xfId="18733" xr:uid="{00000000-0005-0000-0000-00006E9D0000}"/>
    <cellStyle name="Normal 4 6 2 2 5" xfId="44402" xr:uid="{00000000-0005-0000-0000-00006F9D0000}"/>
    <cellStyle name="Normal 4 6 2 2 6" xfId="28302" xr:uid="{00000000-0005-0000-0000-0000709D0000}"/>
    <cellStyle name="Normal 4 6 2 2 7" xfId="15238" xr:uid="{00000000-0005-0000-0000-0000719D0000}"/>
    <cellStyle name="Normal 4 6 2 3" xfId="1454" xr:uid="{00000000-0005-0000-0000-0000729D0000}"/>
    <cellStyle name="Normal 4 6 2 3 2" xfId="7988" xr:uid="{00000000-0005-0000-0000-0000739D0000}"/>
    <cellStyle name="Normal 4 6 2 3 2 2" xfId="39729" xr:uid="{00000000-0005-0000-0000-0000749D0000}"/>
    <cellStyle name="Normal 4 6 2 3 2 2 2" xfId="55829" xr:uid="{00000000-0005-0000-0000-0000759D0000}"/>
    <cellStyle name="Normal 4 6 2 3 2 3" xfId="46262" xr:uid="{00000000-0005-0000-0000-0000769D0000}"/>
    <cellStyle name="Normal 4 6 2 3 2 4" xfId="30162" xr:uid="{00000000-0005-0000-0000-0000779D0000}"/>
    <cellStyle name="Normal 4 6 2 3 2 5" xfId="20593" xr:uid="{00000000-0005-0000-0000-0000789D0000}"/>
    <cellStyle name="Normal 4 6 2 3 3" xfId="11024" xr:uid="{00000000-0005-0000-0000-0000799D0000}"/>
    <cellStyle name="Normal 4 6 2 3 3 2" xfId="49298" xr:uid="{00000000-0005-0000-0000-00007A9D0000}"/>
    <cellStyle name="Normal 4 6 2 3 3 3" xfId="33198" xr:uid="{00000000-0005-0000-0000-00007B9D0000}"/>
    <cellStyle name="Normal 4 6 2 3 3 4" xfId="23629" xr:uid="{00000000-0005-0000-0000-00007C9D0000}"/>
    <cellStyle name="Normal 4 6 2 3 4" xfId="4952" xr:uid="{00000000-0005-0000-0000-00007D9D0000}"/>
    <cellStyle name="Normal 4 6 2 3 4 2" xfId="52793" xr:uid="{00000000-0005-0000-0000-00007E9D0000}"/>
    <cellStyle name="Normal 4 6 2 3 4 3" xfId="36693" xr:uid="{00000000-0005-0000-0000-00007F9D0000}"/>
    <cellStyle name="Normal 4 6 2 3 4 4" xfId="17557" xr:uid="{00000000-0005-0000-0000-0000809D0000}"/>
    <cellStyle name="Normal 4 6 2 3 5" xfId="43226" xr:uid="{00000000-0005-0000-0000-0000819D0000}"/>
    <cellStyle name="Normal 4 6 2 3 6" xfId="27126" xr:uid="{00000000-0005-0000-0000-0000829D0000}"/>
    <cellStyle name="Normal 4 6 2 3 7" xfId="14062" xr:uid="{00000000-0005-0000-0000-0000839D0000}"/>
    <cellStyle name="Normal 4 6 2 4" xfId="3942" xr:uid="{00000000-0005-0000-0000-0000849D0000}"/>
    <cellStyle name="Normal 4 6 2 4 2" xfId="35683" xr:uid="{00000000-0005-0000-0000-0000859D0000}"/>
    <cellStyle name="Normal 4 6 2 4 2 2" xfId="51783" xr:uid="{00000000-0005-0000-0000-0000869D0000}"/>
    <cellStyle name="Normal 4 6 2 4 3" xfId="42216" xr:uid="{00000000-0005-0000-0000-0000879D0000}"/>
    <cellStyle name="Normal 4 6 2 4 4" xfId="26116" xr:uid="{00000000-0005-0000-0000-0000889D0000}"/>
    <cellStyle name="Normal 4 6 2 4 5" xfId="16547" xr:uid="{00000000-0005-0000-0000-0000899D0000}"/>
    <cellStyle name="Normal 4 6 2 5" xfId="6978" xr:uid="{00000000-0005-0000-0000-00008A9D0000}"/>
    <cellStyle name="Normal 4 6 2 5 2" xfId="38719" xr:uid="{00000000-0005-0000-0000-00008B9D0000}"/>
    <cellStyle name="Normal 4 6 2 5 2 2" xfId="54819" xr:uid="{00000000-0005-0000-0000-00008C9D0000}"/>
    <cellStyle name="Normal 4 6 2 5 3" xfId="45252" xr:uid="{00000000-0005-0000-0000-00008D9D0000}"/>
    <cellStyle name="Normal 4 6 2 5 4" xfId="29152" xr:uid="{00000000-0005-0000-0000-00008E9D0000}"/>
    <cellStyle name="Normal 4 6 2 5 5" xfId="19583" xr:uid="{00000000-0005-0000-0000-00008F9D0000}"/>
    <cellStyle name="Normal 4 6 2 6" xfId="10014" xr:uid="{00000000-0005-0000-0000-0000909D0000}"/>
    <cellStyle name="Normal 4 6 2 6 2" xfId="48288" xr:uid="{00000000-0005-0000-0000-0000919D0000}"/>
    <cellStyle name="Normal 4 6 2 6 3" xfId="32188" xr:uid="{00000000-0005-0000-0000-0000929D0000}"/>
    <cellStyle name="Normal 4 6 2 6 4" xfId="22619" xr:uid="{00000000-0005-0000-0000-0000939D0000}"/>
    <cellStyle name="Normal 4 6 2 7" xfId="3468" xr:uid="{00000000-0005-0000-0000-0000949D0000}"/>
    <cellStyle name="Normal 4 6 2 7 2" xfId="51309" xr:uid="{00000000-0005-0000-0000-0000959D0000}"/>
    <cellStyle name="Normal 4 6 2 7 3" xfId="35209" xr:uid="{00000000-0005-0000-0000-0000969D0000}"/>
    <cellStyle name="Normal 4 6 2 7 4" xfId="16073" xr:uid="{00000000-0005-0000-0000-0000979D0000}"/>
    <cellStyle name="Normal 4 6 2 8" xfId="41742" xr:uid="{00000000-0005-0000-0000-0000989D0000}"/>
    <cellStyle name="Normal 4 6 2 9" xfId="25642" xr:uid="{00000000-0005-0000-0000-0000999D0000}"/>
    <cellStyle name="Normal 4 6 3" xfId="875" xr:uid="{00000000-0005-0000-0000-00009A9D0000}"/>
    <cellStyle name="Normal 4 6 3 2" xfId="2903" xr:uid="{00000000-0005-0000-0000-00009B9D0000}"/>
    <cellStyle name="Normal 4 6 3 2 2" xfId="9435" xr:uid="{00000000-0005-0000-0000-00009C9D0000}"/>
    <cellStyle name="Normal 4 6 3 2 2 2" xfId="41176" xr:uid="{00000000-0005-0000-0000-00009D9D0000}"/>
    <cellStyle name="Normal 4 6 3 2 2 2 2" xfId="57276" xr:uid="{00000000-0005-0000-0000-00009E9D0000}"/>
    <cellStyle name="Normal 4 6 3 2 2 3" xfId="47709" xr:uid="{00000000-0005-0000-0000-00009F9D0000}"/>
    <cellStyle name="Normal 4 6 3 2 2 4" xfId="31609" xr:uid="{00000000-0005-0000-0000-0000A09D0000}"/>
    <cellStyle name="Normal 4 6 3 2 2 5" xfId="22040" xr:uid="{00000000-0005-0000-0000-0000A19D0000}"/>
    <cellStyle name="Normal 4 6 3 2 3" xfId="12471" xr:uid="{00000000-0005-0000-0000-0000A29D0000}"/>
    <cellStyle name="Normal 4 6 3 2 3 2" xfId="50745" xr:uid="{00000000-0005-0000-0000-0000A39D0000}"/>
    <cellStyle name="Normal 4 6 3 2 3 3" xfId="34645" xr:uid="{00000000-0005-0000-0000-0000A49D0000}"/>
    <cellStyle name="Normal 4 6 3 2 3 4" xfId="25076" xr:uid="{00000000-0005-0000-0000-0000A59D0000}"/>
    <cellStyle name="Normal 4 6 3 2 4" xfId="6399" xr:uid="{00000000-0005-0000-0000-0000A69D0000}"/>
    <cellStyle name="Normal 4 6 3 2 4 2" xfId="54240" xr:uid="{00000000-0005-0000-0000-0000A79D0000}"/>
    <cellStyle name="Normal 4 6 3 2 4 3" xfId="38140" xr:uid="{00000000-0005-0000-0000-0000A89D0000}"/>
    <cellStyle name="Normal 4 6 3 2 4 4" xfId="19004" xr:uid="{00000000-0005-0000-0000-0000A99D0000}"/>
    <cellStyle name="Normal 4 6 3 2 5" xfId="44673" xr:uid="{00000000-0005-0000-0000-0000AA9D0000}"/>
    <cellStyle name="Normal 4 6 3 2 6" xfId="28573" xr:uid="{00000000-0005-0000-0000-0000AB9D0000}"/>
    <cellStyle name="Normal 4 6 3 2 7" xfId="15509" xr:uid="{00000000-0005-0000-0000-0000AC9D0000}"/>
    <cellStyle name="Normal 4 6 3 3" xfId="1885" xr:uid="{00000000-0005-0000-0000-0000AD9D0000}"/>
    <cellStyle name="Normal 4 6 3 3 2" xfId="8419" xr:uid="{00000000-0005-0000-0000-0000AE9D0000}"/>
    <cellStyle name="Normal 4 6 3 3 2 2" xfId="40160" xr:uid="{00000000-0005-0000-0000-0000AF9D0000}"/>
    <cellStyle name="Normal 4 6 3 3 2 2 2" xfId="56260" xr:uid="{00000000-0005-0000-0000-0000B09D0000}"/>
    <cellStyle name="Normal 4 6 3 3 2 3" xfId="46693" xr:uid="{00000000-0005-0000-0000-0000B19D0000}"/>
    <cellStyle name="Normal 4 6 3 3 2 4" xfId="30593" xr:uid="{00000000-0005-0000-0000-0000B29D0000}"/>
    <cellStyle name="Normal 4 6 3 3 2 5" xfId="21024" xr:uid="{00000000-0005-0000-0000-0000B39D0000}"/>
    <cellStyle name="Normal 4 6 3 3 3" xfId="11455" xr:uid="{00000000-0005-0000-0000-0000B49D0000}"/>
    <cellStyle name="Normal 4 6 3 3 3 2" xfId="49729" xr:uid="{00000000-0005-0000-0000-0000B59D0000}"/>
    <cellStyle name="Normal 4 6 3 3 3 3" xfId="33629" xr:uid="{00000000-0005-0000-0000-0000B69D0000}"/>
    <cellStyle name="Normal 4 6 3 3 3 4" xfId="24060" xr:uid="{00000000-0005-0000-0000-0000B79D0000}"/>
    <cellStyle name="Normal 4 6 3 3 4" xfId="5383" xr:uid="{00000000-0005-0000-0000-0000B89D0000}"/>
    <cellStyle name="Normal 4 6 3 3 4 2" xfId="53224" xr:uid="{00000000-0005-0000-0000-0000B99D0000}"/>
    <cellStyle name="Normal 4 6 3 3 4 3" xfId="37124" xr:uid="{00000000-0005-0000-0000-0000BA9D0000}"/>
    <cellStyle name="Normal 4 6 3 3 4 4" xfId="17988" xr:uid="{00000000-0005-0000-0000-0000BB9D0000}"/>
    <cellStyle name="Normal 4 6 3 3 5" xfId="43657" xr:uid="{00000000-0005-0000-0000-0000BC9D0000}"/>
    <cellStyle name="Normal 4 6 3 3 6" xfId="27557" xr:uid="{00000000-0005-0000-0000-0000BD9D0000}"/>
    <cellStyle name="Normal 4 6 3 3 7" xfId="14493" xr:uid="{00000000-0005-0000-0000-0000BE9D0000}"/>
    <cellStyle name="Normal 4 6 3 4" xfId="7409" xr:uid="{00000000-0005-0000-0000-0000BF9D0000}"/>
    <cellStyle name="Normal 4 6 3 4 2" xfId="39150" xr:uid="{00000000-0005-0000-0000-0000C09D0000}"/>
    <cellStyle name="Normal 4 6 3 4 2 2" xfId="55250" xr:uid="{00000000-0005-0000-0000-0000C19D0000}"/>
    <cellStyle name="Normal 4 6 3 4 3" xfId="45683" xr:uid="{00000000-0005-0000-0000-0000C29D0000}"/>
    <cellStyle name="Normal 4 6 3 4 4" xfId="29583" xr:uid="{00000000-0005-0000-0000-0000C39D0000}"/>
    <cellStyle name="Normal 4 6 3 4 5" xfId="20014" xr:uid="{00000000-0005-0000-0000-0000C49D0000}"/>
    <cellStyle name="Normal 4 6 3 5" xfId="10445" xr:uid="{00000000-0005-0000-0000-0000C59D0000}"/>
    <cellStyle name="Normal 4 6 3 5 2" xfId="48719" xr:uid="{00000000-0005-0000-0000-0000C69D0000}"/>
    <cellStyle name="Normal 4 6 3 5 3" xfId="32619" xr:uid="{00000000-0005-0000-0000-0000C79D0000}"/>
    <cellStyle name="Normal 4 6 3 5 4" xfId="23050" xr:uid="{00000000-0005-0000-0000-0000C89D0000}"/>
    <cellStyle name="Normal 4 6 3 6" xfId="4373" xr:uid="{00000000-0005-0000-0000-0000C99D0000}"/>
    <cellStyle name="Normal 4 6 3 6 2" xfId="52214" xr:uid="{00000000-0005-0000-0000-0000CA9D0000}"/>
    <cellStyle name="Normal 4 6 3 6 3" xfId="36114" xr:uid="{00000000-0005-0000-0000-0000CB9D0000}"/>
    <cellStyle name="Normal 4 6 3 6 4" xfId="16978" xr:uid="{00000000-0005-0000-0000-0000CC9D0000}"/>
    <cellStyle name="Normal 4 6 3 7" xfId="42647" xr:uid="{00000000-0005-0000-0000-0000CD9D0000}"/>
    <cellStyle name="Normal 4 6 3 8" xfId="26547" xr:uid="{00000000-0005-0000-0000-0000CE9D0000}"/>
    <cellStyle name="Normal 4 6 3 9" xfId="13483" xr:uid="{00000000-0005-0000-0000-0000CF9D0000}"/>
    <cellStyle name="Normal 4 6 4" xfId="2242" xr:uid="{00000000-0005-0000-0000-0000D09D0000}"/>
    <cellStyle name="Normal 4 6 4 2" xfId="8776" xr:uid="{00000000-0005-0000-0000-0000D19D0000}"/>
    <cellStyle name="Normal 4 6 4 2 2" xfId="40517" xr:uid="{00000000-0005-0000-0000-0000D29D0000}"/>
    <cellStyle name="Normal 4 6 4 2 2 2" xfId="56617" xr:uid="{00000000-0005-0000-0000-0000D39D0000}"/>
    <cellStyle name="Normal 4 6 4 2 3" xfId="47050" xr:uid="{00000000-0005-0000-0000-0000D49D0000}"/>
    <cellStyle name="Normal 4 6 4 2 4" xfId="30950" xr:uid="{00000000-0005-0000-0000-0000D59D0000}"/>
    <cellStyle name="Normal 4 6 4 2 5" xfId="21381" xr:uid="{00000000-0005-0000-0000-0000D69D0000}"/>
    <cellStyle name="Normal 4 6 4 3" xfId="11812" xr:uid="{00000000-0005-0000-0000-0000D79D0000}"/>
    <cellStyle name="Normal 4 6 4 3 2" xfId="50086" xr:uid="{00000000-0005-0000-0000-0000D89D0000}"/>
    <cellStyle name="Normal 4 6 4 3 3" xfId="33986" xr:uid="{00000000-0005-0000-0000-0000D99D0000}"/>
    <cellStyle name="Normal 4 6 4 3 4" xfId="24417" xr:uid="{00000000-0005-0000-0000-0000DA9D0000}"/>
    <cellStyle name="Normal 4 6 4 4" xfId="5740" xr:uid="{00000000-0005-0000-0000-0000DB9D0000}"/>
    <cellStyle name="Normal 4 6 4 4 2" xfId="53581" xr:uid="{00000000-0005-0000-0000-0000DC9D0000}"/>
    <cellStyle name="Normal 4 6 4 4 3" xfId="37481" xr:uid="{00000000-0005-0000-0000-0000DD9D0000}"/>
    <cellStyle name="Normal 4 6 4 4 4" xfId="18345" xr:uid="{00000000-0005-0000-0000-0000DE9D0000}"/>
    <cellStyle name="Normal 4 6 4 5" xfId="44014" xr:uid="{00000000-0005-0000-0000-0000DF9D0000}"/>
    <cellStyle name="Normal 4 6 4 6" xfId="27914" xr:uid="{00000000-0005-0000-0000-0000E09D0000}"/>
    <cellStyle name="Normal 4 6 4 7" xfId="14850" xr:uid="{00000000-0005-0000-0000-0000E19D0000}"/>
    <cellStyle name="Normal 4 6 5" xfId="1202" xr:uid="{00000000-0005-0000-0000-0000E29D0000}"/>
    <cellStyle name="Normal 4 6 5 2" xfId="7736" xr:uid="{00000000-0005-0000-0000-0000E39D0000}"/>
    <cellStyle name="Normal 4 6 5 2 2" xfId="39477" xr:uid="{00000000-0005-0000-0000-0000E49D0000}"/>
    <cellStyle name="Normal 4 6 5 2 2 2" xfId="55577" xr:uid="{00000000-0005-0000-0000-0000E59D0000}"/>
    <cellStyle name="Normal 4 6 5 2 3" xfId="46010" xr:uid="{00000000-0005-0000-0000-0000E69D0000}"/>
    <cellStyle name="Normal 4 6 5 2 4" xfId="29910" xr:uid="{00000000-0005-0000-0000-0000E79D0000}"/>
    <cellStyle name="Normal 4 6 5 2 5" xfId="20341" xr:uid="{00000000-0005-0000-0000-0000E89D0000}"/>
    <cellStyle name="Normal 4 6 5 3" xfId="10772" xr:uid="{00000000-0005-0000-0000-0000E99D0000}"/>
    <cellStyle name="Normal 4 6 5 3 2" xfId="49046" xr:uid="{00000000-0005-0000-0000-0000EA9D0000}"/>
    <cellStyle name="Normal 4 6 5 3 3" xfId="32946" xr:uid="{00000000-0005-0000-0000-0000EB9D0000}"/>
    <cellStyle name="Normal 4 6 5 3 4" xfId="23377" xr:uid="{00000000-0005-0000-0000-0000EC9D0000}"/>
    <cellStyle name="Normal 4 6 5 4" xfId="4700" xr:uid="{00000000-0005-0000-0000-0000ED9D0000}"/>
    <cellStyle name="Normal 4 6 5 4 2" xfId="52541" xr:uid="{00000000-0005-0000-0000-0000EE9D0000}"/>
    <cellStyle name="Normal 4 6 5 4 3" xfId="36441" xr:uid="{00000000-0005-0000-0000-0000EF9D0000}"/>
    <cellStyle name="Normal 4 6 5 4 4" xfId="17305" xr:uid="{00000000-0005-0000-0000-0000F09D0000}"/>
    <cellStyle name="Normal 4 6 5 5" xfId="42974" xr:uid="{00000000-0005-0000-0000-0000F19D0000}"/>
    <cellStyle name="Normal 4 6 5 6" xfId="26874" xr:uid="{00000000-0005-0000-0000-0000F29D0000}"/>
    <cellStyle name="Normal 4 6 5 7" xfId="13810" xr:uid="{00000000-0005-0000-0000-0000F39D0000}"/>
    <cellStyle name="Normal 4 6 6" xfId="3690" xr:uid="{00000000-0005-0000-0000-0000F49D0000}"/>
    <cellStyle name="Normal 4 6 6 2" xfId="35431" xr:uid="{00000000-0005-0000-0000-0000F59D0000}"/>
    <cellStyle name="Normal 4 6 6 2 2" xfId="51531" xr:uid="{00000000-0005-0000-0000-0000F69D0000}"/>
    <cellStyle name="Normal 4 6 6 3" xfId="41964" xr:uid="{00000000-0005-0000-0000-0000F79D0000}"/>
    <cellStyle name="Normal 4 6 6 4" xfId="25864" xr:uid="{00000000-0005-0000-0000-0000F89D0000}"/>
    <cellStyle name="Normal 4 6 6 5" xfId="16295" xr:uid="{00000000-0005-0000-0000-0000F99D0000}"/>
    <cellStyle name="Normal 4 6 7" xfId="6726" xr:uid="{00000000-0005-0000-0000-0000FA9D0000}"/>
    <cellStyle name="Normal 4 6 7 2" xfId="38467" xr:uid="{00000000-0005-0000-0000-0000FB9D0000}"/>
    <cellStyle name="Normal 4 6 7 2 2" xfId="54567" xr:uid="{00000000-0005-0000-0000-0000FC9D0000}"/>
    <cellStyle name="Normal 4 6 7 3" xfId="45000" xr:uid="{00000000-0005-0000-0000-0000FD9D0000}"/>
    <cellStyle name="Normal 4 6 7 4" xfId="28900" xr:uid="{00000000-0005-0000-0000-0000FE9D0000}"/>
    <cellStyle name="Normal 4 6 7 5" xfId="19331" xr:uid="{00000000-0005-0000-0000-0000FF9D0000}"/>
    <cellStyle name="Normal 4 6 8" xfId="9762" xr:uid="{00000000-0005-0000-0000-0000009E0000}"/>
    <cellStyle name="Normal 4 6 8 2" xfId="48036" xr:uid="{00000000-0005-0000-0000-0000019E0000}"/>
    <cellStyle name="Normal 4 6 8 3" xfId="31936" xr:uid="{00000000-0005-0000-0000-0000029E0000}"/>
    <cellStyle name="Normal 4 6 8 4" xfId="22367" xr:uid="{00000000-0005-0000-0000-0000039E0000}"/>
    <cellStyle name="Normal 4 6 9" xfId="3230" xr:uid="{00000000-0005-0000-0000-0000049E0000}"/>
    <cellStyle name="Normal 4 6 9 2" xfId="51072" xr:uid="{00000000-0005-0000-0000-0000059E0000}"/>
    <cellStyle name="Normal 4 6 9 3" xfId="34972" xr:uid="{00000000-0005-0000-0000-0000069E0000}"/>
    <cellStyle name="Normal 4 6 9 4" xfId="15836" xr:uid="{00000000-0005-0000-0000-0000079E0000}"/>
    <cellStyle name="Normal 4 7" xfId="40" xr:uid="{00000000-0005-0000-0000-0000089E0000}"/>
    <cellStyle name="Normal 4 7 10" xfId="41522" xr:uid="{00000000-0005-0000-0000-0000099E0000}"/>
    <cellStyle name="Normal 4 7 11" xfId="25422" xr:uid="{00000000-0005-0000-0000-00000A9E0000}"/>
    <cellStyle name="Normal 4 7 12" xfId="12817" xr:uid="{00000000-0005-0000-0000-00000B9E0000}"/>
    <cellStyle name="Normal 4 7 2" xfId="892" xr:uid="{00000000-0005-0000-0000-00000C9E0000}"/>
    <cellStyle name="Normal 4 7 2 10" xfId="13500" xr:uid="{00000000-0005-0000-0000-00000D9E0000}"/>
    <cellStyle name="Normal 4 7 2 2" xfId="2920" xr:uid="{00000000-0005-0000-0000-00000E9E0000}"/>
    <cellStyle name="Normal 4 7 2 2 2" xfId="9452" xr:uid="{00000000-0005-0000-0000-00000F9E0000}"/>
    <cellStyle name="Normal 4 7 2 2 2 2" xfId="41193" xr:uid="{00000000-0005-0000-0000-0000109E0000}"/>
    <cellStyle name="Normal 4 7 2 2 2 2 2" xfId="57293" xr:uid="{00000000-0005-0000-0000-0000119E0000}"/>
    <cellStyle name="Normal 4 7 2 2 2 3" xfId="47726" xr:uid="{00000000-0005-0000-0000-0000129E0000}"/>
    <cellStyle name="Normal 4 7 2 2 2 4" xfId="31626" xr:uid="{00000000-0005-0000-0000-0000139E0000}"/>
    <cellStyle name="Normal 4 7 2 2 2 5" xfId="22057" xr:uid="{00000000-0005-0000-0000-0000149E0000}"/>
    <cellStyle name="Normal 4 7 2 2 3" xfId="12488" xr:uid="{00000000-0005-0000-0000-0000159E0000}"/>
    <cellStyle name="Normal 4 7 2 2 3 2" xfId="50762" xr:uid="{00000000-0005-0000-0000-0000169E0000}"/>
    <cellStyle name="Normal 4 7 2 2 3 3" xfId="34662" xr:uid="{00000000-0005-0000-0000-0000179E0000}"/>
    <cellStyle name="Normal 4 7 2 2 3 4" xfId="25093" xr:uid="{00000000-0005-0000-0000-0000189E0000}"/>
    <cellStyle name="Normal 4 7 2 2 4" xfId="6416" xr:uid="{00000000-0005-0000-0000-0000199E0000}"/>
    <cellStyle name="Normal 4 7 2 2 4 2" xfId="54257" xr:uid="{00000000-0005-0000-0000-00001A9E0000}"/>
    <cellStyle name="Normal 4 7 2 2 4 3" xfId="38157" xr:uid="{00000000-0005-0000-0000-00001B9E0000}"/>
    <cellStyle name="Normal 4 7 2 2 4 4" xfId="19021" xr:uid="{00000000-0005-0000-0000-00001C9E0000}"/>
    <cellStyle name="Normal 4 7 2 2 5" xfId="44690" xr:uid="{00000000-0005-0000-0000-00001D9E0000}"/>
    <cellStyle name="Normal 4 7 2 2 6" xfId="28590" xr:uid="{00000000-0005-0000-0000-00001E9E0000}"/>
    <cellStyle name="Normal 4 7 2 2 7" xfId="15526" xr:uid="{00000000-0005-0000-0000-00001F9E0000}"/>
    <cellStyle name="Normal 4 7 2 3" xfId="1902" xr:uid="{00000000-0005-0000-0000-0000209E0000}"/>
    <cellStyle name="Normal 4 7 2 3 2" xfId="8436" xr:uid="{00000000-0005-0000-0000-0000219E0000}"/>
    <cellStyle name="Normal 4 7 2 3 2 2" xfId="40177" xr:uid="{00000000-0005-0000-0000-0000229E0000}"/>
    <cellStyle name="Normal 4 7 2 3 2 2 2" xfId="56277" xr:uid="{00000000-0005-0000-0000-0000239E0000}"/>
    <cellStyle name="Normal 4 7 2 3 2 3" xfId="46710" xr:uid="{00000000-0005-0000-0000-0000249E0000}"/>
    <cellStyle name="Normal 4 7 2 3 2 4" xfId="30610" xr:uid="{00000000-0005-0000-0000-0000259E0000}"/>
    <cellStyle name="Normal 4 7 2 3 2 5" xfId="21041" xr:uid="{00000000-0005-0000-0000-0000269E0000}"/>
    <cellStyle name="Normal 4 7 2 3 3" xfId="11472" xr:uid="{00000000-0005-0000-0000-0000279E0000}"/>
    <cellStyle name="Normal 4 7 2 3 3 2" xfId="49746" xr:uid="{00000000-0005-0000-0000-0000289E0000}"/>
    <cellStyle name="Normal 4 7 2 3 3 3" xfId="33646" xr:uid="{00000000-0005-0000-0000-0000299E0000}"/>
    <cellStyle name="Normal 4 7 2 3 3 4" xfId="24077" xr:uid="{00000000-0005-0000-0000-00002A9E0000}"/>
    <cellStyle name="Normal 4 7 2 3 4" xfId="5400" xr:uid="{00000000-0005-0000-0000-00002B9E0000}"/>
    <cellStyle name="Normal 4 7 2 3 4 2" xfId="53241" xr:uid="{00000000-0005-0000-0000-00002C9E0000}"/>
    <cellStyle name="Normal 4 7 2 3 4 3" xfId="37141" xr:uid="{00000000-0005-0000-0000-00002D9E0000}"/>
    <cellStyle name="Normal 4 7 2 3 4 4" xfId="18005" xr:uid="{00000000-0005-0000-0000-00002E9E0000}"/>
    <cellStyle name="Normal 4 7 2 3 5" xfId="43674" xr:uid="{00000000-0005-0000-0000-00002F9E0000}"/>
    <cellStyle name="Normal 4 7 2 3 6" xfId="27574" xr:uid="{00000000-0005-0000-0000-0000309E0000}"/>
    <cellStyle name="Normal 4 7 2 3 7" xfId="14510" xr:uid="{00000000-0005-0000-0000-0000319E0000}"/>
    <cellStyle name="Normal 4 7 2 4" xfId="4390" xr:uid="{00000000-0005-0000-0000-0000329E0000}"/>
    <cellStyle name="Normal 4 7 2 4 2" xfId="36131" xr:uid="{00000000-0005-0000-0000-0000339E0000}"/>
    <cellStyle name="Normal 4 7 2 4 2 2" xfId="52231" xr:uid="{00000000-0005-0000-0000-0000349E0000}"/>
    <cellStyle name="Normal 4 7 2 4 3" xfId="42664" xr:uid="{00000000-0005-0000-0000-0000359E0000}"/>
    <cellStyle name="Normal 4 7 2 4 4" xfId="26564" xr:uid="{00000000-0005-0000-0000-0000369E0000}"/>
    <cellStyle name="Normal 4 7 2 4 5" xfId="16995" xr:uid="{00000000-0005-0000-0000-0000379E0000}"/>
    <cellStyle name="Normal 4 7 2 5" xfId="7426" xr:uid="{00000000-0005-0000-0000-0000389E0000}"/>
    <cellStyle name="Normal 4 7 2 5 2" xfId="39167" xr:uid="{00000000-0005-0000-0000-0000399E0000}"/>
    <cellStyle name="Normal 4 7 2 5 2 2" xfId="55267" xr:uid="{00000000-0005-0000-0000-00003A9E0000}"/>
    <cellStyle name="Normal 4 7 2 5 3" xfId="45700" xr:uid="{00000000-0005-0000-0000-00003B9E0000}"/>
    <cellStyle name="Normal 4 7 2 5 4" xfId="29600" xr:uid="{00000000-0005-0000-0000-00003C9E0000}"/>
    <cellStyle name="Normal 4 7 2 5 5" xfId="20031" xr:uid="{00000000-0005-0000-0000-00003D9E0000}"/>
    <cellStyle name="Normal 4 7 2 6" xfId="10462" xr:uid="{00000000-0005-0000-0000-00003E9E0000}"/>
    <cellStyle name="Normal 4 7 2 6 2" xfId="48736" xr:uid="{00000000-0005-0000-0000-00003F9E0000}"/>
    <cellStyle name="Normal 4 7 2 6 3" xfId="32636" xr:uid="{00000000-0005-0000-0000-0000409E0000}"/>
    <cellStyle name="Normal 4 7 2 6 4" xfId="23067" xr:uid="{00000000-0005-0000-0000-0000419E0000}"/>
    <cellStyle name="Normal 4 7 2 7" xfId="3485" xr:uid="{00000000-0005-0000-0000-0000429E0000}"/>
    <cellStyle name="Normal 4 7 2 7 2" xfId="51326" xr:uid="{00000000-0005-0000-0000-0000439E0000}"/>
    <cellStyle name="Normal 4 7 2 7 3" xfId="35226" xr:uid="{00000000-0005-0000-0000-0000449E0000}"/>
    <cellStyle name="Normal 4 7 2 7 4" xfId="16090" xr:uid="{00000000-0005-0000-0000-0000459E0000}"/>
    <cellStyle name="Normal 4 7 2 8" xfId="41759" xr:uid="{00000000-0005-0000-0000-0000469E0000}"/>
    <cellStyle name="Normal 4 7 2 9" xfId="25659" xr:uid="{00000000-0005-0000-0000-0000479E0000}"/>
    <cellStyle name="Normal 4 7 3" xfId="670" xr:uid="{00000000-0005-0000-0000-0000489E0000}"/>
    <cellStyle name="Normal 4 7 3 2" xfId="2698" xr:uid="{00000000-0005-0000-0000-0000499E0000}"/>
    <cellStyle name="Normal 4 7 3 2 2" xfId="9230" xr:uid="{00000000-0005-0000-0000-00004A9E0000}"/>
    <cellStyle name="Normal 4 7 3 2 2 2" xfId="40971" xr:uid="{00000000-0005-0000-0000-00004B9E0000}"/>
    <cellStyle name="Normal 4 7 3 2 2 2 2" xfId="57071" xr:uid="{00000000-0005-0000-0000-00004C9E0000}"/>
    <cellStyle name="Normal 4 7 3 2 2 3" xfId="47504" xr:uid="{00000000-0005-0000-0000-00004D9E0000}"/>
    <cellStyle name="Normal 4 7 3 2 2 4" xfId="31404" xr:uid="{00000000-0005-0000-0000-00004E9E0000}"/>
    <cellStyle name="Normal 4 7 3 2 2 5" xfId="21835" xr:uid="{00000000-0005-0000-0000-00004F9E0000}"/>
    <cellStyle name="Normal 4 7 3 2 3" xfId="12266" xr:uid="{00000000-0005-0000-0000-0000509E0000}"/>
    <cellStyle name="Normal 4 7 3 2 3 2" xfId="50540" xr:uid="{00000000-0005-0000-0000-0000519E0000}"/>
    <cellStyle name="Normal 4 7 3 2 3 3" xfId="34440" xr:uid="{00000000-0005-0000-0000-0000529E0000}"/>
    <cellStyle name="Normal 4 7 3 2 3 4" xfId="24871" xr:uid="{00000000-0005-0000-0000-0000539E0000}"/>
    <cellStyle name="Normal 4 7 3 2 4" xfId="6194" xr:uid="{00000000-0005-0000-0000-0000549E0000}"/>
    <cellStyle name="Normal 4 7 3 2 4 2" xfId="54035" xr:uid="{00000000-0005-0000-0000-0000559E0000}"/>
    <cellStyle name="Normal 4 7 3 2 4 3" xfId="37935" xr:uid="{00000000-0005-0000-0000-0000569E0000}"/>
    <cellStyle name="Normal 4 7 3 2 4 4" xfId="18799" xr:uid="{00000000-0005-0000-0000-0000579E0000}"/>
    <cellStyle name="Normal 4 7 3 2 5" xfId="44468" xr:uid="{00000000-0005-0000-0000-0000589E0000}"/>
    <cellStyle name="Normal 4 7 3 2 6" xfId="28368" xr:uid="{00000000-0005-0000-0000-0000599E0000}"/>
    <cellStyle name="Normal 4 7 3 2 7" xfId="15304" xr:uid="{00000000-0005-0000-0000-00005A9E0000}"/>
    <cellStyle name="Normal 4 7 3 3" xfId="1680" xr:uid="{00000000-0005-0000-0000-00005B9E0000}"/>
    <cellStyle name="Normal 4 7 3 3 2" xfId="8214" xr:uid="{00000000-0005-0000-0000-00005C9E0000}"/>
    <cellStyle name="Normal 4 7 3 3 2 2" xfId="39955" xr:uid="{00000000-0005-0000-0000-00005D9E0000}"/>
    <cellStyle name="Normal 4 7 3 3 2 2 2" xfId="56055" xr:uid="{00000000-0005-0000-0000-00005E9E0000}"/>
    <cellStyle name="Normal 4 7 3 3 2 3" xfId="46488" xr:uid="{00000000-0005-0000-0000-00005F9E0000}"/>
    <cellStyle name="Normal 4 7 3 3 2 4" xfId="30388" xr:uid="{00000000-0005-0000-0000-0000609E0000}"/>
    <cellStyle name="Normal 4 7 3 3 2 5" xfId="20819" xr:uid="{00000000-0005-0000-0000-0000619E0000}"/>
    <cellStyle name="Normal 4 7 3 3 3" xfId="11250" xr:uid="{00000000-0005-0000-0000-0000629E0000}"/>
    <cellStyle name="Normal 4 7 3 3 3 2" xfId="49524" xr:uid="{00000000-0005-0000-0000-0000639E0000}"/>
    <cellStyle name="Normal 4 7 3 3 3 3" xfId="33424" xr:uid="{00000000-0005-0000-0000-0000649E0000}"/>
    <cellStyle name="Normal 4 7 3 3 3 4" xfId="23855" xr:uid="{00000000-0005-0000-0000-0000659E0000}"/>
    <cellStyle name="Normal 4 7 3 3 4" xfId="5178" xr:uid="{00000000-0005-0000-0000-0000669E0000}"/>
    <cellStyle name="Normal 4 7 3 3 4 2" xfId="53019" xr:uid="{00000000-0005-0000-0000-0000679E0000}"/>
    <cellStyle name="Normal 4 7 3 3 4 3" xfId="36919" xr:uid="{00000000-0005-0000-0000-0000689E0000}"/>
    <cellStyle name="Normal 4 7 3 3 4 4" xfId="17783" xr:uid="{00000000-0005-0000-0000-0000699E0000}"/>
    <cellStyle name="Normal 4 7 3 3 5" xfId="43452" xr:uid="{00000000-0005-0000-0000-00006A9E0000}"/>
    <cellStyle name="Normal 4 7 3 3 6" xfId="27352" xr:uid="{00000000-0005-0000-0000-00006B9E0000}"/>
    <cellStyle name="Normal 4 7 3 3 7" xfId="14288" xr:uid="{00000000-0005-0000-0000-00006C9E0000}"/>
    <cellStyle name="Normal 4 7 3 4" xfId="7204" xr:uid="{00000000-0005-0000-0000-00006D9E0000}"/>
    <cellStyle name="Normal 4 7 3 4 2" xfId="38945" xr:uid="{00000000-0005-0000-0000-00006E9E0000}"/>
    <cellStyle name="Normal 4 7 3 4 2 2" xfId="55045" xr:uid="{00000000-0005-0000-0000-00006F9E0000}"/>
    <cellStyle name="Normal 4 7 3 4 3" xfId="45478" xr:uid="{00000000-0005-0000-0000-0000709E0000}"/>
    <cellStyle name="Normal 4 7 3 4 4" xfId="29378" xr:uid="{00000000-0005-0000-0000-0000719E0000}"/>
    <cellStyle name="Normal 4 7 3 4 5" xfId="19809" xr:uid="{00000000-0005-0000-0000-0000729E0000}"/>
    <cellStyle name="Normal 4 7 3 5" xfId="10240" xr:uid="{00000000-0005-0000-0000-0000739E0000}"/>
    <cellStyle name="Normal 4 7 3 5 2" xfId="48514" xr:uid="{00000000-0005-0000-0000-0000749E0000}"/>
    <cellStyle name="Normal 4 7 3 5 3" xfId="32414" xr:uid="{00000000-0005-0000-0000-0000759E0000}"/>
    <cellStyle name="Normal 4 7 3 5 4" xfId="22845" xr:uid="{00000000-0005-0000-0000-0000769E0000}"/>
    <cellStyle name="Normal 4 7 3 6" xfId="4168" xr:uid="{00000000-0005-0000-0000-0000779E0000}"/>
    <cellStyle name="Normal 4 7 3 6 2" xfId="52009" xr:uid="{00000000-0005-0000-0000-0000789E0000}"/>
    <cellStyle name="Normal 4 7 3 6 3" xfId="35909" xr:uid="{00000000-0005-0000-0000-0000799E0000}"/>
    <cellStyle name="Normal 4 7 3 6 4" xfId="16773" xr:uid="{00000000-0005-0000-0000-00007A9E0000}"/>
    <cellStyle name="Normal 4 7 3 7" xfId="42442" xr:uid="{00000000-0005-0000-0000-00007B9E0000}"/>
    <cellStyle name="Normal 4 7 3 8" xfId="26342" xr:uid="{00000000-0005-0000-0000-00007C9E0000}"/>
    <cellStyle name="Normal 4 7 3 9" xfId="13278" xr:uid="{00000000-0005-0000-0000-00007D9E0000}"/>
    <cellStyle name="Normal 4 7 4" xfId="2470" xr:uid="{00000000-0005-0000-0000-00007E9E0000}"/>
    <cellStyle name="Normal 4 7 4 2" xfId="9002" xr:uid="{00000000-0005-0000-0000-00007F9E0000}"/>
    <cellStyle name="Normal 4 7 4 2 2" xfId="40743" xr:uid="{00000000-0005-0000-0000-0000809E0000}"/>
    <cellStyle name="Normal 4 7 4 2 2 2" xfId="56843" xr:uid="{00000000-0005-0000-0000-0000819E0000}"/>
    <cellStyle name="Normal 4 7 4 2 3" xfId="47276" xr:uid="{00000000-0005-0000-0000-0000829E0000}"/>
    <cellStyle name="Normal 4 7 4 2 4" xfId="31176" xr:uid="{00000000-0005-0000-0000-0000839E0000}"/>
    <cellStyle name="Normal 4 7 4 2 5" xfId="21607" xr:uid="{00000000-0005-0000-0000-0000849E0000}"/>
    <cellStyle name="Normal 4 7 4 3" xfId="12038" xr:uid="{00000000-0005-0000-0000-0000859E0000}"/>
    <cellStyle name="Normal 4 7 4 3 2" xfId="50312" xr:uid="{00000000-0005-0000-0000-0000869E0000}"/>
    <cellStyle name="Normal 4 7 4 3 3" xfId="34212" xr:uid="{00000000-0005-0000-0000-0000879E0000}"/>
    <cellStyle name="Normal 4 7 4 3 4" xfId="24643" xr:uid="{00000000-0005-0000-0000-0000889E0000}"/>
    <cellStyle name="Normal 4 7 4 4" xfId="5966" xr:uid="{00000000-0005-0000-0000-0000899E0000}"/>
    <cellStyle name="Normal 4 7 4 4 2" xfId="53807" xr:uid="{00000000-0005-0000-0000-00008A9E0000}"/>
    <cellStyle name="Normal 4 7 4 4 3" xfId="37707" xr:uid="{00000000-0005-0000-0000-00008B9E0000}"/>
    <cellStyle name="Normal 4 7 4 4 4" xfId="18571" xr:uid="{00000000-0005-0000-0000-00008C9E0000}"/>
    <cellStyle name="Normal 4 7 4 5" xfId="44240" xr:uid="{00000000-0005-0000-0000-00008D9E0000}"/>
    <cellStyle name="Normal 4 7 4 6" xfId="28140" xr:uid="{00000000-0005-0000-0000-00008E9E0000}"/>
    <cellStyle name="Normal 4 7 4 7" xfId="15076" xr:uid="{00000000-0005-0000-0000-00008F9E0000}"/>
    <cellStyle name="Normal 4 7 5" xfId="1219" xr:uid="{00000000-0005-0000-0000-0000909E0000}"/>
    <cellStyle name="Normal 4 7 5 2" xfId="7753" xr:uid="{00000000-0005-0000-0000-0000919E0000}"/>
    <cellStyle name="Normal 4 7 5 2 2" xfId="39494" xr:uid="{00000000-0005-0000-0000-0000929E0000}"/>
    <cellStyle name="Normal 4 7 5 2 2 2" xfId="55594" xr:uid="{00000000-0005-0000-0000-0000939E0000}"/>
    <cellStyle name="Normal 4 7 5 2 3" xfId="46027" xr:uid="{00000000-0005-0000-0000-0000949E0000}"/>
    <cellStyle name="Normal 4 7 5 2 4" xfId="29927" xr:uid="{00000000-0005-0000-0000-0000959E0000}"/>
    <cellStyle name="Normal 4 7 5 2 5" xfId="20358" xr:uid="{00000000-0005-0000-0000-0000969E0000}"/>
    <cellStyle name="Normal 4 7 5 3" xfId="10789" xr:uid="{00000000-0005-0000-0000-0000979E0000}"/>
    <cellStyle name="Normal 4 7 5 3 2" xfId="49063" xr:uid="{00000000-0005-0000-0000-0000989E0000}"/>
    <cellStyle name="Normal 4 7 5 3 3" xfId="32963" xr:uid="{00000000-0005-0000-0000-0000999E0000}"/>
    <cellStyle name="Normal 4 7 5 3 4" xfId="23394" xr:uid="{00000000-0005-0000-0000-00009A9E0000}"/>
    <cellStyle name="Normal 4 7 5 4" xfId="4717" xr:uid="{00000000-0005-0000-0000-00009B9E0000}"/>
    <cellStyle name="Normal 4 7 5 4 2" xfId="52558" xr:uid="{00000000-0005-0000-0000-00009C9E0000}"/>
    <cellStyle name="Normal 4 7 5 4 3" xfId="36458" xr:uid="{00000000-0005-0000-0000-00009D9E0000}"/>
    <cellStyle name="Normal 4 7 5 4 4" xfId="17322" xr:uid="{00000000-0005-0000-0000-00009E9E0000}"/>
    <cellStyle name="Normal 4 7 5 5" xfId="42991" xr:uid="{00000000-0005-0000-0000-00009F9E0000}"/>
    <cellStyle name="Normal 4 7 5 6" xfId="26891" xr:uid="{00000000-0005-0000-0000-0000A09E0000}"/>
    <cellStyle name="Normal 4 7 5 7" xfId="13827" xr:uid="{00000000-0005-0000-0000-0000A19E0000}"/>
    <cellStyle name="Normal 4 7 6" xfId="3707" xr:uid="{00000000-0005-0000-0000-0000A29E0000}"/>
    <cellStyle name="Normal 4 7 6 2" xfId="35448" xr:uid="{00000000-0005-0000-0000-0000A39E0000}"/>
    <cellStyle name="Normal 4 7 6 2 2" xfId="51548" xr:uid="{00000000-0005-0000-0000-0000A49E0000}"/>
    <cellStyle name="Normal 4 7 6 3" xfId="41981" xr:uid="{00000000-0005-0000-0000-0000A59E0000}"/>
    <cellStyle name="Normal 4 7 6 4" xfId="25881" xr:uid="{00000000-0005-0000-0000-0000A69E0000}"/>
    <cellStyle name="Normal 4 7 6 5" xfId="16312" xr:uid="{00000000-0005-0000-0000-0000A79E0000}"/>
    <cellStyle name="Normal 4 7 7" xfId="6743" xr:uid="{00000000-0005-0000-0000-0000A89E0000}"/>
    <cellStyle name="Normal 4 7 7 2" xfId="38484" xr:uid="{00000000-0005-0000-0000-0000A99E0000}"/>
    <cellStyle name="Normal 4 7 7 2 2" xfId="54584" xr:uid="{00000000-0005-0000-0000-0000AA9E0000}"/>
    <cellStyle name="Normal 4 7 7 3" xfId="45017" xr:uid="{00000000-0005-0000-0000-0000AB9E0000}"/>
    <cellStyle name="Normal 4 7 7 4" xfId="28917" xr:uid="{00000000-0005-0000-0000-0000AC9E0000}"/>
    <cellStyle name="Normal 4 7 7 5" xfId="19348" xr:uid="{00000000-0005-0000-0000-0000AD9E0000}"/>
    <cellStyle name="Normal 4 7 8" xfId="9779" xr:uid="{00000000-0005-0000-0000-0000AE9E0000}"/>
    <cellStyle name="Normal 4 7 8 2" xfId="48053" xr:uid="{00000000-0005-0000-0000-0000AF9E0000}"/>
    <cellStyle name="Normal 4 7 8 3" xfId="31953" xr:uid="{00000000-0005-0000-0000-0000B09E0000}"/>
    <cellStyle name="Normal 4 7 8 4" xfId="22384" xr:uid="{00000000-0005-0000-0000-0000B19E0000}"/>
    <cellStyle name="Normal 4 7 9" xfId="3247" xr:uid="{00000000-0005-0000-0000-0000B29E0000}"/>
    <cellStyle name="Normal 4 7 9 2" xfId="51089" xr:uid="{00000000-0005-0000-0000-0000B39E0000}"/>
    <cellStyle name="Normal 4 7 9 3" xfId="34989" xr:uid="{00000000-0005-0000-0000-0000B49E0000}"/>
    <cellStyle name="Normal 4 7 9 4" xfId="15853" xr:uid="{00000000-0005-0000-0000-0000B59E0000}"/>
    <cellStyle name="Normal 4 8" xfId="456" xr:uid="{00000000-0005-0000-0000-0000B69E0000}"/>
    <cellStyle name="Normal 4 8 10" xfId="41539" xr:uid="{00000000-0005-0000-0000-0000B79E0000}"/>
    <cellStyle name="Normal 4 8 11" xfId="25439" xr:uid="{00000000-0005-0000-0000-0000B89E0000}"/>
    <cellStyle name="Normal 4 8 12" xfId="12834" xr:uid="{00000000-0005-0000-0000-0000B99E0000}"/>
    <cellStyle name="Normal 4 8 2" xfId="909" xr:uid="{00000000-0005-0000-0000-0000BA9E0000}"/>
    <cellStyle name="Normal 4 8 2 10" xfId="13517" xr:uid="{00000000-0005-0000-0000-0000BB9E0000}"/>
    <cellStyle name="Normal 4 8 2 2" xfId="2937" xr:uid="{00000000-0005-0000-0000-0000BC9E0000}"/>
    <cellStyle name="Normal 4 8 2 2 2" xfId="9469" xr:uid="{00000000-0005-0000-0000-0000BD9E0000}"/>
    <cellStyle name="Normal 4 8 2 2 2 2" xfId="41210" xr:uid="{00000000-0005-0000-0000-0000BE9E0000}"/>
    <cellStyle name="Normal 4 8 2 2 2 2 2" xfId="57310" xr:uid="{00000000-0005-0000-0000-0000BF9E0000}"/>
    <cellStyle name="Normal 4 8 2 2 2 3" xfId="47743" xr:uid="{00000000-0005-0000-0000-0000C09E0000}"/>
    <cellStyle name="Normal 4 8 2 2 2 4" xfId="31643" xr:uid="{00000000-0005-0000-0000-0000C19E0000}"/>
    <cellStyle name="Normal 4 8 2 2 2 5" xfId="22074" xr:uid="{00000000-0005-0000-0000-0000C29E0000}"/>
    <cellStyle name="Normal 4 8 2 2 3" xfId="12505" xr:uid="{00000000-0005-0000-0000-0000C39E0000}"/>
    <cellStyle name="Normal 4 8 2 2 3 2" xfId="50779" xr:uid="{00000000-0005-0000-0000-0000C49E0000}"/>
    <cellStyle name="Normal 4 8 2 2 3 3" xfId="34679" xr:uid="{00000000-0005-0000-0000-0000C59E0000}"/>
    <cellStyle name="Normal 4 8 2 2 3 4" xfId="25110" xr:uid="{00000000-0005-0000-0000-0000C69E0000}"/>
    <cellStyle name="Normal 4 8 2 2 4" xfId="6433" xr:uid="{00000000-0005-0000-0000-0000C79E0000}"/>
    <cellStyle name="Normal 4 8 2 2 4 2" xfId="54274" xr:uid="{00000000-0005-0000-0000-0000C89E0000}"/>
    <cellStyle name="Normal 4 8 2 2 4 3" xfId="38174" xr:uid="{00000000-0005-0000-0000-0000C99E0000}"/>
    <cellStyle name="Normal 4 8 2 2 4 4" xfId="19038" xr:uid="{00000000-0005-0000-0000-0000CA9E0000}"/>
    <cellStyle name="Normal 4 8 2 2 5" xfId="44707" xr:uid="{00000000-0005-0000-0000-0000CB9E0000}"/>
    <cellStyle name="Normal 4 8 2 2 6" xfId="28607" xr:uid="{00000000-0005-0000-0000-0000CC9E0000}"/>
    <cellStyle name="Normal 4 8 2 2 7" xfId="15543" xr:uid="{00000000-0005-0000-0000-0000CD9E0000}"/>
    <cellStyle name="Normal 4 8 2 3" xfId="1919" xr:uid="{00000000-0005-0000-0000-0000CE9E0000}"/>
    <cellStyle name="Normal 4 8 2 3 2" xfId="8453" xr:uid="{00000000-0005-0000-0000-0000CF9E0000}"/>
    <cellStyle name="Normal 4 8 2 3 2 2" xfId="40194" xr:uid="{00000000-0005-0000-0000-0000D09E0000}"/>
    <cellStyle name="Normal 4 8 2 3 2 2 2" xfId="56294" xr:uid="{00000000-0005-0000-0000-0000D19E0000}"/>
    <cellStyle name="Normal 4 8 2 3 2 3" xfId="46727" xr:uid="{00000000-0005-0000-0000-0000D29E0000}"/>
    <cellStyle name="Normal 4 8 2 3 2 4" xfId="30627" xr:uid="{00000000-0005-0000-0000-0000D39E0000}"/>
    <cellStyle name="Normal 4 8 2 3 2 5" xfId="21058" xr:uid="{00000000-0005-0000-0000-0000D49E0000}"/>
    <cellStyle name="Normal 4 8 2 3 3" xfId="11489" xr:uid="{00000000-0005-0000-0000-0000D59E0000}"/>
    <cellStyle name="Normal 4 8 2 3 3 2" xfId="49763" xr:uid="{00000000-0005-0000-0000-0000D69E0000}"/>
    <cellStyle name="Normal 4 8 2 3 3 3" xfId="33663" xr:uid="{00000000-0005-0000-0000-0000D79E0000}"/>
    <cellStyle name="Normal 4 8 2 3 3 4" xfId="24094" xr:uid="{00000000-0005-0000-0000-0000D89E0000}"/>
    <cellStyle name="Normal 4 8 2 3 4" xfId="5417" xr:uid="{00000000-0005-0000-0000-0000D99E0000}"/>
    <cellStyle name="Normal 4 8 2 3 4 2" xfId="53258" xr:uid="{00000000-0005-0000-0000-0000DA9E0000}"/>
    <cellStyle name="Normal 4 8 2 3 4 3" xfId="37158" xr:uid="{00000000-0005-0000-0000-0000DB9E0000}"/>
    <cellStyle name="Normal 4 8 2 3 4 4" xfId="18022" xr:uid="{00000000-0005-0000-0000-0000DC9E0000}"/>
    <cellStyle name="Normal 4 8 2 3 5" xfId="43691" xr:uid="{00000000-0005-0000-0000-0000DD9E0000}"/>
    <cellStyle name="Normal 4 8 2 3 6" xfId="27591" xr:uid="{00000000-0005-0000-0000-0000DE9E0000}"/>
    <cellStyle name="Normal 4 8 2 3 7" xfId="14527" xr:uid="{00000000-0005-0000-0000-0000DF9E0000}"/>
    <cellStyle name="Normal 4 8 2 4" xfId="4407" xr:uid="{00000000-0005-0000-0000-0000E09E0000}"/>
    <cellStyle name="Normal 4 8 2 4 2" xfId="36148" xr:uid="{00000000-0005-0000-0000-0000E19E0000}"/>
    <cellStyle name="Normal 4 8 2 4 2 2" xfId="52248" xr:uid="{00000000-0005-0000-0000-0000E29E0000}"/>
    <cellStyle name="Normal 4 8 2 4 3" xfId="42681" xr:uid="{00000000-0005-0000-0000-0000E39E0000}"/>
    <cellStyle name="Normal 4 8 2 4 4" xfId="26581" xr:uid="{00000000-0005-0000-0000-0000E49E0000}"/>
    <cellStyle name="Normal 4 8 2 4 5" xfId="17012" xr:uid="{00000000-0005-0000-0000-0000E59E0000}"/>
    <cellStyle name="Normal 4 8 2 5" xfId="7443" xr:uid="{00000000-0005-0000-0000-0000E69E0000}"/>
    <cellStyle name="Normal 4 8 2 5 2" xfId="39184" xr:uid="{00000000-0005-0000-0000-0000E79E0000}"/>
    <cellStyle name="Normal 4 8 2 5 2 2" xfId="55284" xr:uid="{00000000-0005-0000-0000-0000E89E0000}"/>
    <cellStyle name="Normal 4 8 2 5 3" xfId="45717" xr:uid="{00000000-0005-0000-0000-0000E99E0000}"/>
    <cellStyle name="Normal 4 8 2 5 4" xfId="29617" xr:uid="{00000000-0005-0000-0000-0000EA9E0000}"/>
    <cellStyle name="Normal 4 8 2 5 5" xfId="20048" xr:uid="{00000000-0005-0000-0000-0000EB9E0000}"/>
    <cellStyle name="Normal 4 8 2 6" xfId="10479" xr:uid="{00000000-0005-0000-0000-0000EC9E0000}"/>
    <cellStyle name="Normal 4 8 2 6 2" xfId="48753" xr:uid="{00000000-0005-0000-0000-0000ED9E0000}"/>
    <cellStyle name="Normal 4 8 2 6 3" xfId="32653" xr:uid="{00000000-0005-0000-0000-0000EE9E0000}"/>
    <cellStyle name="Normal 4 8 2 6 4" xfId="23084" xr:uid="{00000000-0005-0000-0000-0000EF9E0000}"/>
    <cellStyle name="Normal 4 8 2 7" xfId="3502" xr:uid="{00000000-0005-0000-0000-0000F09E0000}"/>
    <cellStyle name="Normal 4 8 2 7 2" xfId="51343" xr:uid="{00000000-0005-0000-0000-0000F19E0000}"/>
    <cellStyle name="Normal 4 8 2 7 3" xfId="35243" xr:uid="{00000000-0005-0000-0000-0000F29E0000}"/>
    <cellStyle name="Normal 4 8 2 7 4" xfId="16107" xr:uid="{00000000-0005-0000-0000-0000F39E0000}"/>
    <cellStyle name="Normal 4 8 2 8" xfId="41776" xr:uid="{00000000-0005-0000-0000-0000F49E0000}"/>
    <cellStyle name="Normal 4 8 2 9" xfId="25676" xr:uid="{00000000-0005-0000-0000-0000F59E0000}"/>
    <cellStyle name="Normal 4 8 3" xfId="687" xr:uid="{00000000-0005-0000-0000-0000F69E0000}"/>
    <cellStyle name="Normal 4 8 3 2" xfId="2715" xr:uid="{00000000-0005-0000-0000-0000F79E0000}"/>
    <cellStyle name="Normal 4 8 3 2 2" xfId="9247" xr:uid="{00000000-0005-0000-0000-0000F89E0000}"/>
    <cellStyle name="Normal 4 8 3 2 2 2" xfId="40988" xr:uid="{00000000-0005-0000-0000-0000F99E0000}"/>
    <cellStyle name="Normal 4 8 3 2 2 2 2" xfId="57088" xr:uid="{00000000-0005-0000-0000-0000FA9E0000}"/>
    <cellStyle name="Normal 4 8 3 2 2 3" xfId="47521" xr:uid="{00000000-0005-0000-0000-0000FB9E0000}"/>
    <cellStyle name="Normal 4 8 3 2 2 4" xfId="31421" xr:uid="{00000000-0005-0000-0000-0000FC9E0000}"/>
    <cellStyle name="Normal 4 8 3 2 2 5" xfId="21852" xr:uid="{00000000-0005-0000-0000-0000FD9E0000}"/>
    <cellStyle name="Normal 4 8 3 2 3" xfId="12283" xr:uid="{00000000-0005-0000-0000-0000FE9E0000}"/>
    <cellStyle name="Normal 4 8 3 2 3 2" xfId="50557" xr:uid="{00000000-0005-0000-0000-0000FF9E0000}"/>
    <cellStyle name="Normal 4 8 3 2 3 3" xfId="34457" xr:uid="{00000000-0005-0000-0000-0000009F0000}"/>
    <cellStyle name="Normal 4 8 3 2 3 4" xfId="24888" xr:uid="{00000000-0005-0000-0000-0000019F0000}"/>
    <cellStyle name="Normal 4 8 3 2 4" xfId="6211" xr:uid="{00000000-0005-0000-0000-0000029F0000}"/>
    <cellStyle name="Normal 4 8 3 2 4 2" xfId="54052" xr:uid="{00000000-0005-0000-0000-0000039F0000}"/>
    <cellStyle name="Normal 4 8 3 2 4 3" xfId="37952" xr:uid="{00000000-0005-0000-0000-0000049F0000}"/>
    <cellStyle name="Normal 4 8 3 2 4 4" xfId="18816" xr:uid="{00000000-0005-0000-0000-0000059F0000}"/>
    <cellStyle name="Normal 4 8 3 2 5" xfId="44485" xr:uid="{00000000-0005-0000-0000-0000069F0000}"/>
    <cellStyle name="Normal 4 8 3 2 6" xfId="28385" xr:uid="{00000000-0005-0000-0000-0000079F0000}"/>
    <cellStyle name="Normal 4 8 3 2 7" xfId="15321" xr:uid="{00000000-0005-0000-0000-0000089F0000}"/>
    <cellStyle name="Normal 4 8 3 3" xfId="1697" xr:uid="{00000000-0005-0000-0000-0000099F0000}"/>
    <cellStyle name="Normal 4 8 3 3 2" xfId="8231" xr:uid="{00000000-0005-0000-0000-00000A9F0000}"/>
    <cellStyle name="Normal 4 8 3 3 2 2" xfId="39972" xr:uid="{00000000-0005-0000-0000-00000B9F0000}"/>
    <cellStyle name="Normal 4 8 3 3 2 2 2" xfId="56072" xr:uid="{00000000-0005-0000-0000-00000C9F0000}"/>
    <cellStyle name="Normal 4 8 3 3 2 3" xfId="46505" xr:uid="{00000000-0005-0000-0000-00000D9F0000}"/>
    <cellStyle name="Normal 4 8 3 3 2 4" xfId="30405" xr:uid="{00000000-0005-0000-0000-00000E9F0000}"/>
    <cellStyle name="Normal 4 8 3 3 2 5" xfId="20836" xr:uid="{00000000-0005-0000-0000-00000F9F0000}"/>
    <cellStyle name="Normal 4 8 3 3 3" xfId="11267" xr:uid="{00000000-0005-0000-0000-0000109F0000}"/>
    <cellStyle name="Normal 4 8 3 3 3 2" xfId="49541" xr:uid="{00000000-0005-0000-0000-0000119F0000}"/>
    <cellStyle name="Normal 4 8 3 3 3 3" xfId="33441" xr:uid="{00000000-0005-0000-0000-0000129F0000}"/>
    <cellStyle name="Normal 4 8 3 3 3 4" xfId="23872" xr:uid="{00000000-0005-0000-0000-0000139F0000}"/>
    <cellStyle name="Normal 4 8 3 3 4" xfId="5195" xr:uid="{00000000-0005-0000-0000-0000149F0000}"/>
    <cellStyle name="Normal 4 8 3 3 4 2" xfId="53036" xr:uid="{00000000-0005-0000-0000-0000159F0000}"/>
    <cellStyle name="Normal 4 8 3 3 4 3" xfId="36936" xr:uid="{00000000-0005-0000-0000-0000169F0000}"/>
    <cellStyle name="Normal 4 8 3 3 4 4" xfId="17800" xr:uid="{00000000-0005-0000-0000-0000179F0000}"/>
    <cellStyle name="Normal 4 8 3 3 5" xfId="43469" xr:uid="{00000000-0005-0000-0000-0000189F0000}"/>
    <cellStyle name="Normal 4 8 3 3 6" xfId="27369" xr:uid="{00000000-0005-0000-0000-0000199F0000}"/>
    <cellStyle name="Normal 4 8 3 3 7" xfId="14305" xr:uid="{00000000-0005-0000-0000-00001A9F0000}"/>
    <cellStyle name="Normal 4 8 3 4" xfId="7221" xr:uid="{00000000-0005-0000-0000-00001B9F0000}"/>
    <cellStyle name="Normal 4 8 3 4 2" xfId="38962" xr:uid="{00000000-0005-0000-0000-00001C9F0000}"/>
    <cellStyle name="Normal 4 8 3 4 2 2" xfId="55062" xr:uid="{00000000-0005-0000-0000-00001D9F0000}"/>
    <cellStyle name="Normal 4 8 3 4 3" xfId="45495" xr:uid="{00000000-0005-0000-0000-00001E9F0000}"/>
    <cellStyle name="Normal 4 8 3 4 4" xfId="29395" xr:uid="{00000000-0005-0000-0000-00001F9F0000}"/>
    <cellStyle name="Normal 4 8 3 4 5" xfId="19826" xr:uid="{00000000-0005-0000-0000-0000209F0000}"/>
    <cellStyle name="Normal 4 8 3 5" xfId="10257" xr:uid="{00000000-0005-0000-0000-0000219F0000}"/>
    <cellStyle name="Normal 4 8 3 5 2" xfId="48531" xr:uid="{00000000-0005-0000-0000-0000229F0000}"/>
    <cellStyle name="Normal 4 8 3 5 3" xfId="32431" xr:uid="{00000000-0005-0000-0000-0000239F0000}"/>
    <cellStyle name="Normal 4 8 3 5 4" xfId="22862" xr:uid="{00000000-0005-0000-0000-0000249F0000}"/>
    <cellStyle name="Normal 4 8 3 6" xfId="4185" xr:uid="{00000000-0005-0000-0000-0000259F0000}"/>
    <cellStyle name="Normal 4 8 3 6 2" xfId="52026" xr:uid="{00000000-0005-0000-0000-0000269F0000}"/>
    <cellStyle name="Normal 4 8 3 6 3" xfId="35926" xr:uid="{00000000-0005-0000-0000-0000279F0000}"/>
    <cellStyle name="Normal 4 8 3 6 4" xfId="16790" xr:uid="{00000000-0005-0000-0000-0000289F0000}"/>
    <cellStyle name="Normal 4 8 3 7" xfId="42459" xr:uid="{00000000-0005-0000-0000-0000299F0000}"/>
    <cellStyle name="Normal 4 8 3 8" xfId="26359" xr:uid="{00000000-0005-0000-0000-00002A9F0000}"/>
    <cellStyle name="Normal 4 8 3 9" xfId="13295" xr:uid="{00000000-0005-0000-0000-00002B9F0000}"/>
    <cellStyle name="Normal 4 8 4" xfId="2487" xr:uid="{00000000-0005-0000-0000-00002C9F0000}"/>
    <cellStyle name="Normal 4 8 4 2" xfId="9019" xr:uid="{00000000-0005-0000-0000-00002D9F0000}"/>
    <cellStyle name="Normal 4 8 4 2 2" xfId="40760" xr:uid="{00000000-0005-0000-0000-00002E9F0000}"/>
    <cellStyle name="Normal 4 8 4 2 2 2" xfId="56860" xr:uid="{00000000-0005-0000-0000-00002F9F0000}"/>
    <cellStyle name="Normal 4 8 4 2 3" xfId="47293" xr:uid="{00000000-0005-0000-0000-0000309F0000}"/>
    <cellStyle name="Normal 4 8 4 2 4" xfId="31193" xr:uid="{00000000-0005-0000-0000-0000319F0000}"/>
    <cellStyle name="Normal 4 8 4 2 5" xfId="21624" xr:uid="{00000000-0005-0000-0000-0000329F0000}"/>
    <cellStyle name="Normal 4 8 4 3" xfId="12055" xr:uid="{00000000-0005-0000-0000-0000339F0000}"/>
    <cellStyle name="Normal 4 8 4 3 2" xfId="50329" xr:uid="{00000000-0005-0000-0000-0000349F0000}"/>
    <cellStyle name="Normal 4 8 4 3 3" xfId="34229" xr:uid="{00000000-0005-0000-0000-0000359F0000}"/>
    <cellStyle name="Normal 4 8 4 3 4" xfId="24660" xr:uid="{00000000-0005-0000-0000-0000369F0000}"/>
    <cellStyle name="Normal 4 8 4 4" xfId="5983" xr:uid="{00000000-0005-0000-0000-0000379F0000}"/>
    <cellStyle name="Normal 4 8 4 4 2" xfId="53824" xr:uid="{00000000-0005-0000-0000-0000389F0000}"/>
    <cellStyle name="Normal 4 8 4 4 3" xfId="37724" xr:uid="{00000000-0005-0000-0000-0000399F0000}"/>
    <cellStyle name="Normal 4 8 4 4 4" xfId="18588" xr:uid="{00000000-0005-0000-0000-00003A9F0000}"/>
    <cellStyle name="Normal 4 8 4 5" xfId="44257" xr:uid="{00000000-0005-0000-0000-00003B9F0000}"/>
    <cellStyle name="Normal 4 8 4 6" xfId="28157" xr:uid="{00000000-0005-0000-0000-00003C9F0000}"/>
    <cellStyle name="Normal 4 8 4 7" xfId="15093" xr:uid="{00000000-0005-0000-0000-00003D9F0000}"/>
    <cellStyle name="Normal 4 8 5" xfId="1236" xr:uid="{00000000-0005-0000-0000-00003E9F0000}"/>
    <cellStyle name="Normal 4 8 5 2" xfId="7770" xr:uid="{00000000-0005-0000-0000-00003F9F0000}"/>
    <cellStyle name="Normal 4 8 5 2 2" xfId="39511" xr:uid="{00000000-0005-0000-0000-0000409F0000}"/>
    <cellStyle name="Normal 4 8 5 2 2 2" xfId="55611" xr:uid="{00000000-0005-0000-0000-0000419F0000}"/>
    <cellStyle name="Normal 4 8 5 2 3" xfId="46044" xr:uid="{00000000-0005-0000-0000-0000429F0000}"/>
    <cellStyle name="Normal 4 8 5 2 4" xfId="29944" xr:uid="{00000000-0005-0000-0000-0000439F0000}"/>
    <cellStyle name="Normal 4 8 5 2 5" xfId="20375" xr:uid="{00000000-0005-0000-0000-0000449F0000}"/>
    <cellStyle name="Normal 4 8 5 3" xfId="10806" xr:uid="{00000000-0005-0000-0000-0000459F0000}"/>
    <cellStyle name="Normal 4 8 5 3 2" xfId="49080" xr:uid="{00000000-0005-0000-0000-0000469F0000}"/>
    <cellStyle name="Normal 4 8 5 3 3" xfId="32980" xr:uid="{00000000-0005-0000-0000-0000479F0000}"/>
    <cellStyle name="Normal 4 8 5 3 4" xfId="23411" xr:uid="{00000000-0005-0000-0000-0000489F0000}"/>
    <cellStyle name="Normal 4 8 5 4" xfId="4734" xr:uid="{00000000-0005-0000-0000-0000499F0000}"/>
    <cellStyle name="Normal 4 8 5 4 2" xfId="52575" xr:uid="{00000000-0005-0000-0000-00004A9F0000}"/>
    <cellStyle name="Normal 4 8 5 4 3" xfId="36475" xr:uid="{00000000-0005-0000-0000-00004B9F0000}"/>
    <cellStyle name="Normal 4 8 5 4 4" xfId="17339" xr:uid="{00000000-0005-0000-0000-00004C9F0000}"/>
    <cellStyle name="Normal 4 8 5 5" xfId="43008" xr:uid="{00000000-0005-0000-0000-00004D9F0000}"/>
    <cellStyle name="Normal 4 8 5 6" xfId="26908" xr:uid="{00000000-0005-0000-0000-00004E9F0000}"/>
    <cellStyle name="Normal 4 8 5 7" xfId="13844" xr:uid="{00000000-0005-0000-0000-00004F9F0000}"/>
    <cellStyle name="Normal 4 8 6" xfId="3724" xr:uid="{00000000-0005-0000-0000-0000509F0000}"/>
    <cellStyle name="Normal 4 8 6 2" xfId="35465" xr:uid="{00000000-0005-0000-0000-0000519F0000}"/>
    <cellStyle name="Normal 4 8 6 2 2" xfId="51565" xr:uid="{00000000-0005-0000-0000-0000529F0000}"/>
    <cellStyle name="Normal 4 8 6 3" xfId="41998" xr:uid="{00000000-0005-0000-0000-0000539F0000}"/>
    <cellStyle name="Normal 4 8 6 4" xfId="25898" xr:uid="{00000000-0005-0000-0000-0000549F0000}"/>
    <cellStyle name="Normal 4 8 6 5" xfId="16329" xr:uid="{00000000-0005-0000-0000-0000559F0000}"/>
    <cellStyle name="Normal 4 8 7" xfId="6760" xr:uid="{00000000-0005-0000-0000-0000569F0000}"/>
    <cellStyle name="Normal 4 8 7 2" xfId="38501" xr:uid="{00000000-0005-0000-0000-0000579F0000}"/>
    <cellStyle name="Normal 4 8 7 2 2" xfId="54601" xr:uid="{00000000-0005-0000-0000-0000589F0000}"/>
    <cellStyle name="Normal 4 8 7 3" xfId="45034" xr:uid="{00000000-0005-0000-0000-0000599F0000}"/>
    <cellStyle name="Normal 4 8 7 4" xfId="28934" xr:uid="{00000000-0005-0000-0000-00005A9F0000}"/>
    <cellStyle name="Normal 4 8 7 5" xfId="19365" xr:uid="{00000000-0005-0000-0000-00005B9F0000}"/>
    <cellStyle name="Normal 4 8 8" xfId="9796" xr:uid="{00000000-0005-0000-0000-00005C9F0000}"/>
    <cellStyle name="Normal 4 8 8 2" xfId="48070" xr:uid="{00000000-0005-0000-0000-00005D9F0000}"/>
    <cellStyle name="Normal 4 8 8 3" xfId="31970" xr:uid="{00000000-0005-0000-0000-00005E9F0000}"/>
    <cellStyle name="Normal 4 8 8 4" xfId="22401" xr:uid="{00000000-0005-0000-0000-00005F9F0000}"/>
    <cellStyle name="Normal 4 8 9" xfId="3264" xr:uid="{00000000-0005-0000-0000-0000609F0000}"/>
    <cellStyle name="Normal 4 8 9 2" xfId="51106" xr:uid="{00000000-0005-0000-0000-0000619F0000}"/>
    <cellStyle name="Normal 4 8 9 3" xfId="35006" xr:uid="{00000000-0005-0000-0000-0000629F0000}"/>
    <cellStyle name="Normal 4 8 9 4" xfId="15870" xr:uid="{00000000-0005-0000-0000-0000639F0000}"/>
    <cellStyle name="Normal 4 9" xfId="473" xr:uid="{00000000-0005-0000-0000-0000649F0000}"/>
    <cellStyle name="Normal 4 9 10" xfId="41556" xr:uid="{00000000-0005-0000-0000-0000659F0000}"/>
    <cellStyle name="Normal 4 9 11" xfId="25456" xr:uid="{00000000-0005-0000-0000-0000669F0000}"/>
    <cellStyle name="Normal 4 9 12" xfId="12851" xr:uid="{00000000-0005-0000-0000-0000679F0000}"/>
    <cellStyle name="Normal 4 9 2" xfId="926" xr:uid="{00000000-0005-0000-0000-0000689F0000}"/>
    <cellStyle name="Normal 4 9 2 10" xfId="13534" xr:uid="{00000000-0005-0000-0000-0000699F0000}"/>
    <cellStyle name="Normal 4 9 2 2" xfId="2954" xr:uid="{00000000-0005-0000-0000-00006A9F0000}"/>
    <cellStyle name="Normal 4 9 2 2 2" xfId="9486" xr:uid="{00000000-0005-0000-0000-00006B9F0000}"/>
    <cellStyle name="Normal 4 9 2 2 2 2" xfId="41227" xr:uid="{00000000-0005-0000-0000-00006C9F0000}"/>
    <cellStyle name="Normal 4 9 2 2 2 2 2" xfId="57327" xr:uid="{00000000-0005-0000-0000-00006D9F0000}"/>
    <cellStyle name="Normal 4 9 2 2 2 3" xfId="47760" xr:uid="{00000000-0005-0000-0000-00006E9F0000}"/>
    <cellStyle name="Normal 4 9 2 2 2 4" xfId="31660" xr:uid="{00000000-0005-0000-0000-00006F9F0000}"/>
    <cellStyle name="Normal 4 9 2 2 2 5" xfId="22091" xr:uid="{00000000-0005-0000-0000-0000709F0000}"/>
    <cellStyle name="Normal 4 9 2 2 3" xfId="12522" xr:uid="{00000000-0005-0000-0000-0000719F0000}"/>
    <cellStyle name="Normal 4 9 2 2 3 2" xfId="50796" xr:uid="{00000000-0005-0000-0000-0000729F0000}"/>
    <cellStyle name="Normal 4 9 2 2 3 3" xfId="34696" xr:uid="{00000000-0005-0000-0000-0000739F0000}"/>
    <cellStyle name="Normal 4 9 2 2 3 4" xfId="25127" xr:uid="{00000000-0005-0000-0000-0000749F0000}"/>
    <cellStyle name="Normal 4 9 2 2 4" xfId="6450" xr:uid="{00000000-0005-0000-0000-0000759F0000}"/>
    <cellStyle name="Normal 4 9 2 2 4 2" xfId="54291" xr:uid="{00000000-0005-0000-0000-0000769F0000}"/>
    <cellStyle name="Normal 4 9 2 2 4 3" xfId="38191" xr:uid="{00000000-0005-0000-0000-0000779F0000}"/>
    <cellStyle name="Normal 4 9 2 2 4 4" xfId="19055" xr:uid="{00000000-0005-0000-0000-0000789F0000}"/>
    <cellStyle name="Normal 4 9 2 2 5" xfId="44724" xr:uid="{00000000-0005-0000-0000-0000799F0000}"/>
    <cellStyle name="Normal 4 9 2 2 6" xfId="28624" xr:uid="{00000000-0005-0000-0000-00007A9F0000}"/>
    <cellStyle name="Normal 4 9 2 2 7" xfId="15560" xr:uid="{00000000-0005-0000-0000-00007B9F0000}"/>
    <cellStyle name="Normal 4 9 2 3" xfId="1936" xr:uid="{00000000-0005-0000-0000-00007C9F0000}"/>
    <cellStyle name="Normal 4 9 2 3 2" xfId="8470" xr:uid="{00000000-0005-0000-0000-00007D9F0000}"/>
    <cellStyle name="Normal 4 9 2 3 2 2" xfId="40211" xr:uid="{00000000-0005-0000-0000-00007E9F0000}"/>
    <cellStyle name="Normal 4 9 2 3 2 2 2" xfId="56311" xr:uid="{00000000-0005-0000-0000-00007F9F0000}"/>
    <cellStyle name="Normal 4 9 2 3 2 3" xfId="46744" xr:uid="{00000000-0005-0000-0000-0000809F0000}"/>
    <cellStyle name="Normal 4 9 2 3 2 4" xfId="30644" xr:uid="{00000000-0005-0000-0000-0000819F0000}"/>
    <cellStyle name="Normal 4 9 2 3 2 5" xfId="21075" xr:uid="{00000000-0005-0000-0000-0000829F0000}"/>
    <cellStyle name="Normal 4 9 2 3 3" xfId="11506" xr:uid="{00000000-0005-0000-0000-0000839F0000}"/>
    <cellStyle name="Normal 4 9 2 3 3 2" xfId="49780" xr:uid="{00000000-0005-0000-0000-0000849F0000}"/>
    <cellStyle name="Normal 4 9 2 3 3 3" xfId="33680" xr:uid="{00000000-0005-0000-0000-0000859F0000}"/>
    <cellStyle name="Normal 4 9 2 3 3 4" xfId="24111" xr:uid="{00000000-0005-0000-0000-0000869F0000}"/>
    <cellStyle name="Normal 4 9 2 3 4" xfId="5434" xr:uid="{00000000-0005-0000-0000-0000879F0000}"/>
    <cellStyle name="Normal 4 9 2 3 4 2" xfId="53275" xr:uid="{00000000-0005-0000-0000-0000889F0000}"/>
    <cellStyle name="Normal 4 9 2 3 4 3" xfId="37175" xr:uid="{00000000-0005-0000-0000-0000899F0000}"/>
    <cellStyle name="Normal 4 9 2 3 4 4" xfId="18039" xr:uid="{00000000-0005-0000-0000-00008A9F0000}"/>
    <cellStyle name="Normal 4 9 2 3 5" xfId="43708" xr:uid="{00000000-0005-0000-0000-00008B9F0000}"/>
    <cellStyle name="Normal 4 9 2 3 6" xfId="27608" xr:uid="{00000000-0005-0000-0000-00008C9F0000}"/>
    <cellStyle name="Normal 4 9 2 3 7" xfId="14544" xr:uid="{00000000-0005-0000-0000-00008D9F0000}"/>
    <cellStyle name="Normal 4 9 2 4" xfId="4424" xr:uid="{00000000-0005-0000-0000-00008E9F0000}"/>
    <cellStyle name="Normal 4 9 2 4 2" xfId="36165" xr:uid="{00000000-0005-0000-0000-00008F9F0000}"/>
    <cellStyle name="Normal 4 9 2 4 2 2" xfId="52265" xr:uid="{00000000-0005-0000-0000-0000909F0000}"/>
    <cellStyle name="Normal 4 9 2 4 3" xfId="42698" xr:uid="{00000000-0005-0000-0000-0000919F0000}"/>
    <cellStyle name="Normal 4 9 2 4 4" xfId="26598" xr:uid="{00000000-0005-0000-0000-0000929F0000}"/>
    <cellStyle name="Normal 4 9 2 4 5" xfId="17029" xr:uid="{00000000-0005-0000-0000-0000939F0000}"/>
    <cellStyle name="Normal 4 9 2 5" xfId="7460" xr:uid="{00000000-0005-0000-0000-0000949F0000}"/>
    <cellStyle name="Normal 4 9 2 5 2" xfId="39201" xr:uid="{00000000-0005-0000-0000-0000959F0000}"/>
    <cellStyle name="Normal 4 9 2 5 2 2" xfId="55301" xr:uid="{00000000-0005-0000-0000-0000969F0000}"/>
    <cellStyle name="Normal 4 9 2 5 3" xfId="45734" xr:uid="{00000000-0005-0000-0000-0000979F0000}"/>
    <cellStyle name="Normal 4 9 2 5 4" xfId="29634" xr:uid="{00000000-0005-0000-0000-0000989F0000}"/>
    <cellStyle name="Normal 4 9 2 5 5" xfId="20065" xr:uid="{00000000-0005-0000-0000-0000999F0000}"/>
    <cellStyle name="Normal 4 9 2 6" xfId="10496" xr:uid="{00000000-0005-0000-0000-00009A9F0000}"/>
    <cellStyle name="Normal 4 9 2 6 2" xfId="48770" xr:uid="{00000000-0005-0000-0000-00009B9F0000}"/>
    <cellStyle name="Normal 4 9 2 6 3" xfId="32670" xr:uid="{00000000-0005-0000-0000-00009C9F0000}"/>
    <cellStyle name="Normal 4 9 2 6 4" xfId="23101" xr:uid="{00000000-0005-0000-0000-00009D9F0000}"/>
    <cellStyle name="Normal 4 9 2 7" xfId="3519" xr:uid="{00000000-0005-0000-0000-00009E9F0000}"/>
    <cellStyle name="Normal 4 9 2 7 2" xfId="51360" xr:uid="{00000000-0005-0000-0000-00009F9F0000}"/>
    <cellStyle name="Normal 4 9 2 7 3" xfId="35260" xr:uid="{00000000-0005-0000-0000-0000A09F0000}"/>
    <cellStyle name="Normal 4 9 2 7 4" xfId="16124" xr:uid="{00000000-0005-0000-0000-0000A19F0000}"/>
    <cellStyle name="Normal 4 9 2 8" xfId="41793" xr:uid="{00000000-0005-0000-0000-0000A29F0000}"/>
    <cellStyle name="Normal 4 9 2 9" xfId="25693" xr:uid="{00000000-0005-0000-0000-0000A39F0000}"/>
    <cellStyle name="Normal 4 9 3" xfId="704" xr:uid="{00000000-0005-0000-0000-0000A49F0000}"/>
    <cellStyle name="Normal 4 9 3 2" xfId="2732" xr:uid="{00000000-0005-0000-0000-0000A59F0000}"/>
    <cellStyle name="Normal 4 9 3 2 2" xfId="9264" xr:uid="{00000000-0005-0000-0000-0000A69F0000}"/>
    <cellStyle name="Normal 4 9 3 2 2 2" xfId="41005" xr:uid="{00000000-0005-0000-0000-0000A79F0000}"/>
    <cellStyle name="Normal 4 9 3 2 2 2 2" xfId="57105" xr:uid="{00000000-0005-0000-0000-0000A89F0000}"/>
    <cellStyle name="Normal 4 9 3 2 2 3" xfId="47538" xr:uid="{00000000-0005-0000-0000-0000A99F0000}"/>
    <cellStyle name="Normal 4 9 3 2 2 4" xfId="31438" xr:uid="{00000000-0005-0000-0000-0000AA9F0000}"/>
    <cellStyle name="Normal 4 9 3 2 2 5" xfId="21869" xr:uid="{00000000-0005-0000-0000-0000AB9F0000}"/>
    <cellStyle name="Normal 4 9 3 2 3" xfId="12300" xr:uid="{00000000-0005-0000-0000-0000AC9F0000}"/>
    <cellStyle name="Normal 4 9 3 2 3 2" xfId="50574" xr:uid="{00000000-0005-0000-0000-0000AD9F0000}"/>
    <cellStyle name="Normal 4 9 3 2 3 3" xfId="34474" xr:uid="{00000000-0005-0000-0000-0000AE9F0000}"/>
    <cellStyle name="Normal 4 9 3 2 3 4" xfId="24905" xr:uid="{00000000-0005-0000-0000-0000AF9F0000}"/>
    <cellStyle name="Normal 4 9 3 2 4" xfId="6228" xr:uid="{00000000-0005-0000-0000-0000B09F0000}"/>
    <cellStyle name="Normal 4 9 3 2 4 2" xfId="54069" xr:uid="{00000000-0005-0000-0000-0000B19F0000}"/>
    <cellStyle name="Normal 4 9 3 2 4 3" xfId="37969" xr:uid="{00000000-0005-0000-0000-0000B29F0000}"/>
    <cellStyle name="Normal 4 9 3 2 4 4" xfId="18833" xr:uid="{00000000-0005-0000-0000-0000B39F0000}"/>
    <cellStyle name="Normal 4 9 3 2 5" xfId="44502" xr:uid="{00000000-0005-0000-0000-0000B49F0000}"/>
    <cellStyle name="Normal 4 9 3 2 6" xfId="28402" xr:uid="{00000000-0005-0000-0000-0000B59F0000}"/>
    <cellStyle name="Normal 4 9 3 2 7" xfId="15338" xr:uid="{00000000-0005-0000-0000-0000B69F0000}"/>
    <cellStyle name="Normal 4 9 3 3" xfId="1714" xr:uid="{00000000-0005-0000-0000-0000B79F0000}"/>
    <cellStyle name="Normal 4 9 3 3 2" xfId="8248" xr:uid="{00000000-0005-0000-0000-0000B89F0000}"/>
    <cellStyle name="Normal 4 9 3 3 2 2" xfId="39989" xr:uid="{00000000-0005-0000-0000-0000B99F0000}"/>
    <cellStyle name="Normal 4 9 3 3 2 2 2" xfId="56089" xr:uid="{00000000-0005-0000-0000-0000BA9F0000}"/>
    <cellStyle name="Normal 4 9 3 3 2 3" xfId="46522" xr:uid="{00000000-0005-0000-0000-0000BB9F0000}"/>
    <cellStyle name="Normal 4 9 3 3 2 4" xfId="30422" xr:uid="{00000000-0005-0000-0000-0000BC9F0000}"/>
    <cellStyle name="Normal 4 9 3 3 2 5" xfId="20853" xr:uid="{00000000-0005-0000-0000-0000BD9F0000}"/>
    <cellStyle name="Normal 4 9 3 3 3" xfId="11284" xr:uid="{00000000-0005-0000-0000-0000BE9F0000}"/>
    <cellStyle name="Normal 4 9 3 3 3 2" xfId="49558" xr:uid="{00000000-0005-0000-0000-0000BF9F0000}"/>
    <cellStyle name="Normal 4 9 3 3 3 3" xfId="33458" xr:uid="{00000000-0005-0000-0000-0000C09F0000}"/>
    <cellStyle name="Normal 4 9 3 3 3 4" xfId="23889" xr:uid="{00000000-0005-0000-0000-0000C19F0000}"/>
    <cellStyle name="Normal 4 9 3 3 4" xfId="5212" xr:uid="{00000000-0005-0000-0000-0000C29F0000}"/>
    <cellStyle name="Normal 4 9 3 3 4 2" xfId="53053" xr:uid="{00000000-0005-0000-0000-0000C39F0000}"/>
    <cellStyle name="Normal 4 9 3 3 4 3" xfId="36953" xr:uid="{00000000-0005-0000-0000-0000C49F0000}"/>
    <cellStyle name="Normal 4 9 3 3 4 4" xfId="17817" xr:uid="{00000000-0005-0000-0000-0000C59F0000}"/>
    <cellStyle name="Normal 4 9 3 3 5" xfId="43486" xr:uid="{00000000-0005-0000-0000-0000C69F0000}"/>
    <cellStyle name="Normal 4 9 3 3 6" xfId="27386" xr:uid="{00000000-0005-0000-0000-0000C79F0000}"/>
    <cellStyle name="Normal 4 9 3 3 7" xfId="14322" xr:uid="{00000000-0005-0000-0000-0000C89F0000}"/>
    <cellStyle name="Normal 4 9 3 4" xfId="7238" xr:uid="{00000000-0005-0000-0000-0000C99F0000}"/>
    <cellStyle name="Normal 4 9 3 4 2" xfId="38979" xr:uid="{00000000-0005-0000-0000-0000CA9F0000}"/>
    <cellStyle name="Normal 4 9 3 4 2 2" xfId="55079" xr:uid="{00000000-0005-0000-0000-0000CB9F0000}"/>
    <cellStyle name="Normal 4 9 3 4 3" xfId="45512" xr:uid="{00000000-0005-0000-0000-0000CC9F0000}"/>
    <cellStyle name="Normal 4 9 3 4 4" xfId="29412" xr:uid="{00000000-0005-0000-0000-0000CD9F0000}"/>
    <cellStyle name="Normal 4 9 3 4 5" xfId="19843" xr:uid="{00000000-0005-0000-0000-0000CE9F0000}"/>
    <cellStyle name="Normal 4 9 3 5" xfId="10274" xr:uid="{00000000-0005-0000-0000-0000CF9F0000}"/>
    <cellStyle name="Normal 4 9 3 5 2" xfId="48548" xr:uid="{00000000-0005-0000-0000-0000D09F0000}"/>
    <cellStyle name="Normal 4 9 3 5 3" xfId="32448" xr:uid="{00000000-0005-0000-0000-0000D19F0000}"/>
    <cellStyle name="Normal 4 9 3 5 4" xfId="22879" xr:uid="{00000000-0005-0000-0000-0000D29F0000}"/>
    <cellStyle name="Normal 4 9 3 6" xfId="4202" xr:uid="{00000000-0005-0000-0000-0000D39F0000}"/>
    <cellStyle name="Normal 4 9 3 6 2" xfId="52043" xr:uid="{00000000-0005-0000-0000-0000D49F0000}"/>
    <cellStyle name="Normal 4 9 3 6 3" xfId="35943" xr:uid="{00000000-0005-0000-0000-0000D59F0000}"/>
    <cellStyle name="Normal 4 9 3 6 4" xfId="16807" xr:uid="{00000000-0005-0000-0000-0000D69F0000}"/>
    <cellStyle name="Normal 4 9 3 7" xfId="42476" xr:uid="{00000000-0005-0000-0000-0000D79F0000}"/>
    <cellStyle name="Normal 4 9 3 8" xfId="26376" xr:uid="{00000000-0005-0000-0000-0000D89F0000}"/>
    <cellStyle name="Normal 4 9 3 9" xfId="13312" xr:uid="{00000000-0005-0000-0000-0000D99F0000}"/>
    <cellStyle name="Normal 4 9 4" xfId="2504" xr:uid="{00000000-0005-0000-0000-0000DA9F0000}"/>
    <cellStyle name="Normal 4 9 4 2" xfId="9036" xr:uid="{00000000-0005-0000-0000-0000DB9F0000}"/>
    <cellStyle name="Normal 4 9 4 2 2" xfId="40777" xr:uid="{00000000-0005-0000-0000-0000DC9F0000}"/>
    <cellStyle name="Normal 4 9 4 2 2 2" xfId="56877" xr:uid="{00000000-0005-0000-0000-0000DD9F0000}"/>
    <cellStyle name="Normal 4 9 4 2 3" xfId="47310" xr:uid="{00000000-0005-0000-0000-0000DE9F0000}"/>
    <cellStyle name="Normal 4 9 4 2 4" xfId="31210" xr:uid="{00000000-0005-0000-0000-0000DF9F0000}"/>
    <cellStyle name="Normal 4 9 4 2 5" xfId="21641" xr:uid="{00000000-0005-0000-0000-0000E09F0000}"/>
    <cellStyle name="Normal 4 9 4 3" xfId="12072" xr:uid="{00000000-0005-0000-0000-0000E19F0000}"/>
    <cellStyle name="Normal 4 9 4 3 2" xfId="50346" xr:uid="{00000000-0005-0000-0000-0000E29F0000}"/>
    <cellStyle name="Normal 4 9 4 3 3" xfId="34246" xr:uid="{00000000-0005-0000-0000-0000E39F0000}"/>
    <cellStyle name="Normal 4 9 4 3 4" xfId="24677" xr:uid="{00000000-0005-0000-0000-0000E49F0000}"/>
    <cellStyle name="Normal 4 9 4 4" xfId="6000" xr:uid="{00000000-0005-0000-0000-0000E59F0000}"/>
    <cellStyle name="Normal 4 9 4 4 2" xfId="53841" xr:uid="{00000000-0005-0000-0000-0000E69F0000}"/>
    <cellStyle name="Normal 4 9 4 4 3" xfId="37741" xr:uid="{00000000-0005-0000-0000-0000E79F0000}"/>
    <cellStyle name="Normal 4 9 4 4 4" xfId="18605" xr:uid="{00000000-0005-0000-0000-0000E89F0000}"/>
    <cellStyle name="Normal 4 9 4 5" xfId="44274" xr:uid="{00000000-0005-0000-0000-0000E99F0000}"/>
    <cellStyle name="Normal 4 9 4 6" xfId="28174" xr:uid="{00000000-0005-0000-0000-0000EA9F0000}"/>
    <cellStyle name="Normal 4 9 4 7" xfId="15110" xr:uid="{00000000-0005-0000-0000-0000EB9F0000}"/>
    <cellStyle name="Normal 4 9 5" xfId="1253" xr:uid="{00000000-0005-0000-0000-0000EC9F0000}"/>
    <cellStyle name="Normal 4 9 5 2" xfId="7787" xr:uid="{00000000-0005-0000-0000-0000ED9F0000}"/>
    <cellStyle name="Normal 4 9 5 2 2" xfId="39528" xr:uid="{00000000-0005-0000-0000-0000EE9F0000}"/>
    <cellStyle name="Normal 4 9 5 2 2 2" xfId="55628" xr:uid="{00000000-0005-0000-0000-0000EF9F0000}"/>
    <cellStyle name="Normal 4 9 5 2 3" xfId="46061" xr:uid="{00000000-0005-0000-0000-0000F09F0000}"/>
    <cellStyle name="Normal 4 9 5 2 4" xfId="29961" xr:uid="{00000000-0005-0000-0000-0000F19F0000}"/>
    <cellStyle name="Normal 4 9 5 2 5" xfId="20392" xr:uid="{00000000-0005-0000-0000-0000F29F0000}"/>
    <cellStyle name="Normal 4 9 5 3" xfId="10823" xr:uid="{00000000-0005-0000-0000-0000F39F0000}"/>
    <cellStyle name="Normal 4 9 5 3 2" xfId="49097" xr:uid="{00000000-0005-0000-0000-0000F49F0000}"/>
    <cellStyle name="Normal 4 9 5 3 3" xfId="32997" xr:uid="{00000000-0005-0000-0000-0000F59F0000}"/>
    <cellStyle name="Normal 4 9 5 3 4" xfId="23428" xr:uid="{00000000-0005-0000-0000-0000F69F0000}"/>
    <cellStyle name="Normal 4 9 5 4" xfId="4751" xr:uid="{00000000-0005-0000-0000-0000F79F0000}"/>
    <cellStyle name="Normal 4 9 5 4 2" xfId="52592" xr:uid="{00000000-0005-0000-0000-0000F89F0000}"/>
    <cellStyle name="Normal 4 9 5 4 3" xfId="36492" xr:uid="{00000000-0005-0000-0000-0000F99F0000}"/>
    <cellStyle name="Normal 4 9 5 4 4" xfId="17356" xr:uid="{00000000-0005-0000-0000-0000FA9F0000}"/>
    <cellStyle name="Normal 4 9 5 5" xfId="43025" xr:uid="{00000000-0005-0000-0000-0000FB9F0000}"/>
    <cellStyle name="Normal 4 9 5 6" xfId="26925" xr:uid="{00000000-0005-0000-0000-0000FC9F0000}"/>
    <cellStyle name="Normal 4 9 5 7" xfId="13861" xr:uid="{00000000-0005-0000-0000-0000FD9F0000}"/>
    <cellStyle name="Normal 4 9 6" xfId="3741" xr:uid="{00000000-0005-0000-0000-0000FE9F0000}"/>
    <cellStyle name="Normal 4 9 6 2" xfId="35482" xr:uid="{00000000-0005-0000-0000-0000FF9F0000}"/>
    <cellStyle name="Normal 4 9 6 2 2" xfId="51582" xr:uid="{00000000-0005-0000-0000-000000A00000}"/>
    <cellStyle name="Normal 4 9 6 3" xfId="42015" xr:uid="{00000000-0005-0000-0000-000001A00000}"/>
    <cellStyle name="Normal 4 9 6 4" xfId="25915" xr:uid="{00000000-0005-0000-0000-000002A00000}"/>
    <cellStyle name="Normal 4 9 6 5" xfId="16346" xr:uid="{00000000-0005-0000-0000-000003A00000}"/>
    <cellStyle name="Normal 4 9 7" xfId="6777" xr:uid="{00000000-0005-0000-0000-000004A00000}"/>
    <cellStyle name="Normal 4 9 7 2" xfId="38518" xr:uid="{00000000-0005-0000-0000-000005A00000}"/>
    <cellStyle name="Normal 4 9 7 2 2" xfId="54618" xr:uid="{00000000-0005-0000-0000-000006A00000}"/>
    <cellStyle name="Normal 4 9 7 3" xfId="45051" xr:uid="{00000000-0005-0000-0000-000007A00000}"/>
    <cellStyle name="Normal 4 9 7 4" xfId="28951" xr:uid="{00000000-0005-0000-0000-000008A00000}"/>
    <cellStyle name="Normal 4 9 7 5" xfId="19382" xr:uid="{00000000-0005-0000-0000-000009A00000}"/>
    <cellStyle name="Normal 4 9 8" xfId="9813" xr:uid="{00000000-0005-0000-0000-00000AA00000}"/>
    <cellStyle name="Normal 4 9 8 2" xfId="48087" xr:uid="{00000000-0005-0000-0000-00000BA00000}"/>
    <cellStyle name="Normal 4 9 8 3" xfId="31987" xr:uid="{00000000-0005-0000-0000-00000CA00000}"/>
    <cellStyle name="Normal 4 9 8 4" xfId="22418" xr:uid="{00000000-0005-0000-0000-00000DA00000}"/>
    <cellStyle name="Normal 4 9 9" xfId="3281" xr:uid="{00000000-0005-0000-0000-00000EA00000}"/>
    <cellStyle name="Normal 4 9 9 2" xfId="51123" xr:uid="{00000000-0005-0000-0000-00000FA00000}"/>
    <cellStyle name="Normal 4 9 9 3" xfId="35023" xr:uid="{00000000-0005-0000-0000-000010A00000}"/>
    <cellStyle name="Normal 4 9 9 4" xfId="15887" xr:uid="{00000000-0005-0000-0000-000011A00000}"/>
    <cellStyle name="Normal 5" xfId="26" xr:uid="{00000000-0005-0000-0000-000012A00000}"/>
    <cellStyle name="Normal 6" xfId="12" xr:uid="{00000000-0005-0000-0000-000013A00000}"/>
    <cellStyle name="Normal 6 10" xfId="491" xr:uid="{00000000-0005-0000-0000-000014A00000}"/>
    <cellStyle name="Normal 6 10 10" xfId="41574" xr:uid="{00000000-0005-0000-0000-000015A00000}"/>
    <cellStyle name="Normal 6 10 11" xfId="25474" xr:uid="{00000000-0005-0000-0000-000016A00000}"/>
    <cellStyle name="Normal 6 10 12" xfId="12869" xr:uid="{00000000-0005-0000-0000-000017A00000}"/>
    <cellStyle name="Normal 6 10 2" xfId="944" xr:uid="{00000000-0005-0000-0000-000018A00000}"/>
    <cellStyle name="Normal 6 10 2 10" xfId="13552" xr:uid="{00000000-0005-0000-0000-000019A00000}"/>
    <cellStyle name="Normal 6 10 2 2" xfId="2972" xr:uid="{00000000-0005-0000-0000-00001AA00000}"/>
    <cellStyle name="Normal 6 10 2 2 2" xfId="9504" xr:uid="{00000000-0005-0000-0000-00001BA00000}"/>
    <cellStyle name="Normal 6 10 2 2 2 2" xfId="41245" xr:uid="{00000000-0005-0000-0000-00001CA00000}"/>
    <cellStyle name="Normal 6 10 2 2 2 2 2" xfId="57345" xr:uid="{00000000-0005-0000-0000-00001DA00000}"/>
    <cellStyle name="Normal 6 10 2 2 2 3" xfId="47778" xr:uid="{00000000-0005-0000-0000-00001EA00000}"/>
    <cellStyle name="Normal 6 10 2 2 2 4" xfId="31678" xr:uid="{00000000-0005-0000-0000-00001FA00000}"/>
    <cellStyle name="Normal 6 10 2 2 2 5" xfId="22109" xr:uid="{00000000-0005-0000-0000-000020A00000}"/>
    <cellStyle name="Normal 6 10 2 2 3" xfId="12540" xr:uid="{00000000-0005-0000-0000-000021A00000}"/>
    <cellStyle name="Normal 6 10 2 2 3 2" xfId="50814" xr:uid="{00000000-0005-0000-0000-000022A00000}"/>
    <cellStyle name="Normal 6 10 2 2 3 3" xfId="34714" xr:uid="{00000000-0005-0000-0000-000023A00000}"/>
    <cellStyle name="Normal 6 10 2 2 3 4" xfId="25145" xr:uid="{00000000-0005-0000-0000-000024A00000}"/>
    <cellStyle name="Normal 6 10 2 2 4" xfId="6468" xr:uid="{00000000-0005-0000-0000-000025A00000}"/>
    <cellStyle name="Normal 6 10 2 2 4 2" xfId="54309" xr:uid="{00000000-0005-0000-0000-000026A00000}"/>
    <cellStyle name="Normal 6 10 2 2 4 3" xfId="38209" xr:uid="{00000000-0005-0000-0000-000027A00000}"/>
    <cellStyle name="Normal 6 10 2 2 4 4" xfId="19073" xr:uid="{00000000-0005-0000-0000-000028A00000}"/>
    <cellStyle name="Normal 6 10 2 2 5" xfId="44742" xr:uid="{00000000-0005-0000-0000-000029A00000}"/>
    <cellStyle name="Normal 6 10 2 2 6" xfId="28642" xr:uid="{00000000-0005-0000-0000-00002AA00000}"/>
    <cellStyle name="Normal 6 10 2 2 7" xfId="15578" xr:uid="{00000000-0005-0000-0000-00002BA00000}"/>
    <cellStyle name="Normal 6 10 2 3" xfId="1954" xr:uid="{00000000-0005-0000-0000-00002CA00000}"/>
    <cellStyle name="Normal 6 10 2 3 2" xfId="8488" xr:uid="{00000000-0005-0000-0000-00002DA00000}"/>
    <cellStyle name="Normal 6 10 2 3 2 2" xfId="40229" xr:uid="{00000000-0005-0000-0000-00002EA00000}"/>
    <cellStyle name="Normal 6 10 2 3 2 2 2" xfId="56329" xr:uid="{00000000-0005-0000-0000-00002FA00000}"/>
    <cellStyle name="Normal 6 10 2 3 2 3" xfId="46762" xr:uid="{00000000-0005-0000-0000-000030A00000}"/>
    <cellStyle name="Normal 6 10 2 3 2 4" xfId="30662" xr:uid="{00000000-0005-0000-0000-000031A00000}"/>
    <cellStyle name="Normal 6 10 2 3 2 5" xfId="21093" xr:uid="{00000000-0005-0000-0000-000032A00000}"/>
    <cellStyle name="Normal 6 10 2 3 3" xfId="11524" xr:uid="{00000000-0005-0000-0000-000033A00000}"/>
    <cellStyle name="Normal 6 10 2 3 3 2" xfId="49798" xr:uid="{00000000-0005-0000-0000-000034A00000}"/>
    <cellStyle name="Normal 6 10 2 3 3 3" xfId="33698" xr:uid="{00000000-0005-0000-0000-000035A00000}"/>
    <cellStyle name="Normal 6 10 2 3 3 4" xfId="24129" xr:uid="{00000000-0005-0000-0000-000036A00000}"/>
    <cellStyle name="Normal 6 10 2 3 4" xfId="5452" xr:uid="{00000000-0005-0000-0000-000037A00000}"/>
    <cellStyle name="Normal 6 10 2 3 4 2" xfId="53293" xr:uid="{00000000-0005-0000-0000-000038A00000}"/>
    <cellStyle name="Normal 6 10 2 3 4 3" xfId="37193" xr:uid="{00000000-0005-0000-0000-000039A00000}"/>
    <cellStyle name="Normal 6 10 2 3 4 4" xfId="18057" xr:uid="{00000000-0005-0000-0000-00003AA00000}"/>
    <cellStyle name="Normal 6 10 2 3 5" xfId="43726" xr:uid="{00000000-0005-0000-0000-00003BA00000}"/>
    <cellStyle name="Normal 6 10 2 3 6" xfId="27626" xr:uid="{00000000-0005-0000-0000-00003CA00000}"/>
    <cellStyle name="Normal 6 10 2 3 7" xfId="14562" xr:uid="{00000000-0005-0000-0000-00003DA00000}"/>
    <cellStyle name="Normal 6 10 2 4" xfId="4442" xr:uid="{00000000-0005-0000-0000-00003EA00000}"/>
    <cellStyle name="Normal 6 10 2 4 2" xfId="36183" xr:uid="{00000000-0005-0000-0000-00003FA00000}"/>
    <cellStyle name="Normal 6 10 2 4 2 2" xfId="52283" xr:uid="{00000000-0005-0000-0000-000040A00000}"/>
    <cellStyle name="Normal 6 10 2 4 3" xfId="42716" xr:uid="{00000000-0005-0000-0000-000041A00000}"/>
    <cellStyle name="Normal 6 10 2 4 4" xfId="26616" xr:uid="{00000000-0005-0000-0000-000042A00000}"/>
    <cellStyle name="Normal 6 10 2 4 5" xfId="17047" xr:uid="{00000000-0005-0000-0000-000043A00000}"/>
    <cellStyle name="Normal 6 10 2 5" xfId="7478" xr:uid="{00000000-0005-0000-0000-000044A00000}"/>
    <cellStyle name="Normal 6 10 2 5 2" xfId="39219" xr:uid="{00000000-0005-0000-0000-000045A00000}"/>
    <cellStyle name="Normal 6 10 2 5 2 2" xfId="55319" xr:uid="{00000000-0005-0000-0000-000046A00000}"/>
    <cellStyle name="Normal 6 10 2 5 3" xfId="45752" xr:uid="{00000000-0005-0000-0000-000047A00000}"/>
    <cellStyle name="Normal 6 10 2 5 4" xfId="29652" xr:uid="{00000000-0005-0000-0000-000048A00000}"/>
    <cellStyle name="Normal 6 10 2 5 5" xfId="20083" xr:uid="{00000000-0005-0000-0000-000049A00000}"/>
    <cellStyle name="Normal 6 10 2 6" xfId="10514" xr:uid="{00000000-0005-0000-0000-00004AA00000}"/>
    <cellStyle name="Normal 6 10 2 6 2" xfId="48788" xr:uid="{00000000-0005-0000-0000-00004BA00000}"/>
    <cellStyle name="Normal 6 10 2 6 3" xfId="32688" xr:uid="{00000000-0005-0000-0000-00004CA00000}"/>
    <cellStyle name="Normal 6 10 2 6 4" xfId="23119" xr:uid="{00000000-0005-0000-0000-00004DA00000}"/>
    <cellStyle name="Normal 6 10 2 7" xfId="3537" xr:uid="{00000000-0005-0000-0000-00004EA00000}"/>
    <cellStyle name="Normal 6 10 2 7 2" xfId="51378" xr:uid="{00000000-0005-0000-0000-00004FA00000}"/>
    <cellStyle name="Normal 6 10 2 7 3" xfId="35278" xr:uid="{00000000-0005-0000-0000-000050A00000}"/>
    <cellStyle name="Normal 6 10 2 7 4" xfId="16142" xr:uid="{00000000-0005-0000-0000-000051A00000}"/>
    <cellStyle name="Normal 6 10 2 8" xfId="41811" xr:uid="{00000000-0005-0000-0000-000052A00000}"/>
    <cellStyle name="Normal 6 10 2 9" xfId="25711" xr:uid="{00000000-0005-0000-0000-000053A00000}"/>
    <cellStyle name="Normal 6 10 3" xfId="722" xr:uid="{00000000-0005-0000-0000-000054A00000}"/>
    <cellStyle name="Normal 6 10 3 2" xfId="2750" xr:uid="{00000000-0005-0000-0000-000055A00000}"/>
    <cellStyle name="Normal 6 10 3 2 2" xfId="9282" xr:uid="{00000000-0005-0000-0000-000056A00000}"/>
    <cellStyle name="Normal 6 10 3 2 2 2" xfId="41023" xr:uid="{00000000-0005-0000-0000-000057A00000}"/>
    <cellStyle name="Normal 6 10 3 2 2 2 2" xfId="57123" xr:uid="{00000000-0005-0000-0000-000058A00000}"/>
    <cellStyle name="Normal 6 10 3 2 2 3" xfId="47556" xr:uid="{00000000-0005-0000-0000-000059A00000}"/>
    <cellStyle name="Normal 6 10 3 2 2 4" xfId="31456" xr:uid="{00000000-0005-0000-0000-00005AA00000}"/>
    <cellStyle name="Normal 6 10 3 2 2 5" xfId="21887" xr:uid="{00000000-0005-0000-0000-00005BA00000}"/>
    <cellStyle name="Normal 6 10 3 2 3" xfId="12318" xr:uid="{00000000-0005-0000-0000-00005CA00000}"/>
    <cellStyle name="Normal 6 10 3 2 3 2" xfId="50592" xr:uid="{00000000-0005-0000-0000-00005DA00000}"/>
    <cellStyle name="Normal 6 10 3 2 3 3" xfId="34492" xr:uid="{00000000-0005-0000-0000-00005EA00000}"/>
    <cellStyle name="Normal 6 10 3 2 3 4" xfId="24923" xr:uid="{00000000-0005-0000-0000-00005FA00000}"/>
    <cellStyle name="Normal 6 10 3 2 4" xfId="6246" xr:uid="{00000000-0005-0000-0000-000060A00000}"/>
    <cellStyle name="Normal 6 10 3 2 4 2" xfId="54087" xr:uid="{00000000-0005-0000-0000-000061A00000}"/>
    <cellStyle name="Normal 6 10 3 2 4 3" xfId="37987" xr:uid="{00000000-0005-0000-0000-000062A00000}"/>
    <cellStyle name="Normal 6 10 3 2 4 4" xfId="18851" xr:uid="{00000000-0005-0000-0000-000063A00000}"/>
    <cellStyle name="Normal 6 10 3 2 5" xfId="44520" xr:uid="{00000000-0005-0000-0000-000064A00000}"/>
    <cellStyle name="Normal 6 10 3 2 6" xfId="28420" xr:uid="{00000000-0005-0000-0000-000065A00000}"/>
    <cellStyle name="Normal 6 10 3 2 7" xfId="15356" xr:uid="{00000000-0005-0000-0000-000066A00000}"/>
    <cellStyle name="Normal 6 10 3 3" xfId="1732" xr:uid="{00000000-0005-0000-0000-000067A00000}"/>
    <cellStyle name="Normal 6 10 3 3 2" xfId="8266" xr:uid="{00000000-0005-0000-0000-000068A00000}"/>
    <cellStyle name="Normal 6 10 3 3 2 2" xfId="40007" xr:uid="{00000000-0005-0000-0000-000069A00000}"/>
    <cellStyle name="Normal 6 10 3 3 2 2 2" xfId="56107" xr:uid="{00000000-0005-0000-0000-00006AA00000}"/>
    <cellStyle name="Normal 6 10 3 3 2 3" xfId="46540" xr:uid="{00000000-0005-0000-0000-00006BA00000}"/>
    <cellStyle name="Normal 6 10 3 3 2 4" xfId="30440" xr:uid="{00000000-0005-0000-0000-00006CA00000}"/>
    <cellStyle name="Normal 6 10 3 3 2 5" xfId="20871" xr:uid="{00000000-0005-0000-0000-00006DA00000}"/>
    <cellStyle name="Normal 6 10 3 3 3" xfId="11302" xr:uid="{00000000-0005-0000-0000-00006EA00000}"/>
    <cellStyle name="Normal 6 10 3 3 3 2" xfId="49576" xr:uid="{00000000-0005-0000-0000-00006FA00000}"/>
    <cellStyle name="Normal 6 10 3 3 3 3" xfId="33476" xr:uid="{00000000-0005-0000-0000-000070A00000}"/>
    <cellStyle name="Normal 6 10 3 3 3 4" xfId="23907" xr:uid="{00000000-0005-0000-0000-000071A00000}"/>
    <cellStyle name="Normal 6 10 3 3 4" xfId="5230" xr:uid="{00000000-0005-0000-0000-000072A00000}"/>
    <cellStyle name="Normal 6 10 3 3 4 2" xfId="53071" xr:uid="{00000000-0005-0000-0000-000073A00000}"/>
    <cellStyle name="Normal 6 10 3 3 4 3" xfId="36971" xr:uid="{00000000-0005-0000-0000-000074A00000}"/>
    <cellStyle name="Normal 6 10 3 3 4 4" xfId="17835" xr:uid="{00000000-0005-0000-0000-000075A00000}"/>
    <cellStyle name="Normal 6 10 3 3 5" xfId="43504" xr:uid="{00000000-0005-0000-0000-000076A00000}"/>
    <cellStyle name="Normal 6 10 3 3 6" xfId="27404" xr:uid="{00000000-0005-0000-0000-000077A00000}"/>
    <cellStyle name="Normal 6 10 3 3 7" xfId="14340" xr:uid="{00000000-0005-0000-0000-000078A00000}"/>
    <cellStyle name="Normal 6 10 3 4" xfId="7256" xr:uid="{00000000-0005-0000-0000-000079A00000}"/>
    <cellStyle name="Normal 6 10 3 4 2" xfId="38997" xr:uid="{00000000-0005-0000-0000-00007AA00000}"/>
    <cellStyle name="Normal 6 10 3 4 2 2" xfId="55097" xr:uid="{00000000-0005-0000-0000-00007BA00000}"/>
    <cellStyle name="Normal 6 10 3 4 3" xfId="45530" xr:uid="{00000000-0005-0000-0000-00007CA00000}"/>
    <cellStyle name="Normal 6 10 3 4 4" xfId="29430" xr:uid="{00000000-0005-0000-0000-00007DA00000}"/>
    <cellStyle name="Normal 6 10 3 4 5" xfId="19861" xr:uid="{00000000-0005-0000-0000-00007EA00000}"/>
    <cellStyle name="Normal 6 10 3 5" xfId="10292" xr:uid="{00000000-0005-0000-0000-00007FA00000}"/>
    <cellStyle name="Normal 6 10 3 5 2" xfId="48566" xr:uid="{00000000-0005-0000-0000-000080A00000}"/>
    <cellStyle name="Normal 6 10 3 5 3" xfId="32466" xr:uid="{00000000-0005-0000-0000-000081A00000}"/>
    <cellStyle name="Normal 6 10 3 5 4" xfId="22897" xr:uid="{00000000-0005-0000-0000-000082A00000}"/>
    <cellStyle name="Normal 6 10 3 6" xfId="4220" xr:uid="{00000000-0005-0000-0000-000083A00000}"/>
    <cellStyle name="Normal 6 10 3 6 2" xfId="52061" xr:uid="{00000000-0005-0000-0000-000084A00000}"/>
    <cellStyle name="Normal 6 10 3 6 3" xfId="35961" xr:uid="{00000000-0005-0000-0000-000085A00000}"/>
    <cellStyle name="Normal 6 10 3 6 4" xfId="16825" xr:uid="{00000000-0005-0000-0000-000086A00000}"/>
    <cellStyle name="Normal 6 10 3 7" xfId="42494" xr:uid="{00000000-0005-0000-0000-000087A00000}"/>
    <cellStyle name="Normal 6 10 3 8" xfId="26394" xr:uid="{00000000-0005-0000-0000-000088A00000}"/>
    <cellStyle name="Normal 6 10 3 9" xfId="13330" xr:uid="{00000000-0005-0000-0000-000089A00000}"/>
    <cellStyle name="Normal 6 10 4" xfId="2522" xr:uid="{00000000-0005-0000-0000-00008AA00000}"/>
    <cellStyle name="Normal 6 10 4 2" xfId="9054" xr:uid="{00000000-0005-0000-0000-00008BA00000}"/>
    <cellStyle name="Normal 6 10 4 2 2" xfId="40795" xr:uid="{00000000-0005-0000-0000-00008CA00000}"/>
    <cellStyle name="Normal 6 10 4 2 2 2" xfId="56895" xr:uid="{00000000-0005-0000-0000-00008DA00000}"/>
    <cellStyle name="Normal 6 10 4 2 3" xfId="47328" xr:uid="{00000000-0005-0000-0000-00008EA00000}"/>
    <cellStyle name="Normal 6 10 4 2 4" xfId="31228" xr:uid="{00000000-0005-0000-0000-00008FA00000}"/>
    <cellStyle name="Normal 6 10 4 2 5" xfId="21659" xr:uid="{00000000-0005-0000-0000-000090A00000}"/>
    <cellStyle name="Normal 6 10 4 3" xfId="12090" xr:uid="{00000000-0005-0000-0000-000091A00000}"/>
    <cellStyle name="Normal 6 10 4 3 2" xfId="50364" xr:uid="{00000000-0005-0000-0000-000092A00000}"/>
    <cellStyle name="Normal 6 10 4 3 3" xfId="34264" xr:uid="{00000000-0005-0000-0000-000093A00000}"/>
    <cellStyle name="Normal 6 10 4 3 4" xfId="24695" xr:uid="{00000000-0005-0000-0000-000094A00000}"/>
    <cellStyle name="Normal 6 10 4 4" xfId="6018" xr:uid="{00000000-0005-0000-0000-000095A00000}"/>
    <cellStyle name="Normal 6 10 4 4 2" xfId="53859" xr:uid="{00000000-0005-0000-0000-000096A00000}"/>
    <cellStyle name="Normal 6 10 4 4 3" xfId="37759" xr:uid="{00000000-0005-0000-0000-000097A00000}"/>
    <cellStyle name="Normal 6 10 4 4 4" xfId="18623" xr:uid="{00000000-0005-0000-0000-000098A00000}"/>
    <cellStyle name="Normal 6 10 4 5" xfId="44292" xr:uid="{00000000-0005-0000-0000-000099A00000}"/>
    <cellStyle name="Normal 6 10 4 6" xfId="28192" xr:uid="{00000000-0005-0000-0000-00009AA00000}"/>
    <cellStyle name="Normal 6 10 4 7" xfId="15128" xr:uid="{00000000-0005-0000-0000-00009BA00000}"/>
    <cellStyle name="Normal 6 10 5" xfId="1271" xr:uid="{00000000-0005-0000-0000-00009CA00000}"/>
    <cellStyle name="Normal 6 10 5 2" xfId="7805" xr:uid="{00000000-0005-0000-0000-00009DA00000}"/>
    <cellStyle name="Normal 6 10 5 2 2" xfId="39546" xr:uid="{00000000-0005-0000-0000-00009EA00000}"/>
    <cellStyle name="Normal 6 10 5 2 2 2" xfId="55646" xr:uid="{00000000-0005-0000-0000-00009FA00000}"/>
    <cellStyle name="Normal 6 10 5 2 3" xfId="46079" xr:uid="{00000000-0005-0000-0000-0000A0A00000}"/>
    <cellStyle name="Normal 6 10 5 2 4" xfId="29979" xr:uid="{00000000-0005-0000-0000-0000A1A00000}"/>
    <cellStyle name="Normal 6 10 5 2 5" xfId="20410" xr:uid="{00000000-0005-0000-0000-0000A2A00000}"/>
    <cellStyle name="Normal 6 10 5 3" xfId="10841" xr:uid="{00000000-0005-0000-0000-0000A3A00000}"/>
    <cellStyle name="Normal 6 10 5 3 2" xfId="49115" xr:uid="{00000000-0005-0000-0000-0000A4A00000}"/>
    <cellStyle name="Normal 6 10 5 3 3" xfId="33015" xr:uid="{00000000-0005-0000-0000-0000A5A00000}"/>
    <cellStyle name="Normal 6 10 5 3 4" xfId="23446" xr:uid="{00000000-0005-0000-0000-0000A6A00000}"/>
    <cellStyle name="Normal 6 10 5 4" xfId="4769" xr:uid="{00000000-0005-0000-0000-0000A7A00000}"/>
    <cellStyle name="Normal 6 10 5 4 2" xfId="52610" xr:uid="{00000000-0005-0000-0000-0000A8A00000}"/>
    <cellStyle name="Normal 6 10 5 4 3" xfId="36510" xr:uid="{00000000-0005-0000-0000-0000A9A00000}"/>
    <cellStyle name="Normal 6 10 5 4 4" xfId="17374" xr:uid="{00000000-0005-0000-0000-0000AAA00000}"/>
    <cellStyle name="Normal 6 10 5 5" xfId="43043" xr:uid="{00000000-0005-0000-0000-0000ABA00000}"/>
    <cellStyle name="Normal 6 10 5 6" xfId="26943" xr:uid="{00000000-0005-0000-0000-0000ACA00000}"/>
    <cellStyle name="Normal 6 10 5 7" xfId="13879" xr:uid="{00000000-0005-0000-0000-0000ADA00000}"/>
    <cellStyle name="Normal 6 10 6" xfId="3759" xr:uid="{00000000-0005-0000-0000-0000AEA00000}"/>
    <cellStyle name="Normal 6 10 6 2" xfId="35500" xr:uid="{00000000-0005-0000-0000-0000AFA00000}"/>
    <cellStyle name="Normal 6 10 6 2 2" xfId="51600" xr:uid="{00000000-0005-0000-0000-0000B0A00000}"/>
    <cellStyle name="Normal 6 10 6 3" xfId="42033" xr:uid="{00000000-0005-0000-0000-0000B1A00000}"/>
    <cellStyle name="Normal 6 10 6 4" xfId="25933" xr:uid="{00000000-0005-0000-0000-0000B2A00000}"/>
    <cellStyle name="Normal 6 10 6 5" xfId="16364" xr:uid="{00000000-0005-0000-0000-0000B3A00000}"/>
    <cellStyle name="Normal 6 10 7" xfId="6795" xr:uid="{00000000-0005-0000-0000-0000B4A00000}"/>
    <cellStyle name="Normal 6 10 7 2" xfId="38536" xr:uid="{00000000-0005-0000-0000-0000B5A00000}"/>
    <cellStyle name="Normal 6 10 7 2 2" xfId="54636" xr:uid="{00000000-0005-0000-0000-0000B6A00000}"/>
    <cellStyle name="Normal 6 10 7 3" xfId="45069" xr:uid="{00000000-0005-0000-0000-0000B7A00000}"/>
    <cellStyle name="Normal 6 10 7 4" xfId="28969" xr:uid="{00000000-0005-0000-0000-0000B8A00000}"/>
    <cellStyle name="Normal 6 10 7 5" xfId="19400" xr:uid="{00000000-0005-0000-0000-0000B9A00000}"/>
    <cellStyle name="Normal 6 10 8" xfId="9831" xr:uid="{00000000-0005-0000-0000-0000BAA00000}"/>
    <cellStyle name="Normal 6 10 8 2" xfId="48105" xr:uid="{00000000-0005-0000-0000-0000BBA00000}"/>
    <cellStyle name="Normal 6 10 8 3" xfId="32005" xr:uid="{00000000-0005-0000-0000-0000BCA00000}"/>
    <cellStyle name="Normal 6 10 8 4" xfId="22436" xr:uid="{00000000-0005-0000-0000-0000BDA00000}"/>
    <cellStyle name="Normal 6 10 9" xfId="3299" xr:uid="{00000000-0005-0000-0000-0000BEA00000}"/>
    <cellStyle name="Normal 6 10 9 2" xfId="51141" xr:uid="{00000000-0005-0000-0000-0000BFA00000}"/>
    <cellStyle name="Normal 6 10 9 3" xfId="35041" xr:uid="{00000000-0005-0000-0000-0000C0A00000}"/>
    <cellStyle name="Normal 6 10 9 4" xfId="15905" xr:uid="{00000000-0005-0000-0000-0000C1A00000}"/>
    <cellStyle name="Normal 6 11" xfId="434" xr:uid="{00000000-0005-0000-0000-0000C2A00000}"/>
    <cellStyle name="Normal 6 11 10" xfId="41421" xr:uid="{00000000-0005-0000-0000-0000C3A00000}"/>
    <cellStyle name="Normal 6 11 11" xfId="25321" xr:uid="{00000000-0005-0000-0000-0000C4A00000}"/>
    <cellStyle name="Normal 6 11 12" xfId="12716" xr:uid="{00000000-0005-0000-0000-0000C5A00000}"/>
    <cellStyle name="Normal 6 11 2" xfId="791" xr:uid="{00000000-0005-0000-0000-0000C6A00000}"/>
    <cellStyle name="Normal 6 11 2 10" xfId="13399" xr:uid="{00000000-0005-0000-0000-0000C7A00000}"/>
    <cellStyle name="Normal 6 11 2 2" xfId="2819" xr:uid="{00000000-0005-0000-0000-0000C8A00000}"/>
    <cellStyle name="Normal 6 11 2 2 2" xfId="9351" xr:uid="{00000000-0005-0000-0000-0000C9A00000}"/>
    <cellStyle name="Normal 6 11 2 2 2 2" xfId="41092" xr:uid="{00000000-0005-0000-0000-0000CAA00000}"/>
    <cellStyle name="Normal 6 11 2 2 2 2 2" xfId="57192" xr:uid="{00000000-0005-0000-0000-0000CBA00000}"/>
    <cellStyle name="Normal 6 11 2 2 2 3" xfId="47625" xr:uid="{00000000-0005-0000-0000-0000CCA00000}"/>
    <cellStyle name="Normal 6 11 2 2 2 4" xfId="31525" xr:uid="{00000000-0005-0000-0000-0000CDA00000}"/>
    <cellStyle name="Normal 6 11 2 2 2 5" xfId="21956" xr:uid="{00000000-0005-0000-0000-0000CEA00000}"/>
    <cellStyle name="Normal 6 11 2 2 3" xfId="12387" xr:uid="{00000000-0005-0000-0000-0000CFA00000}"/>
    <cellStyle name="Normal 6 11 2 2 3 2" xfId="50661" xr:uid="{00000000-0005-0000-0000-0000D0A00000}"/>
    <cellStyle name="Normal 6 11 2 2 3 3" xfId="34561" xr:uid="{00000000-0005-0000-0000-0000D1A00000}"/>
    <cellStyle name="Normal 6 11 2 2 3 4" xfId="24992" xr:uid="{00000000-0005-0000-0000-0000D2A00000}"/>
    <cellStyle name="Normal 6 11 2 2 4" xfId="6315" xr:uid="{00000000-0005-0000-0000-0000D3A00000}"/>
    <cellStyle name="Normal 6 11 2 2 4 2" xfId="54156" xr:uid="{00000000-0005-0000-0000-0000D4A00000}"/>
    <cellStyle name="Normal 6 11 2 2 4 3" xfId="38056" xr:uid="{00000000-0005-0000-0000-0000D5A00000}"/>
    <cellStyle name="Normal 6 11 2 2 4 4" xfId="18920" xr:uid="{00000000-0005-0000-0000-0000D6A00000}"/>
    <cellStyle name="Normal 6 11 2 2 5" xfId="44589" xr:uid="{00000000-0005-0000-0000-0000D7A00000}"/>
    <cellStyle name="Normal 6 11 2 2 6" xfId="28489" xr:uid="{00000000-0005-0000-0000-0000D8A00000}"/>
    <cellStyle name="Normal 6 11 2 2 7" xfId="15425" xr:uid="{00000000-0005-0000-0000-0000D9A00000}"/>
    <cellStyle name="Normal 6 11 2 3" xfId="1801" xr:uid="{00000000-0005-0000-0000-0000DAA00000}"/>
    <cellStyle name="Normal 6 11 2 3 2" xfId="8335" xr:uid="{00000000-0005-0000-0000-0000DBA00000}"/>
    <cellStyle name="Normal 6 11 2 3 2 2" xfId="40076" xr:uid="{00000000-0005-0000-0000-0000DCA00000}"/>
    <cellStyle name="Normal 6 11 2 3 2 2 2" xfId="56176" xr:uid="{00000000-0005-0000-0000-0000DDA00000}"/>
    <cellStyle name="Normal 6 11 2 3 2 3" xfId="46609" xr:uid="{00000000-0005-0000-0000-0000DEA00000}"/>
    <cellStyle name="Normal 6 11 2 3 2 4" xfId="30509" xr:uid="{00000000-0005-0000-0000-0000DFA00000}"/>
    <cellStyle name="Normal 6 11 2 3 2 5" xfId="20940" xr:uid="{00000000-0005-0000-0000-0000E0A00000}"/>
    <cellStyle name="Normal 6 11 2 3 3" xfId="11371" xr:uid="{00000000-0005-0000-0000-0000E1A00000}"/>
    <cellStyle name="Normal 6 11 2 3 3 2" xfId="49645" xr:uid="{00000000-0005-0000-0000-0000E2A00000}"/>
    <cellStyle name="Normal 6 11 2 3 3 3" xfId="33545" xr:uid="{00000000-0005-0000-0000-0000E3A00000}"/>
    <cellStyle name="Normal 6 11 2 3 3 4" xfId="23976" xr:uid="{00000000-0005-0000-0000-0000E4A00000}"/>
    <cellStyle name="Normal 6 11 2 3 4" xfId="5299" xr:uid="{00000000-0005-0000-0000-0000E5A00000}"/>
    <cellStyle name="Normal 6 11 2 3 4 2" xfId="53140" xr:uid="{00000000-0005-0000-0000-0000E6A00000}"/>
    <cellStyle name="Normal 6 11 2 3 4 3" xfId="37040" xr:uid="{00000000-0005-0000-0000-0000E7A00000}"/>
    <cellStyle name="Normal 6 11 2 3 4 4" xfId="17904" xr:uid="{00000000-0005-0000-0000-0000E8A00000}"/>
    <cellStyle name="Normal 6 11 2 3 5" xfId="43573" xr:uid="{00000000-0005-0000-0000-0000E9A00000}"/>
    <cellStyle name="Normal 6 11 2 3 6" xfId="27473" xr:uid="{00000000-0005-0000-0000-0000EAA00000}"/>
    <cellStyle name="Normal 6 11 2 3 7" xfId="14409" xr:uid="{00000000-0005-0000-0000-0000EBA00000}"/>
    <cellStyle name="Normal 6 11 2 4" xfId="4289" xr:uid="{00000000-0005-0000-0000-0000ECA00000}"/>
    <cellStyle name="Normal 6 11 2 4 2" xfId="36030" xr:uid="{00000000-0005-0000-0000-0000EDA00000}"/>
    <cellStyle name="Normal 6 11 2 4 2 2" xfId="52130" xr:uid="{00000000-0005-0000-0000-0000EEA00000}"/>
    <cellStyle name="Normal 6 11 2 4 3" xfId="42563" xr:uid="{00000000-0005-0000-0000-0000EFA00000}"/>
    <cellStyle name="Normal 6 11 2 4 4" xfId="26463" xr:uid="{00000000-0005-0000-0000-0000F0A00000}"/>
    <cellStyle name="Normal 6 11 2 4 5" xfId="16894" xr:uid="{00000000-0005-0000-0000-0000F1A00000}"/>
    <cellStyle name="Normal 6 11 2 5" xfId="7325" xr:uid="{00000000-0005-0000-0000-0000F2A00000}"/>
    <cellStyle name="Normal 6 11 2 5 2" xfId="39066" xr:uid="{00000000-0005-0000-0000-0000F3A00000}"/>
    <cellStyle name="Normal 6 11 2 5 2 2" xfId="55166" xr:uid="{00000000-0005-0000-0000-0000F4A00000}"/>
    <cellStyle name="Normal 6 11 2 5 3" xfId="45599" xr:uid="{00000000-0005-0000-0000-0000F5A00000}"/>
    <cellStyle name="Normal 6 11 2 5 4" xfId="29499" xr:uid="{00000000-0005-0000-0000-0000F6A00000}"/>
    <cellStyle name="Normal 6 11 2 5 5" xfId="19930" xr:uid="{00000000-0005-0000-0000-0000F7A00000}"/>
    <cellStyle name="Normal 6 11 2 6" xfId="10361" xr:uid="{00000000-0005-0000-0000-0000F8A00000}"/>
    <cellStyle name="Normal 6 11 2 6 2" xfId="48635" xr:uid="{00000000-0005-0000-0000-0000F9A00000}"/>
    <cellStyle name="Normal 6 11 2 6 3" xfId="32535" xr:uid="{00000000-0005-0000-0000-0000FAA00000}"/>
    <cellStyle name="Normal 6 11 2 6 4" xfId="22966" xr:uid="{00000000-0005-0000-0000-0000FBA00000}"/>
    <cellStyle name="Normal 6 11 2 7" xfId="3384" xr:uid="{00000000-0005-0000-0000-0000FCA00000}"/>
    <cellStyle name="Normal 6 11 2 7 2" xfId="51225" xr:uid="{00000000-0005-0000-0000-0000FDA00000}"/>
    <cellStyle name="Normal 6 11 2 7 3" xfId="35125" xr:uid="{00000000-0005-0000-0000-0000FEA00000}"/>
    <cellStyle name="Normal 6 11 2 7 4" xfId="15989" xr:uid="{00000000-0005-0000-0000-0000FFA00000}"/>
    <cellStyle name="Normal 6 11 2 8" xfId="41658" xr:uid="{00000000-0005-0000-0000-000000A10000}"/>
    <cellStyle name="Normal 6 11 2 9" xfId="25558" xr:uid="{00000000-0005-0000-0000-000001A10000}"/>
    <cellStyle name="Normal 6 11 3" xfId="649" xr:uid="{00000000-0005-0000-0000-000002A10000}"/>
    <cellStyle name="Normal 6 11 3 2" xfId="2677" xr:uid="{00000000-0005-0000-0000-000003A10000}"/>
    <cellStyle name="Normal 6 11 3 2 2" xfId="9209" xr:uid="{00000000-0005-0000-0000-000004A10000}"/>
    <cellStyle name="Normal 6 11 3 2 2 2" xfId="40950" xr:uid="{00000000-0005-0000-0000-000005A10000}"/>
    <cellStyle name="Normal 6 11 3 2 2 2 2" xfId="57050" xr:uid="{00000000-0005-0000-0000-000006A10000}"/>
    <cellStyle name="Normal 6 11 3 2 2 3" xfId="47483" xr:uid="{00000000-0005-0000-0000-000007A10000}"/>
    <cellStyle name="Normal 6 11 3 2 2 4" xfId="31383" xr:uid="{00000000-0005-0000-0000-000008A10000}"/>
    <cellStyle name="Normal 6 11 3 2 2 5" xfId="21814" xr:uid="{00000000-0005-0000-0000-000009A10000}"/>
    <cellStyle name="Normal 6 11 3 2 3" xfId="12245" xr:uid="{00000000-0005-0000-0000-00000AA10000}"/>
    <cellStyle name="Normal 6 11 3 2 3 2" xfId="50519" xr:uid="{00000000-0005-0000-0000-00000BA10000}"/>
    <cellStyle name="Normal 6 11 3 2 3 3" xfId="34419" xr:uid="{00000000-0005-0000-0000-00000CA10000}"/>
    <cellStyle name="Normal 6 11 3 2 3 4" xfId="24850" xr:uid="{00000000-0005-0000-0000-00000DA10000}"/>
    <cellStyle name="Normal 6 11 3 2 4" xfId="6173" xr:uid="{00000000-0005-0000-0000-00000EA10000}"/>
    <cellStyle name="Normal 6 11 3 2 4 2" xfId="54014" xr:uid="{00000000-0005-0000-0000-00000FA10000}"/>
    <cellStyle name="Normal 6 11 3 2 4 3" xfId="37914" xr:uid="{00000000-0005-0000-0000-000010A10000}"/>
    <cellStyle name="Normal 6 11 3 2 4 4" xfId="18778" xr:uid="{00000000-0005-0000-0000-000011A10000}"/>
    <cellStyle name="Normal 6 11 3 2 5" xfId="44447" xr:uid="{00000000-0005-0000-0000-000012A10000}"/>
    <cellStyle name="Normal 6 11 3 2 6" xfId="28347" xr:uid="{00000000-0005-0000-0000-000013A10000}"/>
    <cellStyle name="Normal 6 11 3 2 7" xfId="15283" xr:uid="{00000000-0005-0000-0000-000014A10000}"/>
    <cellStyle name="Normal 6 11 3 3" xfId="1659" xr:uid="{00000000-0005-0000-0000-000015A10000}"/>
    <cellStyle name="Normal 6 11 3 3 2" xfId="8193" xr:uid="{00000000-0005-0000-0000-000016A10000}"/>
    <cellStyle name="Normal 6 11 3 3 2 2" xfId="39934" xr:uid="{00000000-0005-0000-0000-000017A10000}"/>
    <cellStyle name="Normal 6 11 3 3 2 2 2" xfId="56034" xr:uid="{00000000-0005-0000-0000-000018A10000}"/>
    <cellStyle name="Normal 6 11 3 3 2 3" xfId="46467" xr:uid="{00000000-0005-0000-0000-000019A10000}"/>
    <cellStyle name="Normal 6 11 3 3 2 4" xfId="30367" xr:uid="{00000000-0005-0000-0000-00001AA10000}"/>
    <cellStyle name="Normal 6 11 3 3 2 5" xfId="20798" xr:uid="{00000000-0005-0000-0000-00001BA10000}"/>
    <cellStyle name="Normal 6 11 3 3 3" xfId="11229" xr:uid="{00000000-0005-0000-0000-00001CA10000}"/>
    <cellStyle name="Normal 6 11 3 3 3 2" xfId="49503" xr:uid="{00000000-0005-0000-0000-00001DA10000}"/>
    <cellStyle name="Normal 6 11 3 3 3 3" xfId="33403" xr:uid="{00000000-0005-0000-0000-00001EA10000}"/>
    <cellStyle name="Normal 6 11 3 3 3 4" xfId="23834" xr:uid="{00000000-0005-0000-0000-00001FA10000}"/>
    <cellStyle name="Normal 6 11 3 3 4" xfId="5157" xr:uid="{00000000-0005-0000-0000-000020A10000}"/>
    <cellStyle name="Normal 6 11 3 3 4 2" xfId="52998" xr:uid="{00000000-0005-0000-0000-000021A10000}"/>
    <cellStyle name="Normal 6 11 3 3 4 3" xfId="36898" xr:uid="{00000000-0005-0000-0000-000022A10000}"/>
    <cellStyle name="Normal 6 11 3 3 4 4" xfId="17762" xr:uid="{00000000-0005-0000-0000-000023A10000}"/>
    <cellStyle name="Normal 6 11 3 3 5" xfId="43431" xr:uid="{00000000-0005-0000-0000-000024A10000}"/>
    <cellStyle name="Normal 6 11 3 3 6" xfId="27331" xr:uid="{00000000-0005-0000-0000-000025A10000}"/>
    <cellStyle name="Normal 6 11 3 3 7" xfId="14267" xr:uid="{00000000-0005-0000-0000-000026A10000}"/>
    <cellStyle name="Normal 6 11 3 4" xfId="7183" xr:uid="{00000000-0005-0000-0000-000027A10000}"/>
    <cellStyle name="Normal 6 11 3 4 2" xfId="38924" xr:uid="{00000000-0005-0000-0000-000028A10000}"/>
    <cellStyle name="Normal 6 11 3 4 2 2" xfId="55024" xr:uid="{00000000-0005-0000-0000-000029A10000}"/>
    <cellStyle name="Normal 6 11 3 4 3" xfId="45457" xr:uid="{00000000-0005-0000-0000-00002AA10000}"/>
    <cellStyle name="Normal 6 11 3 4 4" xfId="29357" xr:uid="{00000000-0005-0000-0000-00002BA10000}"/>
    <cellStyle name="Normal 6 11 3 4 5" xfId="19788" xr:uid="{00000000-0005-0000-0000-00002CA10000}"/>
    <cellStyle name="Normal 6 11 3 5" xfId="10219" xr:uid="{00000000-0005-0000-0000-00002DA10000}"/>
    <cellStyle name="Normal 6 11 3 5 2" xfId="48493" xr:uid="{00000000-0005-0000-0000-00002EA10000}"/>
    <cellStyle name="Normal 6 11 3 5 3" xfId="32393" xr:uid="{00000000-0005-0000-0000-00002FA10000}"/>
    <cellStyle name="Normal 6 11 3 5 4" xfId="22824" xr:uid="{00000000-0005-0000-0000-000030A10000}"/>
    <cellStyle name="Normal 6 11 3 6" xfId="4147" xr:uid="{00000000-0005-0000-0000-000031A10000}"/>
    <cellStyle name="Normal 6 11 3 6 2" xfId="51988" xr:uid="{00000000-0005-0000-0000-000032A10000}"/>
    <cellStyle name="Normal 6 11 3 6 3" xfId="35888" xr:uid="{00000000-0005-0000-0000-000033A10000}"/>
    <cellStyle name="Normal 6 11 3 6 4" xfId="16752" xr:uid="{00000000-0005-0000-0000-000034A10000}"/>
    <cellStyle name="Normal 6 11 3 7" xfId="42421" xr:uid="{00000000-0005-0000-0000-000035A10000}"/>
    <cellStyle name="Normal 6 11 3 8" xfId="26321" xr:uid="{00000000-0005-0000-0000-000036A10000}"/>
    <cellStyle name="Normal 6 11 3 9" xfId="13257" xr:uid="{00000000-0005-0000-0000-000037A10000}"/>
    <cellStyle name="Normal 6 11 4" xfId="2449" xr:uid="{00000000-0005-0000-0000-000038A10000}"/>
    <cellStyle name="Normal 6 11 4 2" xfId="8981" xr:uid="{00000000-0005-0000-0000-000039A10000}"/>
    <cellStyle name="Normal 6 11 4 2 2" xfId="40722" xr:uid="{00000000-0005-0000-0000-00003AA10000}"/>
    <cellStyle name="Normal 6 11 4 2 2 2" xfId="56822" xr:uid="{00000000-0005-0000-0000-00003BA10000}"/>
    <cellStyle name="Normal 6 11 4 2 3" xfId="47255" xr:uid="{00000000-0005-0000-0000-00003CA10000}"/>
    <cellStyle name="Normal 6 11 4 2 4" xfId="31155" xr:uid="{00000000-0005-0000-0000-00003DA10000}"/>
    <cellStyle name="Normal 6 11 4 2 5" xfId="21586" xr:uid="{00000000-0005-0000-0000-00003EA10000}"/>
    <cellStyle name="Normal 6 11 4 3" xfId="12017" xr:uid="{00000000-0005-0000-0000-00003FA10000}"/>
    <cellStyle name="Normal 6 11 4 3 2" xfId="50291" xr:uid="{00000000-0005-0000-0000-000040A10000}"/>
    <cellStyle name="Normal 6 11 4 3 3" xfId="34191" xr:uid="{00000000-0005-0000-0000-000041A10000}"/>
    <cellStyle name="Normal 6 11 4 3 4" xfId="24622" xr:uid="{00000000-0005-0000-0000-000042A10000}"/>
    <cellStyle name="Normal 6 11 4 4" xfId="5945" xr:uid="{00000000-0005-0000-0000-000043A10000}"/>
    <cellStyle name="Normal 6 11 4 4 2" xfId="53786" xr:uid="{00000000-0005-0000-0000-000044A10000}"/>
    <cellStyle name="Normal 6 11 4 4 3" xfId="37686" xr:uid="{00000000-0005-0000-0000-000045A10000}"/>
    <cellStyle name="Normal 6 11 4 4 4" xfId="18550" xr:uid="{00000000-0005-0000-0000-000046A10000}"/>
    <cellStyle name="Normal 6 11 4 5" xfId="44219" xr:uid="{00000000-0005-0000-0000-000047A10000}"/>
    <cellStyle name="Normal 6 11 4 6" xfId="28119" xr:uid="{00000000-0005-0000-0000-000048A10000}"/>
    <cellStyle name="Normal 6 11 4 7" xfId="15055" xr:uid="{00000000-0005-0000-0000-000049A10000}"/>
    <cellStyle name="Normal 6 11 5" xfId="1118" xr:uid="{00000000-0005-0000-0000-00004AA10000}"/>
    <cellStyle name="Normal 6 11 5 2" xfId="7652" xr:uid="{00000000-0005-0000-0000-00004BA10000}"/>
    <cellStyle name="Normal 6 11 5 2 2" xfId="39393" xr:uid="{00000000-0005-0000-0000-00004CA10000}"/>
    <cellStyle name="Normal 6 11 5 2 2 2" xfId="55493" xr:uid="{00000000-0005-0000-0000-00004DA10000}"/>
    <cellStyle name="Normal 6 11 5 2 3" xfId="45926" xr:uid="{00000000-0005-0000-0000-00004EA10000}"/>
    <cellStyle name="Normal 6 11 5 2 4" xfId="29826" xr:uid="{00000000-0005-0000-0000-00004FA10000}"/>
    <cellStyle name="Normal 6 11 5 2 5" xfId="20257" xr:uid="{00000000-0005-0000-0000-000050A10000}"/>
    <cellStyle name="Normal 6 11 5 3" xfId="10688" xr:uid="{00000000-0005-0000-0000-000051A10000}"/>
    <cellStyle name="Normal 6 11 5 3 2" xfId="48962" xr:uid="{00000000-0005-0000-0000-000052A10000}"/>
    <cellStyle name="Normal 6 11 5 3 3" xfId="32862" xr:uid="{00000000-0005-0000-0000-000053A10000}"/>
    <cellStyle name="Normal 6 11 5 3 4" xfId="23293" xr:uid="{00000000-0005-0000-0000-000054A10000}"/>
    <cellStyle name="Normal 6 11 5 4" xfId="4616" xr:uid="{00000000-0005-0000-0000-000055A10000}"/>
    <cellStyle name="Normal 6 11 5 4 2" xfId="52457" xr:uid="{00000000-0005-0000-0000-000056A10000}"/>
    <cellStyle name="Normal 6 11 5 4 3" xfId="36357" xr:uid="{00000000-0005-0000-0000-000057A10000}"/>
    <cellStyle name="Normal 6 11 5 4 4" xfId="17221" xr:uid="{00000000-0005-0000-0000-000058A10000}"/>
    <cellStyle name="Normal 6 11 5 5" xfId="42890" xr:uid="{00000000-0005-0000-0000-000059A10000}"/>
    <cellStyle name="Normal 6 11 5 6" xfId="26790" xr:uid="{00000000-0005-0000-0000-00005AA10000}"/>
    <cellStyle name="Normal 6 11 5 7" xfId="13726" xr:uid="{00000000-0005-0000-0000-00005BA10000}"/>
    <cellStyle name="Normal 6 11 6" xfId="3606" xr:uid="{00000000-0005-0000-0000-00005CA10000}"/>
    <cellStyle name="Normal 6 11 6 2" xfId="35347" xr:uid="{00000000-0005-0000-0000-00005DA10000}"/>
    <cellStyle name="Normal 6 11 6 2 2" xfId="51447" xr:uid="{00000000-0005-0000-0000-00005EA10000}"/>
    <cellStyle name="Normal 6 11 6 3" xfId="41880" xr:uid="{00000000-0005-0000-0000-00005FA10000}"/>
    <cellStyle name="Normal 6 11 6 4" xfId="25780" xr:uid="{00000000-0005-0000-0000-000060A10000}"/>
    <cellStyle name="Normal 6 11 6 5" xfId="16211" xr:uid="{00000000-0005-0000-0000-000061A10000}"/>
    <cellStyle name="Normal 6 11 7" xfId="6642" xr:uid="{00000000-0005-0000-0000-000062A10000}"/>
    <cellStyle name="Normal 6 11 7 2" xfId="38383" xr:uid="{00000000-0005-0000-0000-000063A10000}"/>
    <cellStyle name="Normal 6 11 7 2 2" xfId="54483" xr:uid="{00000000-0005-0000-0000-000064A10000}"/>
    <cellStyle name="Normal 6 11 7 3" xfId="44916" xr:uid="{00000000-0005-0000-0000-000065A10000}"/>
    <cellStyle name="Normal 6 11 7 4" xfId="28816" xr:uid="{00000000-0005-0000-0000-000066A10000}"/>
    <cellStyle name="Normal 6 11 7 5" xfId="19247" xr:uid="{00000000-0005-0000-0000-000067A10000}"/>
    <cellStyle name="Normal 6 11 8" xfId="9678" xr:uid="{00000000-0005-0000-0000-000068A10000}"/>
    <cellStyle name="Normal 6 11 8 2" xfId="47952" xr:uid="{00000000-0005-0000-0000-000069A10000}"/>
    <cellStyle name="Normal 6 11 8 3" xfId="31852" xr:uid="{00000000-0005-0000-0000-00006AA10000}"/>
    <cellStyle name="Normal 6 11 8 4" xfId="22283" xr:uid="{00000000-0005-0000-0000-00006BA10000}"/>
    <cellStyle name="Normal 6 11 9" xfId="3146" xr:uid="{00000000-0005-0000-0000-00006CA10000}"/>
    <cellStyle name="Normal 6 11 9 2" xfId="50988" xr:uid="{00000000-0005-0000-0000-00006DA10000}"/>
    <cellStyle name="Normal 6 11 9 3" xfId="34888" xr:uid="{00000000-0005-0000-0000-00006EA10000}"/>
    <cellStyle name="Normal 6 11 9 4" xfId="15752" xr:uid="{00000000-0005-0000-0000-00006FA10000}"/>
    <cellStyle name="Normal 6 12" xfId="415" xr:uid="{00000000-0005-0000-0000-000070A10000}"/>
    <cellStyle name="Normal 6 12 10" xfId="41404" xr:uid="{00000000-0005-0000-0000-000071A10000}"/>
    <cellStyle name="Normal 6 12 11" xfId="25304" xr:uid="{00000000-0005-0000-0000-000072A10000}"/>
    <cellStyle name="Normal 6 12 12" xfId="12699" xr:uid="{00000000-0005-0000-0000-000073A10000}"/>
    <cellStyle name="Normal 6 12 2" xfId="774" xr:uid="{00000000-0005-0000-0000-000074A10000}"/>
    <cellStyle name="Normal 6 12 2 10" xfId="13382" xr:uid="{00000000-0005-0000-0000-000075A10000}"/>
    <cellStyle name="Normal 6 12 2 2" xfId="2802" xr:uid="{00000000-0005-0000-0000-000076A10000}"/>
    <cellStyle name="Normal 6 12 2 2 2" xfId="9334" xr:uid="{00000000-0005-0000-0000-000077A10000}"/>
    <cellStyle name="Normal 6 12 2 2 2 2" xfId="41075" xr:uid="{00000000-0005-0000-0000-000078A10000}"/>
    <cellStyle name="Normal 6 12 2 2 2 2 2" xfId="57175" xr:uid="{00000000-0005-0000-0000-000079A10000}"/>
    <cellStyle name="Normal 6 12 2 2 2 3" xfId="47608" xr:uid="{00000000-0005-0000-0000-00007AA10000}"/>
    <cellStyle name="Normal 6 12 2 2 2 4" xfId="31508" xr:uid="{00000000-0005-0000-0000-00007BA10000}"/>
    <cellStyle name="Normal 6 12 2 2 2 5" xfId="21939" xr:uid="{00000000-0005-0000-0000-00007CA10000}"/>
    <cellStyle name="Normal 6 12 2 2 3" xfId="12370" xr:uid="{00000000-0005-0000-0000-00007DA10000}"/>
    <cellStyle name="Normal 6 12 2 2 3 2" xfId="50644" xr:uid="{00000000-0005-0000-0000-00007EA10000}"/>
    <cellStyle name="Normal 6 12 2 2 3 3" xfId="34544" xr:uid="{00000000-0005-0000-0000-00007FA10000}"/>
    <cellStyle name="Normal 6 12 2 2 3 4" xfId="24975" xr:uid="{00000000-0005-0000-0000-000080A10000}"/>
    <cellStyle name="Normal 6 12 2 2 4" xfId="6298" xr:uid="{00000000-0005-0000-0000-000081A10000}"/>
    <cellStyle name="Normal 6 12 2 2 4 2" xfId="54139" xr:uid="{00000000-0005-0000-0000-000082A10000}"/>
    <cellStyle name="Normal 6 12 2 2 4 3" xfId="38039" xr:uid="{00000000-0005-0000-0000-000083A10000}"/>
    <cellStyle name="Normal 6 12 2 2 4 4" xfId="18903" xr:uid="{00000000-0005-0000-0000-000084A10000}"/>
    <cellStyle name="Normal 6 12 2 2 5" xfId="44572" xr:uid="{00000000-0005-0000-0000-000085A10000}"/>
    <cellStyle name="Normal 6 12 2 2 6" xfId="28472" xr:uid="{00000000-0005-0000-0000-000086A10000}"/>
    <cellStyle name="Normal 6 12 2 2 7" xfId="15408" xr:uid="{00000000-0005-0000-0000-000087A10000}"/>
    <cellStyle name="Normal 6 12 2 3" xfId="1784" xr:uid="{00000000-0005-0000-0000-000088A10000}"/>
    <cellStyle name="Normal 6 12 2 3 2" xfId="8318" xr:uid="{00000000-0005-0000-0000-000089A10000}"/>
    <cellStyle name="Normal 6 12 2 3 2 2" xfId="40059" xr:uid="{00000000-0005-0000-0000-00008AA10000}"/>
    <cellStyle name="Normal 6 12 2 3 2 2 2" xfId="56159" xr:uid="{00000000-0005-0000-0000-00008BA10000}"/>
    <cellStyle name="Normal 6 12 2 3 2 3" xfId="46592" xr:uid="{00000000-0005-0000-0000-00008CA10000}"/>
    <cellStyle name="Normal 6 12 2 3 2 4" xfId="30492" xr:uid="{00000000-0005-0000-0000-00008DA10000}"/>
    <cellStyle name="Normal 6 12 2 3 2 5" xfId="20923" xr:uid="{00000000-0005-0000-0000-00008EA10000}"/>
    <cellStyle name="Normal 6 12 2 3 3" xfId="11354" xr:uid="{00000000-0005-0000-0000-00008FA10000}"/>
    <cellStyle name="Normal 6 12 2 3 3 2" xfId="49628" xr:uid="{00000000-0005-0000-0000-000090A10000}"/>
    <cellStyle name="Normal 6 12 2 3 3 3" xfId="33528" xr:uid="{00000000-0005-0000-0000-000091A10000}"/>
    <cellStyle name="Normal 6 12 2 3 3 4" xfId="23959" xr:uid="{00000000-0005-0000-0000-000092A10000}"/>
    <cellStyle name="Normal 6 12 2 3 4" xfId="5282" xr:uid="{00000000-0005-0000-0000-000093A10000}"/>
    <cellStyle name="Normal 6 12 2 3 4 2" xfId="53123" xr:uid="{00000000-0005-0000-0000-000094A10000}"/>
    <cellStyle name="Normal 6 12 2 3 4 3" xfId="37023" xr:uid="{00000000-0005-0000-0000-000095A10000}"/>
    <cellStyle name="Normal 6 12 2 3 4 4" xfId="17887" xr:uid="{00000000-0005-0000-0000-000096A10000}"/>
    <cellStyle name="Normal 6 12 2 3 5" xfId="43556" xr:uid="{00000000-0005-0000-0000-000097A10000}"/>
    <cellStyle name="Normal 6 12 2 3 6" xfId="27456" xr:uid="{00000000-0005-0000-0000-000098A10000}"/>
    <cellStyle name="Normal 6 12 2 3 7" xfId="14392" xr:uid="{00000000-0005-0000-0000-000099A10000}"/>
    <cellStyle name="Normal 6 12 2 4" xfId="4272" xr:uid="{00000000-0005-0000-0000-00009AA10000}"/>
    <cellStyle name="Normal 6 12 2 4 2" xfId="36013" xr:uid="{00000000-0005-0000-0000-00009BA10000}"/>
    <cellStyle name="Normal 6 12 2 4 2 2" xfId="52113" xr:uid="{00000000-0005-0000-0000-00009CA10000}"/>
    <cellStyle name="Normal 6 12 2 4 3" xfId="42546" xr:uid="{00000000-0005-0000-0000-00009DA10000}"/>
    <cellStyle name="Normal 6 12 2 4 4" xfId="26446" xr:uid="{00000000-0005-0000-0000-00009EA10000}"/>
    <cellStyle name="Normal 6 12 2 4 5" xfId="16877" xr:uid="{00000000-0005-0000-0000-00009FA10000}"/>
    <cellStyle name="Normal 6 12 2 5" xfId="7308" xr:uid="{00000000-0005-0000-0000-0000A0A10000}"/>
    <cellStyle name="Normal 6 12 2 5 2" xfId="39049" xr:uid="{00000000-0005-0000-0000-0000A1A10000}"/>
    <cellStyle name="Normal 6 12 2 5 2 2" xfId="55149" xr:uid="{00000000-0005-0000-0000-0000A2A10000}"/>
    <cellStyle name="Normal 6 12 2 5 3" xfId="45582" xr:uid="{00000000-0005-0000-0000-0000A3A10000}"/>
    <cellStyle name="Normal 6 12 2 5 4" xfId="29482" xr:uid="{00000000-0005-0000-0000-0000A4A10000}"/>
    <cellStyle name="Normal 6 12 2 5 5" xfId="19913" xr:uid="{00000000-0005-0000-0000-0000A5A10000}"/>
    <cellStyle name="Normal 6 12 2 6" xfId="10344" xr:uid="{00000000-0005-0000-0000-0000A6A10000}"/>
    <cellStyle name="Normal 6 12 2 6 2" xfId="48618" xr:uid="{00000000-0005-0000-0000-0000A7A10000}"/>
    <cellStyle name="Normal 6 12 2 6 3" xfId="32518" xr:uid="{00000000-0005-0000-0000-0000A8A10000}"/>
    <cellStyle name="Normal 6 12 2 6 4" xfId="22949" xr:uid="{00000000-0005-0000-0000-0000A9A10000}"/>
    <cellStyle name="Normal 6 12 2 7" xfId="3367" xr:uid="{00000000-0005-0000-0000-0000AAA10000}"/>
    <cellStyle name="Normal 6 12 2 7 2" xfId="51208" xr:uid="{00000000-0005-0000-0000-0000ABA10000}"/>
    <cellStyle name="Normal 6 12 2 7 3" xfId="35108" xr:uid="{00000000-0005-0000-0000-0000ACA10000}"/>
    <cellStyle name="Normal 6 12 2 7 4" xfId="15972" xr:uid="{00000000-0005-0000-0000-0000ADA10000}"/>
    <cellStyle name="Normal 6 12 2 8" xfId="41641" xr:uid="{00000000-0005-0000-0000-0000AEA10000}"/>
    <cellStyle name="Normal 6 12 2 9" xfId="25541" xr:uid="{00000000-0005-0000-0000-0000AFA10000}"/>
    <cellStyle name="Normal 6 12 3" xfId="632" xr:uid="{00000000-0005-0000-0000-0000B0A10000}"/>
    <cellStyle name="Normal 6 12 3 2" xfId="2660" xr:uid="{00000000-0005-0000-0000-0000B1A10000}"/>
    <cellStyle name="Normal 6 12 3 2 2" xfId="9192" xr:uid="{00000000-0005-0000-0000-0000B2A10000}"/>
    <cellStyle name="Normal 6 12 3 2 2 2" xfId="40933" xr:uid="{00000000-0005-0000-0000-0000B3A10000}"/>
    <cellStyle name="Normal 6 12 3 2 2 2 2" xfId="57033" xr:uid="{00000000-0005-0000-0000-0000B4A10000}"/>
    <cellStyle name="Normal 6 12 3 2 2 3" xfId="47466" xr:uid="{00000000-0005-0000-0000-0000B5A10000}"/>
    <cellStyle name="Normal 6 12 3 2 2 4" xfId="31366" xr:uid="{00000000-0005-0000-0000-0000B6A10000}"/>
    <cellStyle name="Normal 6 12 3 2 2 5" xfId="21797" xr:uid="{00000000-0005-0000-0000-0000B7A10000}"/>
    <cellStyle name="Normal 6 12 3 2 3" xfId="12228" xr:uid="{00000000-0005-0000-0000-0000B8A10000}"/>
    <cellStyle name="Normal 6 12 3 2 3 2" xfId="50502" xr:uid="{00000000-0005-0000-0000-0000B9A10000}"/>
    <cellStyle name="Normal 6 12 3 2 3 3" xfId="34402" xr:uid="{00000000-0005-0000-0000-0000BAA10000}"/>
    <cellStyle name="Normal 6 12 3 2 3 4" xfId="24833" xr:uid="{00000000-0005-0000-0000-0000BBA10000}"/>
    <cellStyle name="Normal 6 12 3 2 4" xfId="6156" xr:uid="{00000000-0005-0000-0000-0000BCA10000}"/>
    <cellStyle name="Normal 6 12 3 2 4 2" xfId="53997" xr:uid="{00000000-0005-0000-0000-0000BDA10000}"/>
    <cellStyle name="Normal 6 12 3 2 4 3" xfId="37897" xr:uid="{00000000-0005-0000-0000-0000BEA10000}"/>
    <cellStyle name="Normal 6 12 3 2 4 4" xfId="18761" xr:uid="{00000000-0005-0000-0000-0000BFA10000}"/>
    <cellStyle name="Normal 6 12 3 2 5" xfId="44430" xr:uid="{00000000-0005-0000-0000-0000C0A10000}"/>
    <cellStyle name="Normal 6 12 3 2 6" xfId="28330" xr:uid="{00000000-0005-0000-0000-0000C1A10000}"/>
    <cellStyle name="Normal 6 12 3 2 7" xfId="15266" xr:uid="{00000000-0005-0000-0000-0000C2A10000}"/>
    <cellStyle name="Normal 6 12 3 3" xfId="1642" xr:uid="{00000000-0005-0000-0000-0000C3A10000}"/>
    <cellStyle name="Normal 6 12 3 3 2" xfId="8176" xr:uid="{00000000-0005-0000-0000-0000C4A10000}"/>
    <cellStyle name="Normal 6 12 3 3 2 2" xfId="39917" xr:uid="{00000000-0005-0000-0000-0000C5A10000}"/>
    <cellStyle name="Normal 6 12 3 3 2 2 2" xfId="56017" xr:uid="{00000000-0005-0000-0000-0000C6A10000}"/>
    <cellStyle name="Normal 6 12 3 3 2 3" xfId="46450" xr:uid="{00000000-0005-0000-0000-0000C7A10000}"/>
    <cellStyle name="Normal 6 12 3 3 2 4" xfId="30350" xr:uid="{00000000-0005-0000-0000-0000C8A10000}"/>
    <cellStyle name="Normal 6 12 3 3 2 5" xfId="20781" xr:uid="{00000000-0005-0000-0000-0000C9A10000}"/>
    <cellStyle name="Normal 6 12 3 3 3" xfId="11212" xr:uid="{00000000-0005-0000-0000-0000CAA10000}"/>
    <cellStyle name="Normal 6 12 3 3 3 2" xfId="49486" xr:uid="{00000000-0005-0000-0000-0000CBA10000}"/>
    <cellStyle name="Normal 6 12 3 3 3 3" xfId="33386" xr:uid="{00000000-0005-0000-0000-0000CCA10000}"/>
    <cellStyle name="Normal 6 12 3 3 3 4" xfId="23817" xr:uid="{00000000-0005-0000-0000-0000CDA10000}"/>
    <cellStyle name="Normal 6 12 3 3 4" xfId="5140" xr:uid="{00000000-0005-0000-0000-0000CEA10000}"/>
    <cellStyle name="Normal 6 12 3 3 4 2" xfId="52981" xr:uid="{00000000-0005-0000-0000-0000CFA10000}"/>
    <cellStyle name="Normal 6 12 3 3 4 3" xfId="36881" xr:uid="{00000000-0005-0000-0000-0000D0A10000}"/>
    <cellStyle name="Normal 6 12 3 3 4 4" xfId="17745" xr:uid="{00000000-0005-0000-0000-0000D1A10000}"/>
    <cellStyle name="Normal 6 12 3 3 5" xfId="43414" xr:uid="{00000000-0005-0000-0000-0000D2A10000}"/>
    <cellStyle name="Normal 6 12 3 3 6" xfId="27314" xr:uid="{00000000-0005-0000-0000-0000D3A10000}"/>
    <cellStyle name="Normal 6 12 3 3 7" xfId="14250" xr:uid="{00000000-0005-0000-0000-0000D4A10000}"/>
    <cellStyle name="Normal 6 12 3 4" xfId="7166" xr:uid="{00000000-0005-0000-0000-0000D5A10000}"/>
    <cellStyle name="Normal 6 12 3 4 2" xfId="38907" xr:uid="{00000000-0005-0000-0000-0000D6A10000}"/>
    <cellStyle name="Normal 6 12 3 4 2 2" xfId="55007" xr:uid="{00000000-0005-0000-0000-0000D7A10000}"/>
    <cellStyle name="Normal 6 12 3 4 3" xfId="45440" xr:uid="{00000000-0005-0000-0000-0000D8A10000}"/>
    <cellStyle name="Normal 6 12 3 4 4" xfId="29340" xr:uid="{00000000-0005-0000-0000-0000D9A10000}"/>
    <cellStyle name="Normal 6 12 3 4 5" xfId="19771" xr:uid="{00000000-0005-0000-0000-0000DAA10000}"/>
    <cellStyle name="Normal 6 12 3 5" xfId="10202" xr:uid="{00000000-0005-0000-0000-0000DBA10000}"/>
    <cellStyle name="Normal 6 12 3 5 2" xfId="48476" xr:uid="{00000000-0005-0000-0000-0000DCA10000}"/>
    <cellStyle name="Normal 6 12 3 5 3" xfId="32376" xr:uid="{00000000-0005-0000-0000-0000DDA10000}"/>
    <cellStyle name="Normal 6 12 3 5 4" xfId="22807" xr:uid="{00000000-0005-0000-0000-0000DEA10000}"/>
    <cellStyle name="Normal 6 12 3 6" xfId="4130" xr:uid="{00000000-0005-0000-0000-0000DFA10000}"/>
    <cellStyle name="Normal 6 12 3 6 2" xfId="51971" xr:uid="{00000000-0005-0000-0000-0000E0A10000}"/>
    <cellStyle name="Normal 6 12 3 6 3" xfId="35871" xr:uid="{00000000-0005-0000-0000-0000E1A10000}"/>
    <cellStyle name="Normal 6 12 3 6 4" xfId="16735" xr:uid="{00000000-0005-0000-0000-0000E2A10000}"/>
    <cellStyle name="Normal 6 12 3 7" xfId="42404" xr:uid="{00000000-0005-0000-0000-0000E3A10000}"/>
    <cellStyle name="Normal 6 12 3 8" xfId="26304" xr:uid="{00000000-0005-0000-0000-0000E4A10000}"/>
    <cellStyle name="Normal 6 12 3 9" xfId="13240" xr:uid="{00000000-0005-0000-0000-0000E5A10000}"/>
    <cellStyle name="Normal 6 12 4" xfId="2432" xr:uid="{00000000-0005-0000-0000-0000E6A10000}"/>
    <cellStyle name="Normal 6 12 4 2" xfId="8964" xr:uid="{00000000-0005-0000-0000-0000E7A10000}"/>
    <cellStyle name="Normal 6 12 4 2 2" xfId="40705" xr:uid="{00000000-0005-0000-0000-0000E8A10000}"/>
    <cellStyle name="Normal 6 12 4 2 2 2" xfId="56805" xr:uid="{00000000-0005-0000-0000-0000E9A10000}"/>
    <cellStyle name="Normal 6 12 4 2 3" xfId="47238" xr:uid="{00000000-0005-0000-0000-0000EAA10000}"/>
    <cellStyle name="Normal 6 12 4 2 4" xfId="31138" xr:uid="{00000000-0005-0000-0000-0000EBA10000}"/>
    <cellStyle name="Normal 6 12 4 2 5" xfId="21569" xr:uid="{00000000-0005-0000-0000-0000ECA10000}"/>
    <cellStyle name="Normal 6 12 4 3" xfId="12000" xr:uid="{00000000-0005-0000-0000-0000EDA10000}"/>
    <cellStyle name="Normal 6 12 4 3 2" xfId="50274" xr:uid="{00000000-0005-0000-0000-0000EEA10000}"/>
    <cellStyle name="Normal 6 12 4 3 3" xfId="34174" xr:uid="{00000000-0005-0000-0000-0000EFA10000}"/>
    <cellStyle name="Normal 6 12 4 3 4" xfId="24605" xr:uid="{00000000-0005-0000-0000-0000F0A10000}"/>
    <cellStyle name="Normal 6 12 4 4" xfId="5928" xr:uid="{00000000-0005-0000-0000-0000F1A10000}"/>
    <cellStyle name="Normal 6 12 4 4 2" xfId="53769" xr:uid="{00000000-0005-0000-0000-0000F2A10000}"/>
    <cellStyle name="Normal 6 12 4 4 3" xfId="37669" xr:uid="{00000000-0005-0000-0000-0000F3A10000}"/>
    <cellStyle name="Normal 6 12 4 4 4" xfId="18533" xr:uid="{00000000-0005-0000-0000-0000F4A10000}"/>
    <cellStyle name="Normal 6 12 4 5" xfId="44202" xr:uid="{00000000-0005-0000-0000-0000F5A10000}"/>
    <cellStyle name="Normal 6 12 4 6" xfId="28102" xr:uid="{00000000-0005-0000-0000-0000F6A10000}"/>
    <cellStyle name="Normal 6 12 4 7" xfId="15038" xr:uid="{00000000-0005-0000-0000-0000F7A10000}"/>
    <cellStyle name="Normal 6 12 5" xfId="1101" xr:uid="{00000000-0005-0000-0000-0000F8A10000}"/>
    <cellStyle name="Normal 6 12 5 2" xfId="7635" xr:uid="{00000000-0005-0000-0000-0000F9A10000}"/>
    <cellStyle name="Normal 6 12 5 2 2" xfId="39376" xr:uid="{00000000-0005-0000-0000-0000FAA10000}"/>
    <cellStyle name="Normal 6 12 5 2 2 2" xfId="55476" xr:uid="{00000000-0005-0000-0000-0000FBA10000}"/>
    <cellStyle name="Normal 6 12 5 2 3" xfId="45909" xr:uid="{00000000-0005-0000-0000-0000FCA10000}"/>
    <cellStyle name="Normal 6 12 5 2 4" xfId="29809" xr:uid="{00000000-0005-0000-0000-0000FDA10000}"/>
    <cellStyle name="Normal 6 12 5 2 5" xfId="20240" xr:uid="{00000000-0005-0000-0000-0000FEA10000}"/>
    <cellStyle name="Normal 6 12 5 3" xfId="10671" xr:uid="{00000000-0005-0000-0000-0000FFA10000}"/>
    <cellStyle name="Normal 6 12 5 3 2" xfId="48945" xr:uid="{00000000-0005-0000-0000-000000A20000}"/>
    <cellStyle name="Normal 6 12 5 3 3" xfId="32845" xr:uid="{00000000-0005-0000-0000-000001A20000}"/>
    <cellStyle name="Normal 6 12 5 3 4" xfId="23276" xr:uid="{00000000-0005-0000-0000-000002A20000}"/>
    <cellStyle name="Normal 6 12 5 4" xfId="4599" xr:uid="{00000000-0005-0000-0000-000003A20000}"/>
    <cellStyle name="Normal 6 12 5 4 2" xfId="52440" xr:uid="{00000000-0005-0000-0000-000004A20000}"/>
    <cellStyle name="Normal 6 12 5 4 3" xfId="36340" xr:uid="{00000000-0005-0000-0000-000005A20000}"/>
    <cellStyle name="Normal 6 12 5 4 4" xfId="17204" xr:uid="{00000000-0005-0000-0000-000006A20000}"/>
    <cellStyle name="Normal 6 12 5 5" xfId="42873" xr:uid="{00000000-0005-0000-0000-000007A20000}"/>
    <cellStyle name="Normal 6 12 5 6" xfId="26773" xr:uid="{00000000-0005-0000-0000-000008A20000}"/>
    <cellStyle name="Normal 6 12 5 7" xfId="13709" xr:uid="{00000000-0005-0000-0000-000009A20000}"/>
    <cellStyle name="Normal 6 12 6" xfId="3589" xr:uid="{00000000-0005-0000-0000-00000AA20000}"/>
    <cellStyle name="Normal 6 12 6 2" xfId="35330" xr:uid="{00000000-0005-0000-0000-00000BA20000}"/>
    <cellStyle name="Normal 6 12 6 2 2" xfId="51430" xr:uid="{00000000-0005-0000-0000-00000CA20000}"/>
    <cellStyle name="Normal 6 12 6 3" xfId="41863" xr:uid="{00000000-0005-0000-0000-00000DA20000}"/>
    <cellStyle name="Normal 6 12 6 4" xfId="25763" xr:uid="{00000000-0005-0000-0000-00000EA20000}"/>
    <cellStyle name="Normal 6 12 6 5" xfId="16194" xr:uid="{00000000-0005-0000-0000-00000FA20000}"/>
    <cellStyle name="Normal 6 12 7" xfId="6625" xr:uid="{00000000-0005-0000-0000-000010A20000}"/>
    <cellStyle name="Normal 6 12 7 2" xfId="38366" xr:uid="{00000000-0005-0000-0000-000011A20000}"/>
    <cellStyle name="Normal 6 12 7 2 2" xfId="54466" xr:uid="{00000000-0005-0000-0000-000012A20000}"/>
    <cellStyle name="Normal 6 12 7 3" xfId="44899" xr:uid="{00000000-0005-0000-0000-000013A20000}"/>
    <cellStyle name="Normal 6 12 7 4" xfId="28799" xr:uid="{00000000-0005-0000-0000-000014A20000}"/>
    <cellStyle name="Normal 6 12 7 5" xfId="19230" xr:uid="{00000000-0005-0000-0000-000015A20000}"/>
    <cellStyle name="Normal 6 12 8" xfId="9661" xr:uid="{00000000-0005-0000-0000-000016A20000}"/>
    <cellStyle name="Normal 6 12 8 2" xfId="47935" xr:uid="{00000000-0005-0000-0000-000017A20000}"/>
    <cellStyle name="Normal 6 12 8 3" xfId="31835" xr:uid="{00000000-0005-0000-0000-000018A20000}"/>
    <cellStyle name="Normal 6 12 8 4" xfId="22266" xr:uid="{00000000-0005-0000-0000-000019A20000}"/>
    <cellStyle name="Normal 6 12 9" xfId="3129" xr:uid="{00000000-0005-0000-0000-00001AA20000}"/>
    <cellStyle name="Normal 6 12 9 2" xfId="50971" xr:uid="{00000000-0005-0000-0000-00001BA20000}"/>
    <cellStyle name="Normal 6 12 9 3" xfId="34871" xr:uid="{00000000-0005-0000-0000-00001CA20000}"/>
    <cellStyle name="Normal 6 12 9 4" xfId="15735" xr:uid="{00000000-0005-0000-0000-00001DA20000}"/>
    <cellStyle name="Normal 6 13" xfId="497" xr:uid="{00000000-0005-0000-0000-00001EA20000}"/>
    <cellStyle name="Normal 6 13 10" xfId="25480" xr:uid="{00000000-0005-0000-0000-00001FA20000}"/>
    <cellStyle name="Normal 6 13 11" xfId="12874" xr:uid="{00000000-0005-0000-0000-000020A20000}"/>
    <cellStyle name="Normal 6 13 2" xfId="949" xr:uid="{00000000-0005-0000-0000-000021A20000}"/>
    <cellStyle name="Normal 6 13 2 2" xfId="2977" xr:uid="{00000000-0005-0000-0000-000022A20000}"/>
    <cellStyle name="Normal 6 13 2 2 2" xfId="9509" xr:uid="{00000000-0005-0000-0000-000023A20000}"/>
    <cellStyle name="Normal 6 13 2 2 2 2" xfId="41250" xr:uid="{00000000-0005-0000-0000-000024A20000}"/>
    <cellStyle name="Normal 6 13 2 2 2 2 2" xfId="57350" xr:uid="{00000000-0005-0000-0000-000025A20000}"/>
    <cellStyle name="Normal 6 13 2 2 2 3" xfId="47783" xr:uid="{00000000-0005-0000-0000-000026A20000}"/>
    <cellStyle name="Normal 6 13 2 2 2 4" xfId="31683" xr:uid="{00000000-0005-0000-0000-000027A20000}"/>
    <cellStyle name="Normal 6 13 2 2 2 5" xfId="22114" xr:uid="{00000000-0005-0000-0000-000028A20000}"/>
    <cellStyle name="Normal 6 13 2 2 3" xfId="12545" xr:uid="{00000000-0005-0000-0000-000029A20000}"/>
    <cellStyle name="Normal 6 13 2 2 3 2" xfId="50819" xr:uid="{00000000-0005-0000-0000-00002AA20000}"/>
    <cellStyle name="Normal 6 13 2 2 3 3" xfId="34719" xr:uid="{00000000-0005-0000-0000-00002BA20000}"/>
    <cellStyle name="Normal 6 13 2 2 3 4" xfId="25150" xr:uid="{00000000-0005-0000-0000-00002CA20000}"/>
    <cellStyle name="Normal 6 13 2 2 4" xfId="6473" xr:uid="{00000000-0005-0000-0000-00002DA20000}"/>
    <cellStyle name="Normal 6 13 2 2 4 2" xfId="54314" xr:uid="{00000000-0005-0000-0000-00002EA20000}"/>
    <cellStyle name="Normal 6 13 2 2 4 3" xfId="38214" xr:uid="{00000000-0005-0000-0000-00002FA20000}"/>
    <cellStyle name="Normal 6 13 2 2 4 4" xfId="19078" xr:uid="{00000000-0005-0000-0000-000030A20000}"/>
    <cellStyle name="Normal 6 13 2 2 5" xfId="44747" xr:uid="{00000000-0005-0000-0000-000031A20000}"/>
    <cellStyle name="Normal 6 13 2 2 6" xfId="28647" xr:uid="{00000000-0005-0000-0000-000032A20000}"/>
    <cellStyle name="Normal 6 13 2 2 7" xfId="15583" xr:uid="{00000000-0005-0000-0000-000033A20000}"/>
    <cellStyle name="Normal 6 13 2 3" xfId="1959" xr:uid="{00000000-0005-0000-0000-000034A20000}"/>
    <cellStyle name="Normal 6 13 2 3 2" xfId="8493" xr:uid="{00000000-0005-0000-0000-000035A20000}"/>
    <cellStyle name="Normal 6 13 2 3 2 2" xfId="40234" xr:uid="{00000000-0005-0000-0000-000036A20000}"/>
    <cellStyle name="Normal 6 13 2 3 2 2 2" xfId="56334" xr:uid="{00000000-0005-0000-0000-000037A20000}"/>
    <cellStyle name="Normal 6 13 2 3 2 3" xfId="46767" xr:uid="{00000000-0005-0000-0000-000038A20000}"/>
    <cellStyle name="Normal 6 13 2 3 2 4" xfId="30667" xr:uid="{00000000-0005-0000-0000-000039A20000}"/>
    <cellStyle name="Normal 6 13 2 3 2 5" xfId="21098" xr:uid="{00000000-0005-0000-0000-00003AA20000}"/>
    <cellStyle name="Normal 6 13 2 3 3" xfId="11529" xr:uid="{00000000-0005-0000-0000-00003BA20000}"/>
    <cellStyle name="Normal 6 13 2 3 3 2" xfId="49803" xr:uid="{00000000-0005-0000-0000-00003CA20000}"/>
    <cellStyle name="Normal 6 13 2 3 3 3" xfId="33703" xr:uid="{00000000-0005-0000-0000-00003DA20000}"/>
    <cellStyle name="Normal 6 13 2 3 3 4" xfId="24134" xr:uid="{00000000-0005-0000-0000-00003EA20000}"/>
    <cellStyle name="Normal 6 13 2 3 4" xfId="5457" xr:uid="{00000000-0005-0000-0000-00003FA20000}"/>
    <cellStyle name="Normal 6 13 2 3 4 2" xfId="53298" xr:uid="{00000000-0005-0000-0000-000040A20000}"/>
    <cellStyle name="Normal 6 13 2 3 4 3" xfId="37198" xr:uid="{00000000-0005-0000-0000-000041A20000}"/>
    <cellStyle name="Normal 6 13 2 3 4 4" xfId="18062" xr:uid="{00000000-0005-0000-0000-000042A20000}"/>
    <cellStyle name="Normal 6 13 2 3 5" xfId="43731" xr:uid="{00000000-0005-0000-0000-000043A20000}"/>
    <cellStyle name="Normal 6 13 2 3 6" xfId="27631" xr:uid="{00000000-0005-0000-0000-000044A20000}"/>
    <cellStyle name="Normal 6 13 2 3 7" xfId="14567" xr:uid="{00000000-0005-0000-0000-000045A20000}"/>
    <cellStyle name="Normal 6 13 2 4" xfId="7483" xr:uid="{00000000-0005-0000-0000-000046A20000}"/>
    <cellStyle name="Normal 6 13 2 4 2" xfId="39224" xr:uid="{00000000-0005-0000-0000-000047A20000}"/>
    <cellStyle name="Normal 6 13 2 4 2 2" xfId="55324" xr:uid="{00000000-0005-0000-0000-000048A20000}"/>
    <cellStyle name="Normal 6 13 2 4 3" xfId="45757" xr:uid="{00000000-0005-0000-0000-000049A20000}"/>
    <cellStyle name="Normal 6 13 2 4 4" xfId="29657" xr:uid="{00000000-0005-0000-0000-00004AA20000}"/>
    <cellStyle name="Normal 6 13 2 4 5" xfId="20088" xr:uid="{00000000-0005-0000-0000-00004BA20000}"/>
    <cellStyle name="Normal 6 13 2 5" xfId="10519" xr:uid="{00000000-0005-0000-0000-00004CA20000}"/>
    <cellStyle name="Normal 6 13 2 5 2" xfId="48793" xr:uid="{00000000-0005-0000-0000-00004DA20000}"/>
    <cellStyle name="Normal 6 13 2 5 3" xfId="32693" xr:uid="{00000000-0005-0000-0000-00004EA20000}"/>
    <cellStyle name="Normal 6 13 2 5 4" xfId="23124" xr:uid="{00000000-0005-0000-0000-00004FA20000}"/>
    <cellStyle name="Normal 6 13 2 6" xfId="4447" xr:uid="{00000000-0005-0000-0000-000050A20000}"/>
    <cellStyle name="Normal 6 13 2 6 2" xfId="52288" xr:uid="{00000000-0005-0000-0000-000051A20000}"/>
    <cellStyle name="Normal 6 13 2 6 3" xfId="36188" xr:uid="{00000000-0005-0000-0000-000052A20000}"/>
    <cellStyle name="Normal 6 13 2 6 4" xfId="17052" xr:uid="{00000000-0005-0000-0000-000053A20000}"/>
    <cellStyle name="Normal 6 13 2 7" xfId="42721" xr:uid="{00000000-0005-0000-0000-000054A20000}"/>
    <cellStyle name="Normal 6 13 2 8" xfId="26621" xr:uid="{00000000-0005-0000-0000-000055A20000}"/>
    <cellStyle name="Normal 6 13 2 9" xfId="13557" xr:uid="{00000000-0005-0000-0000-000056A20000}"/>
    <cellStyle name="Normal 6 13 3" xfId="2527" xr:uid="{00000000-0005-0000-0000-000057A20000}"/>
    <cellStyle name="Normal 6 13 3 2" xfId="9059" xr:uid="{00000000-0005-0000-0000-000058A20000}"/>
    <cellStyle name="Normal 6 13 3 2 2" xfId="40800" xr:uid="{00000000-0005-0000-0000-000059A20000}"/>
    <cellStyle name="Normal 6 13 3 2 2 2" xfId="56900" xr:uid="{00000000-0005-0000-0000-00005AA20000}"/>
    <cellStyle name="Normal 6 13 3 2 3" xfId="47333" xr:uid="{00000000-0005-0000-0000-00005BA20000}"/>
    <cellStyle name="Normal 6 13 3 2 4" xfId="31233" xr:uid="{00000000-0005-0000-0000-00005CA20000}"/>
    <cellStyle name="Normal 6 13 3 2 5" xfId="21664" xr:uid="{00000000-0005-0000-0000-00005DA20000}"/>
    <cellStyle name="Normal 6 13 3 3" xfId="12095" xr:uid="{00000000-0005-0000-0000-00005EA20000}"/>
    <cellStyle name="Normal 6 13 3 3 2" xfId="50369" xr:uid="{00000000-0005-0000-0000-00005FA20000}"/>
    <cellStyle name="Normal 6 13 3 3 3" xfId="34269" xr:uid="{00000000-0005-0000-0000-000060A20000}"/>
    <cellStyle name="Normal 6 13 3 3 4" xfId="24700" xr:uid="{00000000-0005-0000-0000-000061A20000}"/>
    <cellStyle name="Normal 6 13 3 4" xfId="6023" xr:uid="{00000000-0005-0000-0000-000062A20000}"/>
    <cellStyle name="Normal 6 13 3 4 2" xfId="53864" xr:uid="{00000000-0005-0000-0000-000063A20000}"/>
    <cellStyle name="Normal 6 13 3 4 3" xfId="37764" xr:uid="{00000000-0005-0000-0000-000064A20000}"/>
    <cellStyle name="Normal 6 13 3 4 4" xfId="18628" xr:uid="{00000000-0005-0000-0000-000065A20000}"/>
    <cellStyle name="Normal 6 13 3 5" xfId="44297" xr:uid="{00000000-0005-0000-0000-000066A20000}"/>
    <cellStyle name="Normal 6 13 3 6" xfId="28197" xr:uid="{00000000-0005-0000-0000-000067A20000}"/>
    <cellStyle name="Normal 6 13 3 7" xfId="15133" xr:uid="{00000000-0005-0000-0000-000068A20000}"/>
    <cellStyle name="Normal 6 13 4" xfId="1276" xr:uid="{00000000-0005-0000-0000-000069A20000}"/>
    <cellStyle name="Normal 6 13 4 2" xfId="7810" xr:uid="{00000000-0005-0000-0000-00006AA20000}"/>
    <cellStyle name="Normal 6 13 4 2 2" xfId="39551" xr:uid="{00000000-0005-0000-0000-00006BA20000}"/>
    <cellStyle name="Normal 6 13 4 2 2 2" xfId="55651" xr:uid="{00000000-0005-0000-0000-00006CA20000}"/>
    <cellStyle name="Normal 6 13 4 2 3" xfId="46084" xr:uid="{00000000-0005-0000-0000-00006DA20000}"/>
    <cellStyle name="Normal 6 13 4 2 4" xfId="29984" xr:uid="{00000000-0005-0000-0000-00006EA20000}"/>
    <cellStyle name="Normal 6 13 4 2 5" xfId="20415" xr:uid="{00000000-0005-0000-0000-00006FA20000}"/>
    <cellStyle name="Normal 6 13 4 3" xfId="10846" xr:uid="{00000000-0005-0000-0000-000070A20000}"/>
    <cellStyle name="Normal 6 13 4 3 2" xfId="49120" xr:uid="{00000000-0005-0000-0000-000071A20000}"/>
    <cellStyle name="Normal 6 13 4 3 3" xfId="33020" xr:uid="{00000000-0005-0000-0000-000072A20000}"/>
    <cellStyle name="Normal 6 13 4 3 4" xfId="23451" xr:uid="{00000000-0005-0000-0000-000073A20000}"/>
    <cellStyle name="Normal 6 13 4 4" xfId="4774" xr:uid="{00000000-0005-0000-0000-000074A20000}"/>
    <cellStyle name="Normal 6 13 4 4 2" xfId="52615" xr:uid="{00000000-0005-0000-0000-000075A20000}"/>
    <cellStyle name="Normal 6 13 4 4 3" xfId="36515" xr:uid="{00000000-0005-0000-0000-000076A20000}"/>
    <cellStyle name="Normal 6 13 4 4 4" xfId="17379" xr:uid="{00000000-0005-0000-0000-000077A20000}"/>
    <cellStyle name="Normal 6 13 4 5" xfId="43048" xr:uid="{00000000-0005-0000-0000-000078A20000}"/>
    <cellStyle name="Normal 6 13 4 6" xfId="26948" xr:uid="{00000000-0005-0000-0000-000079A20000}"/>
    <cellStyle name="Normal 6 13 4 7" xfId="13884" xr:uid="{00000000-0005-0000-0000-00007AA20000}"/>
    <cellStyle name="Normal 6 13 5" xfId="3764" xr:uid="{00000000-0005-0000-0000-00007BA20000}"/>
    <cellStyle name="Normal 6 13 5 2" xfId="35505" xr:uid="{00000000-0005-0000-0000-00007CA20000}"/>
    <cellStyle name="Normal 6 13 5 2 2" xfId="51605" xr:uid="{00000000-0005-0000-0000-00007DA20000}"/>
    <cellStyle name="Normal 6 13 5 3" xfId="42038" xr:uid="{00000000-0005-0000-0000-00007EA20000}"/>
    <cellStyle name="Normal 6 13 5 4" xfId="25938" xr:uid="{00000000-0005-0000-0000-00007FA20000}"/>
    <cellStyle name="Normal 6 13 5 5" xfId="16369" xr:uid="{00000000-0005-0000-0000-000080A20000}"/>
    <cellStyle name="Normal 6 13 6" xfId="6800" xr:uid="{00000000-0005-0000-0000-000081A20000}"/>
    <cellStyle name="Normal 6 13 6 2" xfId="38541" xr:uid="{00000000-0005-0000-0000-000082A20000}"/>
    <cellStyle name="Normal 6 13 6 2 2" xfId="54641" xr:uid="{00000000-0005-0000-0000-000083A20000}"/>
    <cellStyle name="Normal 6 13 6 3" xfId="45074" xr:uid="{00000000-0005-0000-0000-000084A20000}"/>
    <cellStyle name="Normal 6 13 6 4" xfId="28974" xr:uid="{00000000-0005-0000-0000-000085A20000}"/>
    <cellStyle name="Normal 6 13 6 5" xfId="19405" xr:uid="{00000000-0005-0000-0000-000086A20000}"/>
    <cellStyle name="Normal 6 13 7" xfId="9836" xr:uid="{00000000-0005-0000-0000-000087A20000}"/>
    <cellStyle name="Normal 6 13 7 2" xfId="48110" xr:uid="{00000000-0005-0000-0000-000088A20000}"/>
    <cellStyle name="Normal 6 13 7 3" xfId="32010" xr:uid="{00000000-0005-0000-0000-000089A20000}"/>
    <cellStyle name="Normal 6 13 7 4" xfId="22441" xr:uid="{00000000-0005-0000-0000-00008AA20000}"/>
    <cellStyle name="Normal 6 13 8" xfId="3306" xr:uid="{00000000-0005-0000-0000-00008BA20000}"/>
    <cellStyle name="Normal 6 13 8 2" xfId="51147" xr:uid="{00000000-0005-0000-0000-00008CA20000}"/>
    <cellStyle name="Normal 6 13 8 3" xfId="35047" xr:uid="{00000000-0005-0000-0000-00008DA20000}"/>
    <cellStyle name="Normal 6 13 8 4" xfId="15911" xr:uid="{00000000-0005-0000-0000-00008EA20000}"/>
    <cellStyle name="Normal 6 13 9" xfId="41580" xr:uid="{00000000-0005-0000-0000-00008FA20000}"/>
    <cellStyle name="Normal 6 14" xfId="727" xr:uid="{00000000-0005-0000-0000-000090A20000}"/>
    <cellStyle name="Normal 6 14 10" xfId="13335" xr:uid="{00000000-0005-0000-0000-000091A20000}"/>
    <cellStyle name="Normal 6 14 2" xfId="2755" xr:uid="{00000000-0005-0000-0000-000092A20000}"/>
    <cellStyle name="Normal 6 14 2 2" xfId="9287" xr:uid="{00000000-0005-0000-0000-000093A20000}"/>
    <cellStyle name="Normal 6 14 2 2 2" xfId="41028" xr:uid="{00000000-0005-0000-0000-000094A20000}"/>
    <cellStyle name="Normal 6 14 2 2 2 2" xfId="57128" xr:uid="{00000000-0005-0000-0000-000095A20000}"/>
    <cellStyle name="Normal 6 14 2 2 3" xfId="47561" xr:uid="{00000000-0005-0000-0000-000096A20000}"/>
    <cellStyle name="Normal 6 14 2 2 4" xfId="31461" xr:uid="{00000000-0005-0000-0000-000097A20000}"/>
    <cellStyle name="Normal 6 14 2 2 5" xfId="21892" xr:uid="{00000000-0005-0000-0000-000098A20000}"/>
    <cellStyle name="Normal 6 14 2 3" xfId="12323" xr:uid="{00000000-0005-0000-0000-000099A20000}"/>
    <cellStyle name="Normal 6 14 2 3 2" xfId="50597" xr:uid="{00000000-0005-0000-0000-00009AA20000}"/>
    <cellStyle name="Normal 6 14 2 3 3" xfId="34497" xr:uid="{00000000-0005-0000-0000-00009BA20000}"/>
    <cellStyle name="Normal 6 14 2 3 4" xfId="24928" xr:uid="{00000000-0005-0000-0000-00009CA20000}"/>
    <cellStyle name="Normal 6 14 2 4" xfId="6251" xr:uid="{00000000-0005-0000-0000-00009DA20000}"/>
    <cellStyle name="Normal 6 14 2 4 2" xfId="54092" xr:uid="{00000000-0005-0000-0000-00009EA20000}"/>
    <cellStyle name="Normal 6 14 2 4 3" xfId="37992" xr:uid="{00000000-0005-0000-0000-00009FA20000}"/>
    <cellStyle name="Normal 6 14 2 4 4" xfId="18856" xr:uid="{00000000-0005-0000-0000-0000A0A20000}"/>
    <cellStyle name="Normal 6 14 2 5" xfId="44525" xr:uid="{00000000-0005-0000-0000-0000A1A20000}"/>
    <cellStyle name="Normal 6 14 2 6" xfId="28425" xr:uid="{00000000-0005-0000-0000-0000A2A20000}"/>
    <cellStyle name="Normal 6 14 2 7" xfId="15361" xr:uid="{00000000-0005-0000-0000-0000A3A20000}"/>
    <cellStyle name="Normal 6 14 3" xfId="1737" xr:uid="{00000000-0005-0000-0000-0000A4A20000}"/>
    <cellStyle name="Normal 6 14 3 2" xfId="8271" xr:uid="{00000000-0005-0000-0000-0000A5A20000}"/>
    <cellStyle name="Normal 6 14 3 2 2" xfId="40012" xr:uid="{00000000-0005-0000-0000-0000A6A20000}"/>
    <cellStyle name="Normal 6 14 3 2 2 2" xfId="56112" xr:uid="{00000000-0005-0000-0000-0000A7A20000}"/>
    <cellStyle name="Normal 6 14 3 2 3" xfId="46545" xr:uid="{00000000-0005-0000-0000-0000A8A20000}"/>
    <cellStyle name="Normal 6 14 3 2 4" xfId="30445" xr:uid="{00000000-0005-0000-0000-0000A9A20000}"/>
    <cellStyle name="Normal 6 14 3 2 5" xfId="20876" xr:uid="{00000000-0005-0000-0000-0000AAA20000}"/>
    <cellStyle name="Normal 6 14 3 3" xfId="11307" xr:uid="{00000000-0005-0000-0000-0000ABA20000}"/>
    <cellStyle name="Normal 6 14 3 3 2" xfId="49581" xr:uid="{00000000-0005-0000-0000-0000ACA20000}"/>
    <cellStyle name="Normal 6 14 3 3 3" xfId="33481" xr:uid="{00000000-0005-0000-0000-0000ADA20000}"/>
    <cellStyle name="Normal 6 14 3 3 4" xfId="23912" xr:uid="{00000000-0005-0000-0000-0000AEA20000}"/>
    <cellStyle name="Normal 6 14 3 4" xfId="5235" xr:uid="{00000000-0005-0000-0000-0000AFA20000}"/>
    <cellStyle name="Normal 6 14 3 4 2" xfId="53076" xr:uid="{00000000-0005-0000-0000-0000B0A20000}"/>
    <cellStyle name="Normal 6 14 3 4 3" xfId="36976" xr:uid="{00000000-0005-0000-0000-0000B1A20000}"/>
    <cellStyle name="Normal 6 14 3 4 4" xfId="17840" xr:uid="{00000000-0005-0000-0000-0000B2A20000}"/>
    <cellStyle name="Normal 6 14 3 5" xfId="43509" xr:uid="{00000000-0005-0000-0000-0000B3A20000}"/>
    <cellStyle name="Normal 6 14 3 6" xfId="27409" xr:uid="{00000000-0005-0000-0000-0000B4A20000}"/>
    <cellStyle name="Normal 6 14 3 7" xfId="14345" xr:uid="{00000000-0005-0000-0000-0000B5A20000}"/>
    <cellStyle name="Normal 6 14 4" xfId="4225" xr:uid="{00000000-0005-0000-0000-0000B6A20000}"/>
    <cellStyle name="Normal 6 14 4 2" xfId="35966" xr:uid="{00000000-0005-0000-0000-0000B7A20000}"/>
    <cellStyle name="Normal 6 14 4 2 2" xfId="52066" xr:uid="{00000000-0005-0000-0000-0000B8A20000}"/>
    <cellStyle name="Normal 6 14 4 3" xfId="42499" xr:uid="{00000000-0005-0000-0000-0000B9A20000}"/>
    <cellStyle name="Normal 6 14 4 4" xfId="26399" xr:uid="{00000000-0005-0000-0000-0000BAA20000}"/>
    <cellStyle name="Normal 6 14 4 5" xfId="16830" xr:uid="{00000000-0005-0000-0000-0000BBA20000}"/>
    <cellStyle name="Normal 6 14 5" xfId="7261" xr:uid="{00000000-0005-0000-0000-0000BCA20000}"/>
    <cellStyle name="Normal 6 14 5 2" xfId="39002" xr:uid="{00000000-0005-0000-0000-0000BDA20000}"/>
    <cellStyle name="Normal 6 14 5 2 2" xfId="55102" xr:uid="{00000000-0005-0000-0000-0000BEA20000}"/>
    <cellStyle name="Normal 6 14 5 3" xfId="45535" xr:uid="{00000000-0005-0000-0000-0000BFA20000}"/>
    <cellStyle name="Normal 6 14 5 4" xfId="29435" xr:uid="{00000000-0005-0000-0000-0000C0A20000}"/>
    <cellStyle name="Normal 6 14 5 5" xfId="19866" xr:uid="{00000000-0005-0000-0000-0000C1A20000}"/>
    <cellStyle name="Normal 6 14 6" xfId="10297" xr:uid="{00000000-0005-0000-0000-0000C2A20000}"/>
    <cellStyle name="Normal 6 14 6 2" xfId="48571" xr:uid="{00000000-0005-0000-0000-0000C3A20000}"/>
    <cellStyle name="Normal 6 14 6 3" xfId="32471" xr:uid="{00000000-0005-0000-0000-0000C4A20000}"/>
    <cellStyle name="Normal 6 14 6 4" xfId="22902" xr:uid="{00000000-0005-0000-0000-0000C5A20000}"/>
    <cellStyle name="Normal 6 14 7" xfId="3320" xr:uid="{00000000-0005-0000-0000-0000C6A20000}"/>
    <cellStyle name="Normal 6 14 7 2" xfId="51161" xr:uid="{00000000-0005-0000-0000-0000C7A20000}"/>
    <cellStyle name="Normal 6 14 7 3" xfId="35061" xr:uid="{00000000-0005-0000-0000-0000C8A20000}"/>
    <cellStyle name="Normal 6 14 7 4" xfId="15925" xr:uid="{00000000-0005-0000-0000-0000C9A20000}"/>
    <cellStyle name="Normal 6 14 8" xfId="41594" xr:uid="{00000000-0005-0000-0000-0000CAA20000}"/>
    <cellStyle name="Normal 6 14 9" xfId="25494" xr:uid="{00000000-0005-0000-0000-0000CBA20000}"/>
    <cellStyle name="Normal 6 15" xfId="2064" xr:uid="{00000000-0005-0000-0000-0000CCA20000}"/>
    <cellStyle name="Normal 6 15 2" xfId="8598" xr:uid="{00000000-0005-0000-0000-0000CDA20000}"/>
    <cellStyle name="Normal 6 15 2 2" xfId="40339" xr:uid="{00000000-0005-0000-0000-0000CEA20000}"/>
    <cellStyle name="Normal 6 15 2 2 2" xfId="56439" xr:uid="{00000000-0005-0000-0000-0000CFA20000}"/>
    <cellStyle name="Normal 6 15 2 3" xfId="46872" xr:uid="{00000000-0005-0000-0000-0000D0A20000}"/>
    <cellStyle name="Normal 6 15 2 4" xfId="30772" xr:uid="{00000000-0005-0000-0000-0000D1A20000}"/>
    <cellStyle name="Normal 6 15 2 5" xfId="21203" xr:uid="{00000000-0005-0000-0000-0000D2A20000}"/>
    <cellStyle name="Normal 6 15 3" xfId="11634" xr:uid="{00000000-0005-0000-0000-0000D3A20000}"/>
    <cellStyle name="Normal 6 15 3 2" xfId="49908" xr:uid="{00000000-0005-0000-0000-0000D4A20000}"/>
    <cellStyle name="Normal 6 15 3 3" xfId="33808" xr:uid="{00000000-0005-0000-0000-0000D5A20000}"/>
    <cellStyle name="Normal 6 15 3 4" xfId="24239" xr:uid="{00000000-0005-0000-0000-0000D6A20000}"/>
    <cellStyle name="Normal 6 15 4" xfId="5562" xr:uid="{00000000-0005-0000-0000-0000D7A20000}"/>
    <cellStyle name="Normal 6 15 4 2" xfId="53403" xr:uid="{00000000-0005-0000-0000-0000D8A20000}"/>
    <cellStyle name="Normal 6 15 4 3" xfId="37303" xr:uid="{00000000-0005-0000-0000-0000D9A20000}"/>
    <cellStyle name="Normal 6 15 4 4" xfId="18167" xr:uid="{00000000-0005-0000-0000-0000DAA20000}"/>
    <cellStyle name="Normal 6 15 5" xfId="43836" xr:uid="{00000000-0005-0000-0000-0000DBA20000}"/>
    <cellStyle name="Normal 6 15 6" xfId="27736" xr:uid="{00000000-0005-0000-0000-0000DCA20000}"/>
    <cellStyle name="Normal 6 15 7" xfId="14672" xr:uid="{00000000-0005-0000-0000-0000DDA20000}"/>
    <cellStyle name="Normal 6 16" xfId="1054" xr:uid="{00000000-0005-0000-0000-0000DEA20000}"/>
    <cellStyle name="Normal 6 16 2" xfId="7588" xr:uid="{00000000-0005-0000-0000-0000DFA20000}"/>
    <cellStyle name="Normal 6 16 2 2" xfId="39329" xr:uid="{00000000-0005-0000-0000-0000E0A20000}"/>
    <cellStyle name="Normal 6 16 2 2 2" xfId="55429" xr:uid="{00000000-0005-0000-0000-0000E1A20000}"/>
    <cellStyle name="Normal 6 16 2 3" xfId="45862" xr:uid="{00000000-0005-0000-0000-0000E2A20000}"/>
    <cellStyle name="Normal 6 16 2 4" xfId="29762" xr:uid="{00000000-0005-0000-0000-0000E3A20000}"/>
    <cellStyle name="Normal 6 16 2 5" xfId="20193" xr:uid="{00000000-0005-0000-0000-0000E4A20000}"/>
    <cellStyle name="Normal 6 16 3" xfId="10624" xr:uid="{00000000-0005-0000-0000-0000E5A20000}"/>
    <cellStyle name="Normal 6 16 3 2" xfId="48898" xr:uid="{00000000-0005-0000-0000-0000E6A20000}"/>
    <cellStyle name="Normal 6 16 3 3" xfId="32798" xr:uid="{00000000-0005-0000-0000-0000E7A20000}"/>
    <cellStyle name="Normal 6 16 3 4" xfId="23229" xr:uid="{00000000-0005-0000-0000-0000E8A20000}"/>
    <cellStyle name="Normal 6 16 4" xfId="4552" xr:uid="{00000000-0005-0000-0000-0000E9A20000}"/>
    <cellStyle name="Normal 6 16 4 2" xfId="52393" xr:uid="{00000000-0005-0000-0000-0000EAA20000}"/>
    <cellStyle name="Normal 6 16 4 3" xfId="36293" xr:uid="{00000000-0005-0000-0000-0000EBA20000}"/>
    <cellStyle name="Normal 6 16 4 4" xfId="17157" xr:uid="{00000000-0005-0000-0000-0000ECA20000}"/>
    <cellStyle name="Normal 6 16 5" xfId="42826" xr:uid="{00000000-0005-0000-0000-0000EDA20000}"/>
    <cellStyle name="Normal 6 16 6" xfId="26726" xr:uid="{00000000-0005-0000-0000-0000EEA20000}"/>
    <cellStyle name="Normal 6 16 7" xfId="13662" xr:uid="{00000000-0005-0000-0000-0000EFA20000}"/>
    <cellStyle name="Normal 6 17" xfId="3542" xr:uid="{00000000-0005-0000-0000-0000F0A20000}"/>
    <cellStyle name="Normal 6 17 2" xfId="35283" xr:uid="{00000000-0005-0000-0000-0000F1A20000}"/>
    <cellStyle name="Normal 6 17 2 2" xfId="51383" xr:uid="{00000000-0005-0000-0000-0000F2A20000}"/>
    <cellStyle name="Normal 6 17 3" xfId="41816" xr:uid="{00000000-0005-0000-0000-0000F3A20000}"/>
    <cellStyle name="Normal 6 17 4" xfId="25716" xr:uid="{00000000-0005-0000-0000-0000F4A20000}"/>
    <cellStyle name="Normal 6 17 5" xfId="16147" xr:uid="{00000000-0005-0000-0000-0000F5A20000}"/>
    <cellStyle name="Normal 6 18" xfId="6578" xr:uid="{00000000-0005-0000-0000-0000F6A20000}"/>
    <cellStyle name="Normal 6 18 2" xfId="38319" xr:uid="{00000000-0005-0000-0000-0000F7A20000}"/>
    <cellStyle name="Normal 6 18 2 2" xfId="54419" xr:uid="{00000000-0005-0000-0000-0000F8A20000}"/>
    <cellStyle name="Normal 6 18 3" xfId="44852" xr:uid="{00000000-0005-0000-0000-0000F9A20000}"/>
    <cellStyle name="Normal 6 18 4" xfId="28752" xr:uid="{00000000-0005-0000-0000-0000FAA20000}"/>
    <cellStyle name="Normal 6 18 5" xfId="19183" xr:uid="{00000000-0005-0000-0000-0000FBA20000}"/>
    <cellStyle name="Normal 6 19" xfId="9614" xr:uid="{00000000-0005-0000-0000-0000FCA20000}"/>
    <cellStyle name="Normal 6 19 2" xfId="47888" xr:uid="{00000000-0005-0000-0000-0000FDA20000}"/>
    <cellStyle name="Normal 6 19 3" xfId="31788" xr:uid="{00000000-0005-0000-0000-0000FEA20000}"/>
    <cellStyle name="Normal 6 19 4" xfId="22219" xr:uid="{00000000-0005-0000-0000-0000FFA20000}"/>
    <cellStyle name="Normal 6 2" xfId="59" xr:uid="{00000000-0005-0000-0000-000000A30000}"/>
    <cellStyle name="Normal 6 2 10" xfId="3560" xr:uid="{00000000-0005-0000-0000-000001A30000}"/>
    <cellStyle name="Normal 6 2 10 2" xfId="35301" xr:uid="{00000000-0005-0000-0000-000002A30000}"/>
    <cellStyle name="Normal 6 2 10 2 2" xfId="51401" xr:uid="{00000000-0005-0000-0000-000003A30000}"/>
    <cellStyle name="Normal 6 2 10 3" xfId="41834" xr:uid="{00000000-0005-0000-0000-000004A30000}"/>
    <cellStyle name="Normal 6 2 10 4" xfId="25734" xr:uid="{00000000-0005-0000-0000-000005A30000}"/>
    <cellStyle name="Normal 6 2 10 5" xfId="16165" xr:uid="{00000000-0005-0000-0000-000006A30000}"/>
    <cellStyle name="Normal 6 2 11" xfId="6596" xr:uid="{00000000-0005-0000-0000-000007A30000}"/>
    <cellStyle name="Normal 6 2 11 2" xfId="38337" xr:uid="{00000000-0005-0000-0000-000008A30000}"/>
    <cellStyle name="Normal 6 2 11 2 2" xfId="54437" xr:uid="{00000000-0005-0000-0000-000009A30000}"/>
    <cellStyle name="Normal 6 2 11 3" xfId="44870" xr:uid="{00000000-0005-0000-0000-00000AA30000}"/>
    <cellStyle name="Normal 6 2 11 4" xfId="28770" xr:uid="{00000000-0005-0000-0000-00000BA30000}"/>
    <cellStyle name="Normal 6 2 11 5" xfId="19201" xr:uid="{00000000-0005-0000-0000-00000CA30000}"/>
    <cellStyle name="Normal 6 2 12" xfId="9632" xr:uid="{00000000-0005-0000-0000-00000DA30000}"/>
    <cellStyle name="Normal 6 2 12 2" xfId="47906" xr:uid="{00000000-0005-0000-0000-00000EA30000}"/>
    <cellStyle name="Normal 6 2 12 3" xfId="31806" xr:uid="{00000000-0005-0000-0000-00000FA30000}"/>
    <cellStyle name="Normal 6 2 12 4" xfId="22237" xr:uid="{00000000-0005-0000-0000-000010A30000}"/>
    <cellStyle name="Normal 6 2 13" xfId="3100" xr:uid="{00000000-0005-0000-0000-000011A30000}"/>
    <cellStyle name="Normal 6 2 13 2" xfId="50942" xr:uid="{00000000-0005-0000-0000-000012A30000}"/>
    <cellStyle name="Normal 6 2 13 3" xfId="34842" xr:uid="{00000000-0005-0000-0000-000013A30000}"/>
    <cellStyle name="Normal 6 2 13 4" xfId="15706" xr:uid="{00000000-0005-0000-0000-000014A30000}"/>
    <cellStyle name="Normal 6 2 14" xfId="41375" xr:uid="{00000000-0005-0000-0000-000015A30000}"/>
    <cellStyle name="Normal 6 2 15" xfId="25275" xr:uid="{00000000-0005-0000-0000-000016A30000}"/>
    <cellStyle name="Normal 6 2 16" xfId="12670" xr:uid="{00000000-0005-0000-0000-000017A30000}"/>
    <cellStyle name="Normal 6 2 2" xfId="130" xr:uid="{00000000-0005-0000-0000-000018A30000}"/>
    <cellStyle name="Normal 6 2 2 10" xfId="9695" xr:uid="{00000000-0005-0000-0000-000019A30000}"/>
    <cellStyle name="Normal 6 2 2 10 2" xfId="47969" xr:uid="{00000000-0005-0000-0000-00001AA30000}"/>
    <cellStyle name="Normal 6 2 2 10 3" xfId="31869" xr:uid="{00000000-0005-0000-0000-00001BA30000}"/>
    <cellStyle name="Normal 6 2 2 10 4" xfId="22300" xr:uid="{00000000-0005-0000-0000-00001CA30000}"/>
    <cellStyle name="Normal 6 2 2 11" xfId="3163" xr:uid="{00000000-0005-0000-0000-00001DA30000}"/>
    <cellStyle name="Normal 6 2 2 11 2" xfId="51005" xr:uid="{00000000-0005-0000-0000-00001EA30000}"/>
    <cellStyle name="Normal 6 2 2 11 3" xfId="34905" xr:uid="{00000000-0005-0000-0000-00001FA30000}"/>
    <cellStyle name="Normal 6 2 2 11 4" xfId="15769" xr:uid="{00000000-0005-0000-0000-000020A30000}"/>
    <cellStyle name="Normal 6 2 2 12" xfId="41438" xr:uid="{00000000-0005-0000-0000-000021A30000}"/>
    <cellStyle name="Normal 6 2 2 13" xfId="25338" xr:uid="{00000000-0005-0000-0000-000022A30000}"/>
    <cellStyle name="Normal 6 2 2 14" xfId="12733" xr:uid="{00000000-0005-0000-0000-000023A30000}"/>
    <cellStyle name="Normal 6 2 2 2" xfId="205" xr:uid="{00000000-0005-0000-0000-000024A30000}"/>
    <cellStyle name="Normal 6 2 2 2 10" xfId="41675" xr:uid="{00000000-0005-0000-0000-000025A30000}"/>
    <cellStyle name="Normal 6 2 2 2 11" xfId="25575" xr:uid="{00000000-0005-0000-0000-000026A30000}"/>
    <cellStyle name="Normal 6 2 2 2 12" xfId="13034" xr:uid="{00000000-0005-0000-0000-000027A30000}"/>
    <cellStyle name="Normal 6 2 2 2 2" xfId="382" xr:uid="{00000000-0005-0000-0000-000028A30000}"/>
    <cellStyle name="Normal 6 2 2 2 2 2" xfId="2401" xr:uid="{00000000-0005-0000-0000-000029A30000}"/>
    <cellStyle name="Normal 6 2 2 2 2 2 2" xfId="8935" xr:uid="{00000000-0005-0000-0000-00002AA30000}"/>
    <cellStyle name="Normal 6 2 2 2 2 2 2 2" xfId="40676" xr:uid="{00000000-0005-0000-0000-00002BA30000}"/>
    <cellStyle name="Normal 6 2 2 2 2 2 2 2 2" xfId="56776" xr:uid="{00000000-0005-0000-0000-00002CA30000}"/>
    <cellStyle name="Normal 6 2 2 2 2 2 2 3" xfId="47209" xr:uid="{00000000-0005-0000-0000-00002DA30000}"/>
    <cellStyle name="Normal 6 2 2 2 2 2 2 4" xfId="31109" xr:uid="{00000000-0005-0000-0000-00002EA30000}"/>
    <cellStyle name="Normal 6 2 2 2 2 2 2 5" xfId="21540" xr:uid="{00000000-0005-0000-0000-00002FA30000}"/>
    <cellStyle name="Normal 6 2 2 2 2 2 3" xfId="11971" xr:uid="{00000000-0005-0000-0000-000030A30000}"/>
    <cellStyle name="Normal 6 2 2 2 2 2 3 2" xfId="50245" xr:uid="{00000000-0005-0000-0000-000031A30000}"/>
    <cellStyle name="Normal 6 2 2 2 2 2 3 3" xfId="34145" xr:uid="{00000000-0005-0000-0000-000032A30000}"/>
    <cellStyle name="Normal 6 2 2 2 2 2 3 4" xfId="24576" xr:uid="{00000000-0005-0000-0000-000033A30000}"/>
    <cellStyle name="Normal 6 2 2 2 2 2 4" xfId="5899" xr:uid="{00000000-0005-0000-0000-000034A30000}"/>
    <cellStyle name="Normal 6 2 2 2 2 2 4 2" xfId="53740" xr:uid="{00000000-0005-0000-0000-000035A30000}"/>
    <cellStyle name="Normal 6 2 2 2 2 2 4 3" xfId="37640" xr:uid="{00000000-0005-0000-0000-000036A30000}"/>
    <cellStyle name="Normal 6 2 2 2 2 2 4 4" xfId="18504" xr:uid="{00000000-0005-0000-0000-000037A30000}"/>
    <cellStyle name="Normal 6 2 2 2 2 2 5" xfId="44173" xr:uid="{00000000-0005-0000-0000-000038A30000}"/>
    <cellStyle name="Normal 6 2 2 2 2 2 6" xfId="28073" xr:uid="{00000000-0005-0000-0000-000039A30000}"/>
    <cellStyle name="Normal 6 2 2 2 2 2 7" xfId="15009" xr:uid="{00000000-0005-0000-0000-00003AA30000}"/>
    <cellStyle name="Normal 6 2 2 2 2 3" xfId="1613" xr:uid="{00000000-0005-0000-0000-00003BA30000}"/>
    <cellStyle name="Normal 6 2 2 2 2 3 2" xfId="8147" xr:uid="{00000000-0005-0000-0000-00003CA30000}"/>
    <cellStyle name="Normal 6 2 2 2 2 3 2 2" xfId="39888" xr:uid="{00000000-0005-0000-0000-00003DA30000}"/>
    <cellStyle name="Normal 6 2 2 2 2 3 2 2 2" xfId="55988" xr:uid="{00000000-0005-0000-0000-00003EA30000}"/>
    <cellStyle name="Normal 6 2 2 2 2 3 2 3" xfId="46421" xr:uid="{00000000-0005-0000-0000-00003FA30000}"/>
    <cellStyle name="Normal 6 2 2 2 2 3 2 4" xfId="30321" xr:uid="{00000000-0005-0000-0000-000040A30000}"/>
    <cellStyle name="Normal 6 2 2 2 2 3 2 5" xfId="20752" xr:uid="{00000000-0005-0000-0000-000041A30000}"/>
    <cellStyle name="Normal 6 2 2 2 2 3 3" xfId="11183" xr:uid="{00000000-0005-0000-0000-000042A30000}"/>
    <cellStyle name="Normal 6 2 2 2 2 3 3 2" xfId="49457" xr:uid="{00000000-0005-0000-0000-000043A30000}"/>
    <cellStyle name="Normal 6 2 2 2 2 3 3 3" xfId="33357" xr:uid="{00000000-0005-0000-0000-000044A30000}"/>
    <cellStyle name="Normal 6 2 2 2 2 3 3 4" xfId="23788" xr:uid="{00000000-0005-0000-0000-000045A30000}"/>
    <cellStyle name="Normal 6 2 2 2 2 3 4" xfId="5111" xr:uid="{00000000-0005-0000-0000-000046A30000}"/>
    <cellStyle name="Normal 6 2 2 2 2 3 4 2" xfId="52952" xr:uid="{00000000-0005-0000-0000-000047A30000}"/>
    <cellStyle name="Normal 6 2 2 2 2 3 4 3" xfId="36852" xr:uid="{00000000-0005-0000-0000-000048A30000}"/>
    <cellStyle name="Normal 6 2 2 2 2 3 4 4" xfId="17716" xr:uid="{00000000-0005-0000-0000-000049A30000}"/>
    <cellStyle name="Normal 6 2 2 2 2 3 5" xfId="43385" xr:uid="{00000000-0005-0000-0000-00004AA30000}"/>
    <cellStyle name="Normal 6 2 2 2 2 3 6" xfId="27285" xr:uid="{00000000-0005-0000-0000-00004BA30000}"/>
    <cellStyle name="Normal 6 2 2 2 2 3 7" xfId="14221" xr:uid="{00000000-0005-0000-0000-00004CA30000}"/>
    <cellStyle name="Normal 6 2 2 2 2 4" xfId="7137" xr:uid="{00000000-0005-0000-0000-00004DA30000}"/>
    <cellStyle name="Normal 6 2 2 2 2 4 2" xfId="38878" xr:uid="{00000000-0005-0000-0000-00004EA30000}"/>
    <cellStyle name="Normal 6 2 2 2 2 4 2 2" xfId="54978" xr:uid="{00000000-0005-0000-0000-00004FA30000}"/>
    <cellStyle name="Normal 6 2 2 2 2 4 3" xfId="45411" xr:uid="{00000000-0005-0000-0000-000050A30000}"/>
    <cellStyle name="Normal 6 2 2 2 2 4 4" xfId="29311" xr:uid="{00000000-0005-0000-0000-000051A30000}"/>
    <cellStyle name="Normal 6 2 2 2 2 4 5" xfId="19742" xr:uid="{00000000-0005-0000-0000-000052A30000}"/>
    <cellStyle name="Normal 6 2 2 2 2 5" xfId="10173" xr:uid="{00000000-0005-0000-0000-000053A30000}"/>
    <cellStyle name="Normal 6 2 2 2 2 5 2" xfId="48447" xr:uid="{00000000-0005-0000-0000-000054A30000}"/>
    <cellStyle name="Normal 6 2 2 2 2 5 3" xfId="32347" xr:uid="{00000000-0005-0000-0000-000055A30000}"/>
    <cellStyle name="Normal 6 2 2 2 2 5 4" xfId="22778" xr:uid="{00000000-0005-0000-0000-000056A30000}"/>
    <cellStyle name="Normal 6 2 2 2 2 6" xfId="4101" xr:uid="{00000000-0005-0000-0000-000057A30000}"/>
    <cellStyle name="Normal 6 2 2 2 2 6 2" xfId="51942" xr:uid="{00000000-0005-0000-0000-000058A30000}"/>
    <cellStyle name="Normal 6 2 2 2 2 6 3" xfId="35842" xr:uid="{00000000-0005-0000-0000-000059A30000}"/>
    <cellStyle name="Normal 6 2 2 2 2 6 4" xfId="16706" xr:uid="{00000000-0005-0000-0000-00005AA30000}"/>
    <cellStyle name="Normal 6 2 2 2 2 7" xfId="42375" xr:uid="{00000000-0005-0000-0000-00005BA30000}"/>
    <cellStyle name="Normal 6 2 2 2 2 8" xfId="26275" xr:uid="{00000000-0005-0000-0000-00005CA30000}"/>
    <cellStyle name="Normal 6 2 2 2 2 9" xfId="13211" xr:uid="{00000000-0005-0000-0000-00005DA30000}"/>
    <cellStyle name="Normal 6 2 2 2 3" xfId="1020" xr:uid="{00000000-0005-0000-0000-00005EA30000}"/>
    <cellStyle name="Normal 6 2 2 2 3 2" xfId="3048" xr:uid="{00000000-0005-0000-0000-00005FA30000}"/>
    <cellStyle name="Normal 6 2 2 2 3 2 2" xfId="9580" xr:uid="{00000000-0005-0000-0000-000060A30000}"/>
    <cellStyle name="Normal 6 2 2 2 3 2 2 2" xfId="41321" xr:uid="{00000000-0005-0000-0000-000061A30000}"/>
    <cellStyle name="Normal 6 2 2 2 3 2 2 2 2" xfId="57421" xr:uid="{00000000-0005-0000-0000-000062A30000}"/>
    <cellStyle name="Normal 6 2 2 2 3 2 2 3" xfId="47854" xr:uid="{00000000-0005-0000-0000-000063A30000}"/>
    <cellStyle name="Normal 6 2 2 2 3 2 2 4" xfId="31754" xr:uid="{00000000-0005-0000-0000-000064A30000}"/>
    <cellStyle name="Normal 6 2 2 2 3 2 2 5" xfId="22185" xr:uid="{00000000-0005-0000-0000-000065A30000}"/>
    <cellStyle name="Normal 6 2 2 2 3 2 3" xfId="12616" xr:uid="{00000000-0005-0000-0000-000066A30000}"/>
    <cellStyle name="Normal 6 2 2 2 3 2 3 2" xfId="50890" xr:uid="{00000000-0005-0000-0000-000067A30000}"/>
    <cellStyle name="Normal 6 2 2 2 3 2 3 3" xfId="34790" xr:uid="{00000000-0005-0000-0000-000068A30000}"/>
    <cellStyle name="Normal 6 2 2 2 3 2 3 4" xfId="25221" xr:uid="{00000000-0005-0000-0000-000069A30000}"/>
    <cellStyle name="Normal 6 2 2 2 3 2 4" xfId="6544" xr:uid="{00000000-0005-0000-0000-00006AA30000}"/>
    <cellStyle name="Normal 6 2 2 2 3 2 4 2" xfId="54385" xr:uid="{00000000-0005-0000-0000-00006BA30000}"/>
    <cellStyle name="Normal 6 2 2 2 3 2 4 3" xfId="38285" xr:uid="{00000000-0005-0000-0000-00006CA30000}"/>
    <cellStyle name="Normal 6 2 2 2 3 2 4 4" xfId="19149" xr:uid="{00000000-0005-0000-0000-00006DA30000}"/>
    <cellStyle name="Normal 6 2 2 2 3 2 5" xfId="44818" xr:uid="{00000000-0005-0000-0000-00006EA30000}"/>
    <cellStyle name="Normal 6 2 2 2 3 2 6" xfId="28718" xr:uid="{00000000-0005-0000-0000-00006FA30000}"/>
    <cellStyle name="Normal 6 2 2 2 3 2 7" xfId="15654" xr:uid="{00000000-0005-0000-0000-000070A30000}"/>
    <cellStyle name="Normal 6 2 2 2 3 3" xfId="2030" xr:uid="{00000000-0005-0000-0000-000071A30000}"/>
    <cellStyle name="Normal 6 2 2 2 3 3 2" xfId="8564" xr:uid="{00000000-0005-0000-0000-000072A30000}"/>
    <cellStyle name="Normal 6 2 2 2 3 3 2 2" xfId="40305" xr:uid="{00000000-0005-0000-0000-000073A30000}"/>
    <cellStyle name="Normal 6 2 2 2 3 3 2 2 2" xfId="56405" xr:uid="{00000000-0005-0000-0000-000074A30000}"/>
    <cellStyle name="Normal 6 2 2 2 3 3 2 3" xfId="46838" xr:uid="{00000000-0005-0000-0000-000075A30000}"/>
    <cellStyle name="Normal 6 2 2 2 3 3 2 4" xfId="30738" xr:uid="{00000000-0005-0000-0000-000076A30000}"/>
    <cellStyle name="Normal 6 2 2 2 3 3 2 5" xfId="21169" xr:uid="{00000000-0005-0000-0000-000077A30000}"/>
    <cellStyle name="Normal 6 2 2 2 3 3 3" xfId="11600" xr:uid="{00000000-0005-0000-0000-000078A30000}"/>
    <cellStyle name="Normal 6 2 2 2 3 3 3 2" xfId="49874" xr:uid="{00000000-0005-0000-0000-000079A30000}"/>
    <cellStyle name="Normal 6 2 2 2 3 3 3 3" xfId="33774" xr:uid="{00000000-0005-0000-0000-00007AA30000}"/>
    <cellStyle name="Normal 6 2 2 2 3 3 3 4" xfId="24205" xr:uid="{00000000-0005-0000-0000-00007BA30000}"/>
    <cellStyle name="Normal 6 2 2 2 3 3 4" xfId="5528" xr:uid="{00000000-0005-0000-0000-00007CA30000}"/>
    <cellStyle name="Normal 6 2 2 2 3 3 4 2" xfId="53369" xr:uid="{00000000-0005-0000-0000-00007DA30000}"/>
    <cellStyle name="Normal 6 2 2 2 3 3 4 3" xfId="37269" xr:uid="{00000000-0005-0000-0000-00007EA30000}"/>
    <cellStyle name="Normal 6 2 2 2 3 3 4 4" xfId="18133" xr:uid="{00000000-0005-0000-0000-00007FA30000}"/>
    <cellStyle name="Normal 6 2 2 2 3 3 5" xfId="43802" xr:uid="{00000000-0005-0000-0000-000080A30000}"/>
    <cellStyle name="Normal 6 2 2 2 3 3 6" xfId="27702" xr:uid="{00000000-0005-0000-0000-000081A30000}"/>
    <cellStyle name="Normal 6 2 2 2 3 3 7" xfId="14638" xr:uid="{00000000-0005-0000-0000-000082A30000}"/>
    <cellStyle name="Normal 6 2 2 2 3 4" xfId="7554" xr:uid="{00000000-0005-0000-0000-000083A30000}"/>
    <cellStyle name="Normal 6 2 2 2 3 4 2" xfId="39295" xr:uid="{00000000-0005-0000-0000-000084A30000}"/>
    <cellStyle name="Normal 6 2 2 2 3 4 2 2" xfId="55395" xr:uid="{00000000-0005-0000-0000-000085A30000}"/>
    <cellStyle name="Normal 6 2 2 2 3 4 3" xfId="45828" xr:uid="{00000000-0005-0000-0000-000086A30000}"/>
    <cellStyle name="Normal 6 2 2 2 3 4 4" xfId="29728" xr:uid="{00000000-0005-0000-0000-000087A30000}"/>
    <cellStyle name="Normal 6 2 2 2 3 4 5" xfId="20159" xr:uid="{00000000-0005-0000-0000-000088A30000}"/>
    <cellStyle name="Normal 6 2 2 2 3 5" xfId="10590" xr:uid="{00000000-0005-0000-0000-000089A30000}"/>
    <cellStyle name="Normal 6 2 2 2 3 5 2" xfId="48864" xr:uid="{00000000-0005-0000-0000-00008AA30000}"/>
    <cellStyle name="Normal 6 2 2 2 3 5 3" xfId="32764" xr:uid="{00000000-0005-0000-0000-00008BA30000}"/>
    <cellStyle name="Normal 6 2 2 2 3 5 4" xfId="23195" xr:uid="{00000000-0005-0000-0000-00008CA30000}"/>
    <cellStyle name="Normal 6 2 2 2 3 6" xfId="4518" xr:uid="{00000000-0005-0000-0000-00008DA30000}"/>
    <cellStyle name="Normal 6 2 2 2 3 6 2" xfId="52359" xr:uid="{00000000-0005-0000-0000-00008EA30000}"/>
    <cellStyle name="Normal 6 2 2 2 3 6 3" xfId="36259" xr:uid="{00000000-0005-0000-0000-00008FA30000}"/>
    <cellStyle name="Normal 6 2 2 2 3 6 4" xfId="17123" xr:uid="{00000000-0005-0000-0000-000090A30000}"/>
    <cellStyle name="Normal 6 2 2 2 3 7" xfId="42792" xr:uid="{00000000-0005-0000-0000-000091A30000}"/>
    <cellStyle name="Normal 6 2 2 2 3 8" xfId="26692" xr:uid="{00000000-0005-0000-0000-000092A30000}"/>
    <cellStyle name="Normal 6 2 2 2 3 9" xfId="13628" xr:uid="{00000000-0005-0000-0000-000093A30000}"/>
    <cellStyle name="Normal 6 2 2 2 4" xfId="2224" xr:uid="{00000000-0005-0000-0000-000094A30000}"/>
    <cellStyle name="Normal 6 2 2 2 4 2" xfId="8758" xr:uid="{00000000-0005-0000-0000-000095A30000}"/>
    <cellStyle name="Normal 6 2 2 2 4 2 2" xfId="40499" xr:uid="{00000000-0005-0000-0000-000096A30000}"/>
    <cellStyle name="Normal 6 2 2 2 4 2 2 2" xfId="56599" xr:uid="{00000000-0005-0000-0000-000097A30000}"/>
    <cellStyle name="Normal 6 2 2 2 4 2 3" xfId="47032" xr:uid="{00000000-0005-0000-0000-000098A30000}"/>
    <cellStyle name="Normal 6 2 2 2 4 2 4" xfId="30932" xr:uid="{00000000-0005-0000-0000-000099A30000}"/>
    <cellStyle name="Normal 6 2 2 2 4 2 5" xfId="21363" xr:uid="{00000000-0005-0000-0000-00009AA30000}"/>
    <cellStyle name="Normal 6 2 2 2 4 3" xfId="11794" xr:uid="{00000000-0005-0000-0000-00009BA30000}"/>
    <cellStyle name="Normal 6 2 2 2 4 3 2" xfId="50068" xr:uid="{00000000-0005-0000-0000-00009CA30000}"/>
    <cellStyle name="Normal 6 2 2 2 4 3 3" xfId="33968" xr:uid="{00000000-0005-0000-0000-00009DA30000}"/>
    <cellStyle name="Normal 6 2 2 2 4 3 4" xfId="24399" xr:uid="{00000000-0005-0000-0000-00009EA30000}"/>
    <cellStyle name="Normal 6 2 2 2 4 4" xfId="5722" xr:uid="{00000000-0005-0000-0000-00009FA30000}"/>
    <cellStyle name="Normal 6 2 2 2 4 4 2" xfId="53563" xr:uid="{00000000-0005-0000-0000-0000A0A30000}"/>
    <cellStyle name="Normal 6 2 2 2 4 4 3" xfId="37463" xr:uid="{00000000-0005-0000-0000-0000A1A30000}"/>
    <cellStyle name="Normal 6 2 2 2 4 4 4" xfId="18327" xr:uid="{00000000-0005-0000-0000-0000A2A30000}"/>
    <cellStyle name="Normal 6 2 2 2 4 5" xfId="43996" xr:uid="{00000000-0005-0000-0000-0000A3A30000}"/>
    <cellStyle name="Normal 6 2 2 2 4 6" xfId="27896" xr:uid="{00000000-0005-0000-0000-0000A4A30000}"/>
    <cellStyle name="Normal 6 2 2 2 4 7" xfId="14832" xr:uid="{00000000-0005-0000-0000-0000A5A30000}"/>
    <cellStyle name="Normal 6 2 2 2 5" xfId="1436" xr:uid="{00000000-0005-0000-0000-0000A6A30000}"/>
    <cellStyle name="Normal 6 2 2 2 5 2" xfId="7970" xr:uid="{00000000-0005-0000-0000-0000A7A30000}"/>
    <cellStyle name="Normal 6 2 2 2 5 2 2" xfId="39711" xr:uid="{00000000-0005-0000-0000-0000A8A30000}"/>
    <cellStyle name="Normal 6 2 2 2 5 2 2 2" xfId="55811" xr:uid="{00000000-0005-0000-0000-0000A9A30000}"/>
    <cellStyle name="Normal 6 2 2 2 5 2 3" xfId="46244" xr:uid="{00000000-0005-0000-0000-0000AAA30000}"/>
    <cellStyle name="Normal 6 2 2 2 5 2 4" xfId="30144" xr:uid="{00000000-0005-0000-0000-0000ABA30000}"/>
    <cellStyle name="Normal 6 2 2 2 5 2 5" xfId="20575" xr:uid="{00000000-0005-0000-0000-0000ACA30000}"/>
    <cellStyle name="Normal 6 2 2 2 5 3" xfId="11006" xr:uid="{00000000-0005-0000-0000-0000ADA30000}"/>
    <cellStyle name="Normal 6 2 2 2 5 3 2" xfId="49280" xr:uid="{00000000-0005-0000-0000-0000AEA30000}"/>
    <cellStyle name="Normal 6 2 2 2 5 3 3" xfId="33180" xr:uid="{00000000-0005-0000-0000-0000AFA30000}"/>
    <cellStyle name="Normal 6 2 2 2 5 3 4" xfId="23611" xr:uid="{00000000-0005-0000-0000-0000B0A30000}"/>
    <cellStyle name="Normal 6 2 2 2 5 4" xfId="4934" xr:uid="{00000000-0005-0000-0000-0000B1A30000}"/>
    <cellStyle name="Normal 6 2 2 2 5 4 2" xfId="52775" xr:uid="{00000000-0005-0000-0000-0000B2A30000}"/>
    <cellStyle name="Normal 6 2 2 2 5 4 3" xfId="36675" xr:uid="{00000000-0005-0000-0000-0000B3A30000}"/>
    <cellStyle name="Normal 6 2 2 2 5 4 4" xfId="17539" xr:uid="{00000000-0005-0000-0000-0000B4A30000}"/>
    <cellStyle name="Normal 6 2 2 2 5 5" xfId="43208" xr:uid="{00000000-0005-0000-0000-0000B5A30000}"/>
    <cellStyle name="Normal 6 2 2 2 5 6" xfId="27108" xr:uid="{00000000-0005-0000-0000-0000B6A30000}"/>
    <cellStyle name="Normal 6 2 2 2 5 7" xfId="14044" xr:uid="{00000000-0005-0000-0000-0000B7A30000}"/>
    <cellStyle name="Normal 6 2 2 2 6" xfId="3924" xr:uid="{00000000-0005-0000-0000-0000B8A30000}"/>
    <cellStyle name="Normal 6 2 2 2 6 2" xfId="35665" xr:uid="{00000000-0005-0000-0000-0000B9A30000}"/>
    <cellStyle name="Normal 6 2 2 2 6 2 2" xfId="51765" xr:uid="{00000000-0005-0000-0000-0000BAA30000}"/>
    <cellStyle name="Normal 6 2 2 2 6 3" xfId="42198" xr:uid="{00000000-0005-0000-0000-0000BBA30000}"/>
    <cellStyle name="Normal 6 2 2 2 6 4" xfId="26098" xr:uid="{00000000-0005-0000-0000-0000BCA30000}"/>
    <cellStyle name="Normal 6 2 2 2 6 5" xfId="16529" xr:uid="{00000000-0005-0000-0000-0000BDA30000}"/>
    <cellStyle name="Normal 6 2 2 2 7" xfId="6960" xr:uid="{00000000-0005-0000-0000-0000BEA30000}"/>
    <cellStyle name="Normal 6 2 2 2 7 2" xfId="38701" xr:uid="{00000000-0005-0000-0000-0000BFA30000}"/>
    <cellStyle name="Normal 6 2 2 2 7 2 2" xfId="54801" xr:uid="{00000000-0005-0000-0000-0000C0A30000}"/>
    <cellStyle name="Normal 6 2 2 2 7 3" xfId="45234" xr:uid="{00000000-0005-0000-0000-0000C1A30000}"/>
    <cellStyle name="Normal 6 2 2 2 7 4" xfId="29134" xr:uid="{00000000-0005-0000-0000-0000C2A30000}"/>
    <cellStyle name="Normal 6 2 2 2 7 5" xfId="19565" xr:uid="{00000000-0005-0000-0000-0000C3A30000}"/>
    <cellStyle name="Normal 6 2 2 2 8" xfId="9996" xr:uid="{00000000-0005-0000-0000-0000C4A30000}"/>
    <cellStyle name="Normal 6 2 2 2 8 2" xfId="48270" xr:uid="{00000000-0005-0000-0000-0000C5A30000}"/>
    <cellStyle name="Normal 6 2 2 2 8 3" xfId="32170" xr:uid="{00000000-0005-0000-0000-0000C6A30000}"/>
    <cellStyle name="Normal 6 2 2 2 8 4" xfId="22601" xr:uid="{00000000-0005-0000-0000-0000C7A30000}"/>
    <cellStyle name="Normal 6 2 2 2 9" xfId="3401" xr:uid="{00000000-0005-0000-0000-0000C8A30000}"/>
    <cellStyle name="Normal 6 2 2 2 9 2" xfId="51242" xr:uid="{00000000-0005-0000-0000-0000C9A30000}"/>
    <cellStyle name="Normal 6 2 2 2 9 3" xfId="35142" xr:uid="{00000000-0005-0000-0000-0000CAA30000}"/>
    <cellStyle name="Normal 6 2 2 2 9 4" xfId="16006" xr:uid="{00000000-0005-0000-0000-0000CBA30000}"/>
    <cellStyle name="Normal 6 2 2 3" xfId="311" xr:uid="{00000000-0005-0000-0000-0000CCA30000}"/>
    <cellStyle name="Normal 6 2 2 3 2" xfId="2330" xr:uid="{00000000-0005-0000-0000-0000CDA30000}"/>
    <cellStyle name="Normal 6 2 2 3 2 2" xfId="8864" xr:uid="{00000000-0005-0000-0000-0000CEA30000}"/>
    <cellStyle name="Normal 6 2 2 3 2 2 2" xfId="40605" xr:uid="{00000000-0005-0000-0000-0000CFA30000}"/>
    <cellStyle name="Normal 6 2 2 3 2 2 2 2" xfId="56705" xr:uid="{00000000-0005-0000-0000-0000D0A30000}"/>
    <cellStyle name="Normal 6 2 2 3 2 2 3" xfId="47138" xr:uid="{00000000-0005-0000-0000-0000D1A30000}"/>
    <cellStyle name="Normal 6 2 2 3 2 2 4" xfId="31038" xr:uid="{00000000-0005-0000-0000-0000D2A30000}"/>
    <cellStyle name="Normal 6 2 2 3 2 2 5" xfId="21469" xr:uid="{00000000-0005-0000-0000-0000D3A30000}"/>
    <cellStyle name="Normal 6 2 2 3 2 3" xfId="11900" xr:uid="{00000000-0005-0000-0000-0000D4A30000}"/>
    <cellStyle name="Normal 6 2 2 3 2 3 2" xfId="50174" xr:uid="{00000000-0005-0000-0000-0000D5A30000}"/>
    <cellStyle name="Normal 6 2 2 3 2 3 3" xfId="34074" xr:uid="{00000000-0005-0000-0000-0000D6A30000}"/>
    <cellStyle name="Normal 6 2 2 3 2 3 4" xfId="24505" xr:uid="{00000000-0005-0000-0000-0000D7A30000}"/>
    <cellStyle name="Normal 6 2 2 3 2 4" xfId="5828" xr:uid="{00000000-0005-0000-0000-0000D8A30000}"/>
    <cellStyle name="Normal 6 2 2 3 2 4 2" xfId="53669" xr:uid="{00000000-0005-0000-0000-0000D9A30000}"/>
    <cellStyle name="Normal 6 2 2 3 2 4 3" xfId="37569" xr:uid="{00000000-0005-0000-0000-0000DAA30000}"/>
    <cellStyle name="Normal 6 2 2 3 2 4 4" xfId="18433" xr:uid="{00000000-0005-0000-0000-0000DBA30000}"/>
    <cellStyle name="Normal 6 2 2 3 2 5" xfId="44102" xr:uid="{00000000-0005-0000-0000-0000DCA30000}"/>
    <cellStyle name="Normal 6 2 2 3 2 6" xfId="28002" xr:uid="{00000000-0005-0000-0000-0000DDA30000}"/>
    <cellStyle name="Normal 6 2 2 3 2 7" xfId="14938" xr:uid="{00000000-0005-0000-0000-0000DEA30000}"/>
    <cellStyle name="Normal 6 2 2 3 3" xfId="1542" xr:uid="{00000000-0005-0000-0000-0000DFA30000}"/>
    <cellStyle name="Normal 6 2 2 3 3 2" xfId="8076" xr:uid="{00000000-0005-0000-0000-0000E0A30000}"/>
    <cellStyle name="Normal 6 2 2 3 3 2 2" xfId="39817" xr:uid="{00000000-0005-0000-0000-0000E1A30000}"/>
    <cellStyle name="Normal 6 2 2 3 3 2 2 2" xfId="55917" xr:uid="{00000000-0005-0000-0000-0000E2A30000}"/>
    <cellStyle name="Normal 6 2 2 3 3 2 3" xfId="46350" xr:uid="{00000000-0005-0000-0000-0000E3A30000}"/>
    <cellStyle name="Normal 6 2 2 3 3 2 4" xfId="30250" xr:uid="{00000000-0005-0000-0000-0000E4A30000}"/>
    <cellStyle name="Normal 6 2 2 3 3 2 5" xfId="20681" xr:uid="{00000000-0005-0000-0000-0000E5A30000}"/>
    <cellStyle name="Normal 6 2 2 3 3 3" xfId="11112" xr:uid="{00000000-0005-0000-0000-0000E6A30000}"/>
    <cellStyle name="Normal 6 2 2 3 3 3 2" xfId="49386" xr:uid="{00000000-0005-0000-0000-0000E7A30000}"/>
    <cellStyle name="Normal 6 2 2 3 3 3 3" xfId="33286" xr:uid="{00000000-0005-0000-0000-0000E8A30000}"/>
    <cellStyle name="Normal 6 2 2 3 3 3 4" xfId="23717" xr:uid="{00000000-0005-0000-0000-0000E9A30000}"/>
    <cellStyle name="Normal 6 2 2 3 3 4" xfId="5040" xr:uid="{00000000-0005-0000-0000-0000EAA30000}"/>
    <cellStyle name="Normal 6 2 2 3 3 4 2" xfId="52881" xr:uid="{00000000-0005-0000-0000-0000EBA30000}"/>
    <cellStyle name="Normal 6 2 2 3 3 4 3" xfId="36781" xr:uid="{00000000-0005-0000-0000-0000ECA30000}"/>
    <cellStyle name="Normal 6 2 2 3 3 4 4" xfId="17645" xr:uid="{00000000-0005-0000-0000-0000EDA30000}"/>
    <cellStyle name="Normal 6 2 2 3 3 5" xfId="43314" xr:uid="{00000000-0005-0000-0000-0000EEA30000}"/>
    <cellStyle name="Normal 6 2 2 3 3 6" xfId="27214" xr:uid="{00000000-0005-0000-0000-0000EFA30000}"/>
    <cellStyle name="Normal 6 2 2 3 3 7" xfId="14150" xr:uid="{00000000-0005-0000-0000-0000F0A30000}"/>
    <cellStyle name="Normal 6 2 2 3 4" xfId="7066" xr:uid="{00000000-0005-0000-0000-0000F1A30000}"/>
    <cellStyle name="Normal 6 2 2 3 4 2" xfId="38807" xr:uid="{00000000-0005-0000-0000-0000F2A30000}"/>
    <cellStyle name="Normal 6 2 2 3 4 2 2" xfId="54907" xr:uid="{00000000-0005-0000-0000-0000F3A30000}"/>
    <cellStyle name="Normal 6 2 2 3 4 3" xfId="45340" xr:uid="{00000000-0005-0000-0000-0000F4A30000}"/>
    <cellStyle name="Normal 6 2 2 3 4 4" xfId="29240" xr:uid="{00000000-0005-0000-0000-0000F5A30000}"/>
    <cellStyle name="Normal 6 2 2 3 4 5" xfId="19671" xr:uid="{00000000-0005-0000-0000-0000F6A30000}"/>
    <cellStyle name="Normal 6 2 2 3 5" xfId="10102" xr:uid="{00000000-0005-0000-0000-0000F7A30000}"/>
    <cellStyle name="Normal 6 2 2 3 5 2" xfId="48376" xr:uid="{00000000-0005-0000-0000-0000F8A30000}"/>
    <cellStyle name="Normal 6 2 2 3 5 3" xfId="32276" xr:uid="{00000000-0005-0000-0000-0000F9A30000}"/>
    <cellStyle name="Normal 6 2 2 3 5 4" xfId="22707" xr:uid="{00000000-0005-0000-0000-0000FAA30000}"/>
    <cellStyle name="Normal 6 2 2 3 6" xfId="4030" xr:uid="{00000000-0005-0000-0000-0000FBA30000}"/>
    <cellStyle name="Normal 6 2 2 3 6 2" xfId="51871" xr:uid="{00000000-0005-0000-0000-0000FCA30000}"/>
    <cellStyle name="Normal 6 2 2 3 6 3" xfId="35771" xr:uid="{00000000-0005-0000-0000-0000FDA30000}"/>
    <cellStyle name="Normal 6 2 2 3 6 4" xfId="16635" xr:uid="{00000000-0005-0000-0000-0000FEA30000}"/>
    <cellStyle name="Normal 6 2 2 3 7" xfId="42304" xr:uid="{00000000-0005-0000-0000-0000FFA30000}"/>
    <cellStyle name="Normal 6 2 2 3 8" xfId="26204" xr:uid="{00000000-0005-0000-0000-000000A40000}"/>
    <cellStyle name="Normal 6 2 2 3 9" xfId="13140" xr:uid="{00000000-0005-0000-0000-000001A40000}"/>
    <cellStyle name="Normal 6 2 2 4" xfId="568" xr:uid="{00000000-0005-0000-0000-000002A40000}"/>
    <cellStyle name="Normal 6 2 2 4 2" xfId="2597" xr:uid="{00000000-0005-0000-0000-000003A40000}"/>
    <cellStyle name="Normal 6 2 2 4 2 2" xfId="9129" xr:uid="{00000000-0005-0000-0000-000004A40000}"/>
    <cellStyle name="Normal 6 2 2 4 2 2 2" xfId="40870" xr:uid="{00000000-0005-0000-0000-000005A40000}"/>
    <cellStyle name="Normal 6 2 2 4 2 2 2 2" xfId="56970" xr:uid="{00000000-0005-0000-0000-000006A40000}"/>
    <cellStyle name="Normal 6 2 2 4 2 2 3" xfId="47403" xr:uid="{00000000-0005-0000-0000-000007A40000}"/>
    <cellStyle name="Normal 6 2 2 4 2 2 4" xfId="31303" xr:uid="{00000000-0005-0000-0000-000008A40000}"/>
    <cellStyle name="Normal 6 2 2 4 2 2 5" xfId="21734" xr:uid="{00000000-0005-0000-0000-000009A40000}"/>
    <cellStyle name="Normal 6 2 2 4 2 3" xfId="12165" xr:uid="{00000000-0005-0000-0000-00000AA40000}"/>
    <cellStyle name="Normal 6 2 2 4 2 3 2" xfId="50439" xr:uid="{00000000-0005-0000-0000-00000BA40000}"/>
    <cellStyle name="Normal 6 2 2 4 2 3 3" xfId="34339" xr:uid="{00000000-0005-0000-0000-00000CA40000}"/>
    <cellStyle name="Normal 6 2 2 4 2 3 4" xfId="24770" xr:uid="{00000000-0005-0000-0000-00000DA40000}"/>
    <cellStyle name="Normal 6 2 2 4 2 4" xfId="6093" xr:uid="{00000000-0005-0000-0000-00000EA40000}"/>
    <cellStyle name="Normal 6 2 2 4 2 4 2" xfId="53934" xr:uid="{00000000-0005-0000-0000-00000FA40000}"/>
    <cellStyle name="Normal 6 2 2 4 2 4 3" xfId="37834" xr:uid="{00000000-0005-0000-0000-000010A40000}"/>
    <cellStyle name="Normal 6 2 2 4 2 4 4" xfId="18698" xr:uid="{00000000-0005-0000-0000-000011A40000}"/>
    <cellStyle name="Normal 6 2 2 4 2 5" xfId="44367" xr:uid="{00000000-0005-0000-0000-000012A40000}"/>
    <cellStyle name="Normal 6 2 2 4 2 6" xfId="28267" xr:uid="{00000000-0005-0000-0000-000013A40000}"/>
    <cellStyle name="Normal 6 2 2 4 2 7" xfId="15203" xr:uid="{00000000-0005-0000-0000-000014A40000}"/>
    <cellStyle name="Normal 6 2 2 4 3" xfId="1365" xr:uid="{00000000-0005-0000-0000-000015A40000}"/>
    <cellStyle name="Normal 6 2 2 4 3 2" xfId="7899" xr:uid="{00000000-0005-0000-0000-000016A40000}"/>
    <cellStyle name="Normal 6 2 2 4 3 2 2" xfId="39640" xr:uid="{00000000-0005-0000-0000-000017A40000}"/>
    <cellStyle name="Normal 6 2 2 4 3 2 2 2" xfId="55740" xr:uid="{00000000-0005-0000-0000-000018A40000}"/>
    <cellStyle name="Normal 6 2 2 4 3 2 3" xfId="46173" xr:uid="{00000000-0005-0000-0000-000019A40000}"/>
    <cellStyle name="Normal 6 2 2 4 3 2 4" xfId="30073" xr:uid="{00000000-0005-0000-0000-00001AA40000}"/>
    <cellStyle name="Normal 6 2 2 4 3 2 5" xfId="20504" xr:uid="{00000000-0005-0000-0000-00001BA40000}"/>
    <cellStyle name="Normal 6 2 2 4 3 3" xfId="10935" xr:uid="{00000000-0005-0000-0000-00001CA40000}"/>
    <cellStyle name="Normal 6 2 2 4 3 3 2" xfId="49209" xr:uid="{00000000-0005-0000-0000-00001DA40000}"/>
    <cellStyle name="Normal 6 2 2 4 3 3 3" xfId="33109" xr:uid="{00000000-0005-0000-0000-00001EA40000}"/>
    <cellStyle name="Normal 6 2 2 4 3 3 4" xfId="23540" xr:uid="{00000000-0005-0000-0000-00001FA40000}"/>
    <cellStyle name="Normal 6 2 2 4 3 4" xfId="4863" xr:uid="{00000000-0005-0000-0000-000020A40000}"/>
    <cellStyle name="Normal 6 2 2 4 3 4 2" xfId="52704" xr:uid="{00000000-0005-0000-0000-000021A40000}"/>
    <cellStyle name="Normal 6 2 2 4 3 4 3" xfId="36604" xr:uid="{00000000-0005-0000-0000-000022A40000}"/>
    <cellStyle name="Normal 6 2 2 4 3 4 4" xfId="17468" xr:uid="{00000000-0005-0000-0000-000023A40000}"/>
    <cellStyle name="Normal 6 2 2 4 3 5" xfId="43137" xr:uid="{00000000-0005-0000-0000-000024A40000}"/>
    <cellStyle name="Normal 6 2 2 4 3 6" xfId="27037" xr:uid="{00000000-0005-0000-0000-000025A40000}"/>
    <cellStyle name="Normal 6 2 2 4 3 7" xfId="13973" xr:uid="{00000000-0005-0000-0000-000026A40000}"/>
    <cellStyle name="Normal 6 2 2 4 4" xfId="6889" xr:uid="{00000000-0005-0000-0000-000027A40000}"/>
    <cellStyle name="Normal 6 2 2 4 4 2" xfId="38630" xr:uid="{00000000-0005-0000-0000-000028A40000}"/>
    <cellStyle name="Normal 6 2 2 4 4 2 2" xfId="54730" xr:uid="{00000000-0005-0000-0000-000029A40000}"/>
    <cellStyle name="Normal 6 2 2 4 4 3" xfId="45163" xr:uid="{00000000-0005-0000-0000-00002AA40000}"/>
    <cellStyle name="Normal 6 2 2 4 4 4" xfId="29063" xr:uid="{00000000-0005-0000-0000-00002BA40000}"/>
    <cellStyle name="Normal 6 2 2 4 4 5" xfId="19494" xr:uid="{00000000-0005-0000-0000-00002CA40000}"/>
    <cellStyle name="Normal 6 2 2 4 5" xfId="9925" xr:uid="{00000000-0005-0000-0000-00002DA40000}"/>
    <cellStyle name="Normal 6 2 2 4 5 2" xfId="48199" xr:uid="{00000000-0005-0000-0000-00002EA40000}"/>
    <cellStyle name="Normal 6 2 2 4 5 3" xfId="32099" xr:uid="{00000000-0005-0000-0000-00002FA40000}"/>
    <cellStyle name="Normal 6 2 2 4 5 4" xfId="22530" xr:uid="{00000000-0005-0000-0000-000030A40000}"/>
    <cellStyle name="Normal 6 2 2 4 6" xfId="3853" xr:uid="{00000000-0005-0000-0000-000031A40000}"/>
    <cellStyle name="Normal 6 2 2 4 6 2" xfId="51694" xr:uid="{00000000-0005-0000-0000-000032A40000}"/>
    <cellStyle name="Normal 6 2 2 4 6 3" xfId="35594" xr:uid="{00000000-0005-0000-0000-000033A40000}"/>
    <cellStyle name="Normal 6 2 2 4 6 4" xfId="16458" xr:uid="{00000000-0005-0000-0000-000034A40000}"/>
    <cellStyle name="Normal 6 2 2 4 7" xfId="42127" xr:uid="{00000000-0005-0000-0000-000035A40000}"/>
    <cellStyle name="Normal 6 2 2 4 8" xfId="26027" xr:uid="{00000000-0005-0000-0000-000036A40000}"/>
    <cellStyle name="Normal 6 2 2 4 9" xfId="12963" xr:uid="{00000000-0005-0000-0000-000037A40000}"/>
    <cellStyle name="Normal 6 2 2 5" xfId="808" xr:uid="{00000000-0005-0000-0000-000038A40000}"/>
    <cellStyle name="Normal 6 2 2 5 2" xfId="2836" xr:uid="{00000000-0005-0000-0000-000039A40000}"/>
    <cellStyle name="Normal 6 2 2 5 2 2" xfId="9368" xr:uid="{00000000-0005-0000-0000-00003AA40000}"/>
    <cellStyle name="Normal 6 2 2 5 2 2 2" xfId="41109" xr:uid="{00000000-0005-0000-0000-00003BA40000}"/>
    <cellStyle name="Normal 6 2 2 5 2 2 2 2" xfId="57209" xr:uid="{00000000-0005-0000-0000-00003CA40000}"/>
    <cellStyle name="Normal 6 2 2 5 2 2 3" xfId="47642" xr:uid="{00000000-0005-0000-0000-00003DA40000}"/>
    <cellStyle name="Normal 6 2 2 5 2 2 4" xfId="31542" xr:uid="{00000000-0005-0000-0000-00003EA40000}"/>
    <cellStyle name="Normal 6 2 2 5 2 2 5" xfId="21973" xr:uid="{00000000-0005-0000-0000-00003FA40000}"/>
    <cellStyle name="Normal 6 2 2 5 2 3" xfId="12404" xr:uid="{00000000-0005-0000-0000-000040A40000}"/>
    <cellStyle name="Normal 6 2 2 5 2 3 2" xfId="50678" xr:uid="{00000000-0005-0000-0000-000041A40000}"/>
    <cellStyle name="Normal 6 2 2 5 2 3 3" xfId="34578" xr:uid="{00000000-0005-0000-0000-000042A40000}"/>
    <cellStyle name="Normal 6 2 2 5 2 3 4" xfId="25009" xr:uid="{00000000-0005-0000-0000-000043A40000}"/>
    <cellStyle name="Normal 6 2 2 5 2 4" xfId="6332" xr:uid="{00000000-0005-0000-0000-000044A40000}"/>
    <cellStyle name="Normal 6 2 2 5 2 4 2" xfId="54173" xr:uid="{00000000-0005-0000-0000-000045A40000}"/>
    <cellStyle name="Normal 6 2 2 5 2 4 3" xfId="38073" xr:uid="{00000000-0005-0000-0000-000046A40000}"/>
    <cellStyle name="Normal 6 2 2 5 2 4 4" xfId="18937" xr:uid="{00000000-0005-0000-0000-000047A40000}"/>
    <cellStyle name="Normal 6 2 2 5 2 5" xfId="44606" xr:uid="{00000000-0005-0000-0000-000048A40000}"/>
    <cellStyle name="Normal 6 2 2 5 2 6" xfId="28506" xr:uid="{00000000-0005-0000-0000-000049A40000}"/>
    <cellStyle name="Normal 6 2 2 5 2 7" xfId="15442" xr:uid="{00000000-0005-0000-0000-00004AA40000}"/>
    <cellStyle name="Normal 6 2 2 5 3" xfId="1818" xr:uid="{00000000-0005-0000-0000-00004BA40000}"/>
    <cellStyle name="Normal 6 2 2 5 3 2" xfId="8352" xr:uid="{00000000-0005-0000-0000-00004CA40000}"/>
    <cellStyle name="Normal 6 2 2 5 3 2 2" xfId="40093" xr:uid="{00000000-0005-0000-0000-00004DA40000}"/>
    <cellStyle name="Normal 6 2 2 5 3 2 2 2" xfId="56193" xr:uid="{00000000-0005-0000-0000-00004EA40000}"/>
    <cellStyle name="Normal 6 2 2 5 3 2 3" xfId="46626" xr:uid="{00000000-0005-0000-0000-00004FA40000}"/>
    <cellStyle name="Normal 6 2 2 5 3 2 4" xfId="30526" xr:uid="{00000000-0005-0000-0000-000050A40000}"/>
    <cellStyle name="Normal 6 2 2 5 3 2 5" xfId="20957" xr:uid="{00000000-0005-0000-0000-000051A40000}"/>
    <cellStyle name="Normal 6 2 2 5 3 3" xfId="11388" xr:uid="{00000000-0005-0000-0000-000052A40000}"/>
    <cellStyle name="Normal 6 2 2 5 3 3 2" xfId="49662" xr:uid="{00000000-0005-0000-0000-000053A40000}"/>
    <cellStyle name="Normal 6 2 2 5 3 3 3" xfId="33562" xr:uid="{00000000-0005-0000-0000-000054A40000}"/>
    <cellStyle name="Normal 6 2 2 5 3 3 4" xfId="23993" xr:uid="{00000000-0005-0000-0000-000055A40000}"/>
    <cellStyle name="Normal 6 2 2 5 3 4" xfId="5316" xr:uid="{00000000-0005-0000-0000-000056A40000}"/>
    <cellStyle name="Normal 6 2 2 5 3 4 2" xfId="53157" xr:uid="{00000000-0005-0000-0000-000057A40000}"/>
    <cellStyle name="Normal 6 2 2 5 3 4 3" xfId="37057" xr:uid="{00000000-0005-0000-0000-000058A40000}"/>
    <cellStyle name="Normal 6 2 2 5 3 4 4" xfId="17921" xr:uid="{00000000-0005-0000-0000-000059A40000}"/>
    <cellStyle name="Normal 6 2 2 5 3 5" xfId="43590" xr:uid="{00000000-0005-0000-0000-00005AA40000}"/>
    <cellStyle name="Normal 6 2 2 5 3 6" xfId="27490" xr:uid="{00000000-0005-0000-0000-00005BA40000}"/>
    <cellStyle name="Normal 6 2 2 5 3 7" xfId="14426" xr:uid="{00000000-0005-0000-0000-00005CA40000}"/>
    <cellStyle name="Normal 6 2 2 5 4" xfId="7342" xr:uid="{00000000-0005-0000-0000-00005DA40000}"/>
    <cellStyle name="Normal 6 2 2 5 4 2" xfId="39083" xr:uid="{00000000-0005-0000-0000-00005EA40000}"/>
    <cellStyle name="Normal 6 2 2 5 4 2 2" xfId="55183" xr:uid="{00000000-0005-0000-0000-00005FA40000}"/>
    <cellStyle name="Normal 6 2 2 5 4 3" xfId="45616" xr:uid="{00000000-0005-0000-0000-000060A40000}"/>
    <cellStyle name="Normal 6 2 2 5 4 4" xfId="29516" xr:uid="{00000000-0005-0000-0000-000061A40000}"/>
    <cellStyle name="Normal 6 2 2 5 4 5" xfId="19947" xr:uid="{00000000-0005-0000-0000-000062A40000}"/>
    <cellStyle name="Normal 6 2 2 5 5" xfId="10378" xr:uid="{00000000-0005-0000-0000-000063A40000}"/>
    <cellStyle name="Normal 6 2 2 5 5 2" xfId="48652" xr:uid="{00000000-0005-0000-0000-000064A40000}"/>
    <cellStyle name="Normal 6 2 2 5 5 3" xfId="32552" xr:uid="{00000000-0005-0000-0000-000065A40000}"/>
    <cellStyle name="Normal 6 2 2 5 5 4" xfId="22983" xr:uid="{00000000-0005-0000-0000-000066A40000}"/>
    <cellStyle name="Normal 6 2 2 5 6" xfId="4306" xr:uid="{00000000-0005-0000-0000-000067A40000}"/>
    <cellStyle name="Normal 6 2 2 5 6 2" xfId="52147" xr:uid="{00000000-0005-0000-0000-000068A40000}"/>
    <cellStyle name="Normal 6 2 2 5 6 3" xfId="36047" xr:uid="{00000000-0005-0000-0000-000069A40000}"/>
    <cellStyle name="Normal 6 2 2 5 6 4" xfId="16911" xr:uid="{00000000-0005-0000-0000-00006AA40000}"/>
    <cellStyle name="Normal 6 2 2 5 7" xfId="42580" xr:uid="{00000000-0005-0000-0000-00006BA40000}"/>
    <cellStyle name="Normal 6 2 2 5 8" xfId="26480" xr:uid="{00000000-0005-0000-0000-00006CA40000}"/>
    <cellStyle name="Normal 6 2 2 5 9" xfId="13416" xr:uid="{00000000-0005-0000-0000-00006DA40000}"/>
    <cellStyle name="Normal 6 2 2 6" xfId="2153" xr:uid="{00000000-0005-0000-0000-00006EA40000}"/>
    <cellStyle name="Normal 6 2 2 6 2" xfId="8687" xr:uid="{00000000-0005-0000-0000-00006FA40000}"/>
    <cellStyle name="Normal 6 2 2 6 2 2" xfId="40428" xr:uid="{00000000-0005-0000-0000-000070A40000}"/>
    <cellStyle name="Normal 6 2 2 6 2 2 2" xfId="56528" xr:uid="{00000000-0005-0000-0000-000071A40000}"/>
    <cellStyle name="Normal 6 2 2 6 2 3" xfId="46961" xr:uid="{00000000-0005-0000-0000-000072A40000}"/>
    <cellStyle name="Normal 6 2 2 6 2 4" xfId="30861" xr:uid="{00000000-0005-0000-0000-000073A40000}"/>
    <cellStyle name="Normal 6 2 2 6 2 5" xfId="21292" xr:uid="{00000000-0005-0000-0000-000074A40000}"/>
    <cellStyle name="Normal 6 2 2 6 3" xfId="11723" xr:uid="{00000000-0005-0000-0000-000075A40000}"/>
    <cellStyle name="Normal 6 2 2 6 3 2" xfId="49997" xr:uid="{00000000-0005-0000-0000-000076A40000}"/>
    <cellStyle name="Normal 6 2 2 6 3 3" xfId="33897" xr:uid="{00000000-0005-0000-0000-000077A40000}"/>
    <cellStyle name="Normal 6 2 2 6 3 4" xfId="24328" xr:uid="{00000000-0005-0000-0000-000078A40000}"/>
    <cellStyle name="Normal 6 2 2 6 4" xfId="5651" xr:uid="{00000000-0005-0000-0000-000079A40000}"/>
    <cellStyle name="Normal 6 2 2 6 4 2" xfId="53492" xr:uid="{00000000-0005-0000-0000-00007AA40000}"/>
    <cellStyle name="Normal 6 2 2 6 4 3" xfId="37392" xr:uid="{00000000-0005-0000-0000-00007BA40000}"/>
    <cellStyle name="Normal 6 2 2 6 4 4" xfId="18256" xr:uid="{00000000-0005-0000-0000-00007CA40000}"/>
    <cellStyle name="Normal 6 2 2 6 5" xfId="43925" xr:uid="{00000000-0005-0000-0000-00007DA40000}"/>
    <cellStyle name="Normal 6 2 2 6 6" xfId="27825" xr:uid="{00000000-0005-0000-0000-00007EA40000}"/>
    <cellStyle name="Normal 6 2 2 6 7" xfId="14761" xr:uid="{00000000-0005-0000-0000-00007FA40000}"/>
    <cellStyle name="Normal 6 2 2 7" xfId="1135" xr:uid="{00000000-0005-0000-0000-000080A40000}"/>
    <cellStyle name="Normal 6 2 2 7 2" xfId="7669" xr:uid="{00000000-0005-0000-0000-000081A40000}"/>
    <cellStyle name="Normal 6 2 2 7 2 2" xfId="39410" xr:uid="{00000000-0005-0000-0000-000082A40000}"/>
    <cellStyle name="Normal 6 2 2 7 2 2 2" xfId="55510" xr:uid="{00000000-0005-0000-0000-000083A40000}"/>
    <cellStyle name="Normal 6 2 2 7 2 3" xfId="45943" xr:uid="{00000000-0005-0000-0000-000084A40000}"/>
    <cellStyle name="Normal 6 2 2 7 2 4" xfId="29843" xr:uid="{00000000-0005-0000-0000-000085A40000}"/>
    <cellStyle name="Normal 6 2 2 7 2 5" xfId="20274" xr:uid="{00000000-0005-0000-0000-000086A40000}"/>
    <cellStyle name="Normal 6 2 2 7 3" xfId="10705" xr:uid="{00000000-0005-0000-0000-000087A40000}"/>
    <cellStyle name="Normal 6 2 2 7 3 2" xfId="48979" xr:uid="{00000000-0005-0000-0000-000088A40000}"/>
    <cellStyle name="Normal 6 2 2 7 3 3" xfId="32879" xr:uid="{00000000-0005-0000-0000-000089A40000}"/>
    <cellStyle name="Normal 6 2 2 7 3 4" xfId="23310" xr:uid="{00000000-0005-0000-0000-00008AA40000}"/>
    <cellStyle name="Normal 6 2 2 7 4" xfId="4633" xr:uid="{00000000-0005-0000-0000-00008BA40000}"/>
    <cellStyle name="Normal 6 2 2 7 4 2" xfId="52474" xr:uid="{00000000-0005-0000-0000-00008CA40000}"/>
    <cellStyle name="Normal 6 2 2 7 4 3" xfId="36374" xr:uid="{00000000-0005-0000-0000-00008DA40000}"/>
    <cellStyle name="Normal 6 2 2 7 4 4" xfId="17238" xr:uid="{00000000-0005-0000-0000-00008EA40000}"/>
    <cellStyle name="Normal 6 2 2 7 5" xfId="42907" xr:uid="{00000000-0005-0000-0000-00008FA40000}"/>
    <cellStyle name="Normal 6 2 2 7 6" xfId="26807" xr:uid="{00000000-0005-0000-0000-000090A40000}"/>
    <cellStyle name="Normal 6 2 2 7 7" xfId="13743" xr:uid="{00000000-0005-0000-0000-000091A40000}"/>
    <cellStyle name="Normal 6 2 2 8" xfId="3623" xr:uid="{00000000-0005-0000-0000-000092A40000}"/>
    <cellStyle name="Normal 6 2 2 8 2" xfId="35364" xr:uid="{00000000-0005-0000-0000-000093A40000}"/>
    <cellStyle name="Normal 6 2 2 8 2 2" xfId="51464" xr:uid="{00000000-0005-0000-0000-000094A40000}"/>
    <cellStyle name="Normal 6 2 2 8 3" xfId="41897" xr:uid="{00000000-0005-0000-0000-000095A40000}"/>
    <cellStyle name="Normal 6 2 2 8 4" xfId="25797" xr:uid="{00000000-0005-0000-0000-000096A40000}"/>
    <cellStyle name="Normal 6 2 2 8 5" xfId="16228" xr:uid="{00000000-0005-0000-0000-000097A40000}"/>
    <cellStyle name="Normal 6 2 2 9" xfId="6659" xr:uid="{00000000-0005-0000-0000-000098A40000}"/>
    <cellStyle name="Normal 6 2 2 9 2" xfId="38400" xr:uid="{00000000-0005-0000-0000-000099A40000}"/>
    <cellStyle name="Normal 6 2 2 9 2 2" xfId="54500" xr:uid="{00000000-0005-0000-0000-00009AA40000}"/>
    <cellStyle name="Normal 6 2 2 9 3" xfId="44933" xr:uid="{00000000-0005-0000-0000-00009BA40000}"/>
    <cellStyle name="Normal 6 2 2 9 4" xfId="28833" xr:uid="{00000000-0005-0000-0000-00009CA40000}"/>
    <cellStyle name="Normal 6 2 2 9 5" xfId="19264" xr:uid="{00000000-0005-0000-0000-00009DA40000}"/>
    <cellStyle name="Normal 6 2 3" xfId="94" xr:uid="{00000000-0005-0000-0000-00009EA40000}"/>
    <cellStyle name="Normal 6 2 3 10" xfId="41612" xr:uid="{00000000-0005-0000-0000-00009FA40000}"/>
    <cellStyle name="Normal 6 2 3 11" xfId="25512" xr:uid="{00000000-0005-0000-0000-0000A0A40000}"/>
    <cellStyle name="Normal 6 2 3 12" xfId="12927" xr:uid="{00000000-0005-0000-0000-0000A1A40000}"/>
    <cellStyle name="Normal 6 2 3 2" xfId="275" xr:uid="{00000000-0005-0000-0000-0000A2A40000}"/>
    <cellStyle name="Normal 6 2 3 2 2" xfId="2294" xr:uid="{00000000-0005-0000-0000-0000A3A40000}"/>
    <cellStyle name="Normal 6 2 3 2 2 2" xfId="8828" xr:uid="{00000000-0005-0000-0000-0000A4A40000}"/>
    <cellStyle name="Normal 6 2 3 2 2 2 2" xfId="40569" xr:uid="{00000000-0005-0000-0000-0000A5A40000}"/>
    <cellStyle name="Normal 6 2 3 2 2 2 2 2" xfId="56669" xr:uid="{00000000-0005-0000-0000-0000A6A40000}"/>
    <cellStyle name="Normal 6 2 3 2 2 2 3" xfId="47102" xr:uid="{00000000-0005-0000-0000-0000A7A40000}"/>
    <cellStyle name="Normal 6 2 3 2 2 2 4" xfId="31002" xr:uid="{00000000-0005-0000-0000-0000A8A40000}"/>
    <cellStyle name="Normal 6 2 3 2 2 2 5" xfId="21433" xr:uid="{00000000-0005-0000-0000-0000A9A40000}"/>
    <cellStyle name="Normal 6 2 3 2 2 3" xfId="11864" xr:uid="{00000000-0005-0000-0000-0000AAA40000}"/>
    <cellStyle name="Normal 6 2 3 2 2 3 2" xfId="50138" xr:uid="{00000000-0005-0000-0000-0000ABA40000}"/>
    <cellStyle name="Normal 6 2 3 2 2 3 3" xfId="34038" xr:uid="{00000000-0005-0000-0000-0000ACA40000}"/>
    <cellStyle name="Normal 6 2 3 2 2 3 4" xfId="24469" xr:uid="{00000000-0005-0000-0000-0000ADA40000}"/>
    <cellStyle name="Normal 6 2 3 2 2 4" xfId="5792" xr:uid="{00000000-0005-0000-0000-0000AEA40000}"/>
    <cellStyle name="Normal 6 2 3 2 2 4 2" xfId="53633" xr:uid="{00000000-0005-0000-0000-0000AFA40000}"/>
    <cellStyle name="Normal 6 2 3 2 2 4 3" xfId="37533" xr:uid="{00000000-0005-0000-0000-0000B0A40000}"/>
    <cellStyle name="Normal 6 2 3 2 2 4 4" xfId="18397" xr:uid="{00000000-0005-0000-0000-0000B1A40000}"/>
    <cellStyle name="Normal 6 2 3 2 2 5" xfId="44066" xr:uid="{00000000-0005-0000-0000-0000B2A40000}"/>
    <cellStyle name="Normal 6 2 3 2 2 6" xfId="27966" xr:uid="{00000000-0005-0000-0000-0000B3A40000}"/>
    <cellStyle name="Normal 6 2 3 2 2 7" xfId="14902" xr:uid="{00000000-0005-0000-0000-0000B4A40000}"/>
    <cellStyle name="Normal 6 2 3 2 3" xfId="1506" xr:uid="{00000000-0005-0000-0000-0000B5A40000}"/>
    <cellStyle name="Normal 6 2 3 2 3 2" xfId="8040" xr:uid="{00000000-0005-0000-0000-0000B6A40000}"/>
    <cellStyle name="Normal 6 2 3 2 3 2 2" xfId="39781" xr:uid="{00000000-0005-0000-0000-0000B7A40000}"/>
    <cellStyle name="Normal 6 2 3 2 3 2 2 2" xfId="55881" xr:uid="{00000000-0005-0000-0000-0000B8A40000}"/>
    <cellStyle name="Normal 6 2 3 2 3 2 3" xfId="46314" xr:uid="{00000000-0005-0000-0000-0000B9A40000}"/>
    <cellStyle name="Normal 6 2 3 2 3 2 4" xfId="30214" xr:uid="{00000000-0005-0000-0000-0000BAA40000}"/>
    <cellStyle name="Normal 6 2 3 2 3 2 5" xfId="20645" xr:uid="{00000000-0005-0000-0000-0000BBA40000}"/>
    <cellStyle name="Normal 6 2 3 2 3 3" xfId="11076" xr:uid="{00000000-0005-0000-0000-0000BCA40000}"/>
    <cellStyle name="Normal 6 2 3 2 3 3 2" xfId="49350" xr:uid="{00000000-0005-0000-0000-0000BDA40000}"/>
    <cellStyle name="Normal 6 2 3 2 3 3 3" xfId="33250" xr:uid="{00000000-0005-0000-0000-0000BEA40000}"/>
    <cellStyle name="Normal 6 2 3 2 3 3 4" xfId="23681" xr:uid="{00000000-0005-0000-0000-0000BFA40000}"/>
    <cellStyle name="Normal 6 2 3 2 3 4" xfId="5004" xr:uid="{00000000-0005-0000-0000-0000C0A40000}"/>
    <cellStyle name="Normal 6 2 3 2 3 4 2" xfId="52845" xr:uid="{00000000-0005-0000-0000-0000C1A40000}"/>
    <cellStyle name="Normal 6 2 3 2 3 4 3" xfId="36745" xr:uid="{00000000-0005-0000-0000-0000C2A40000}"/>
    <cellStyle name="Normal 6 2 3 2 3 4 4" xfId="17609" xr:uid="{00000000-0005-0000-0000-0000C3A40000}"/>
    <cellStyle name="Normal 6 2 3 2 3 5" xfId="43278" xr:uid="{00000000-0005-0000-0000-0000C4A40000}"/>
    <cellStyle name="Normal 6 2 3 2 3 6" xfId="27178" xr:uid="{00000000-0005-0000-0000-0000C5A40000}"/>
    <cellStyle name="Normal 6 2 3 2 3 7" xfId="14114" xr:uid="{00000000-0005-0000-0000-0000C6A40000}"/>
    <cellStyle name="Normal 6 2 3 2 4" xfId="7030" xr:uid="{00000000-0005-0000-0000-0000C7A40000}"/>
    <cellStyle name="Normal 6 2 3 2 4 2" xfId="38771" xr:uid="{00000000-0005-0000-0000-0000C8A40000}"/>
    <cellStyle name="Normal 6 2 3 2 4 2 2" xfId="54871" xr:uid="{00000000-0005-0000-0000-0000C9A40000}"/>
    <cellStyle name="Normal 6 2 3 2 4 3" xfId="45304" xr:uid="{00000000-0005-0000-0000-0000CAA40000}"/>
    <cellStyle name="Normal 6 2 3 2 4 4" xfId="29204" xr:uid="{00000000-0005-0000-0000-0000CBA40000}"/>
    <cellStyle name="Normal 6 2 3 2 4 5" xfId="19635" xr:uid="{00000000-0005-0000-0000-0000CCA40000}"/>
    <cellStyle name="Normal 6 2 3 2 5" xfId="10066" xr:uid="{00000000-0005-0000-0000-0000CDA40000}"/>
    <cellStyle name="Normal 6 2 3 2 5 2" xfId="48340" xr:uid="{00000000-0005-0000-0000-0000CEA40000}"/>
    <cellStyle name="Normal 6 2 3 2 5 3" xfId="32240" xr:uid="{00000000-0005-0000-0000-0000CFA40000}"/>
    <cellStyle name="Normal 6 2 3 2 5 4" xfId="22671" xr:uid="{00000000-0005-0000-0000-0000D0A40000}"/>
    <cellStyle name="Normal 6 2 3 2 6" xfId="3994" xr:uid="{00000000-0005-0000-0000-0000D1A40000}"/>
    <cellStyle name="Normal 6 2 3 2 6 2" xfId="51835" xr:uid="{00000000-0005-0000-0000-0000D2A40000}"/>
    <cellStyle name="Normal 6 2 3 2 6 3" xfId="35735" xr:uid="{00000000-0005-0000-0000-0000D3A40000}"/>
    <cellStyle name="Normal 6 2 3 2 6 4" xfId="16599" xr:uid="{00000000-0005-0000-0000-0000D4A40000}"/>
    <cellStyle name="Normal 6 2 3 2 7" xfId="42268" xr:uid="{00000000-0005-0000-0000-0000D5A40000}"/>
    <cellStyle name="Normal 6 2 3 2 8" xfId="26168" xr:uid="{00000000-0005-0000-0000-0000D6A40000}"/>
    <cellStyle name="Normal 6 2 3 2 9" xfId="13104" xr:uid="{00000000-0005-0000-0000-0000D7A40000}"/>
    <cellStyle name="Normal 6 2 3 3" xfId="967" xr:uid="{00000000-0005-0000-0000-0000D8A40000}"/>
    <cellStyle name="Normal 6 2 3 3 2" xfId="2995" xr:uid="{00000000-0005-0000-0000-0000D9A40000}"/>
    <cellStyle name="Normal 6 2 3 3 2 2" xfId="9527" xr:uid="{00000000-0005-0000-0000-0000DAA40000}"/>
    <cellStyle name="Normal 6 2 3 3 2 2 2" xfId="41268" xr:uid="{00000000-0005-0000-0000-0000DBA40000}"/>
    <cellStyle name="Normal 6 2 3 3 2 2 2 2" xfId="57368" xr:uid="{00000000-0005-0000-0000-0000DCA40000}"/>
    <cellStyle name="Normal 6 2 3 3 2 2 3" xfId="47801" xr:uid="{00000000-0005-0000-0000-0000DDA40000}"/>
    <cellStyle name="Normal 6 2 3 3 2 2 4" xfId="31701" xr:uid="{00000000-0005-0000-0000-0000DEA40000}"/>
    <cellStyle name="Normal 6 2 3 3 2 2 5" xfId="22132" xr:uid="{00000000-0005-0000-0000-0000DFA40000}"/>
    <cellStyle name="Normal 6 2 3 3 2 3" xfId="12563" xr:uid="{00000000-0005-0000-0000-0000E0A40000}"/>
    <cellStyle name="Normal 6 2 3 3 2 3 2" xfId="50837" xr:uid="{00000000-0005-0000-0000-0000E1A40000}"/>
    <cellStyle name="Normal 6 2 3 3 2 3 3" xfId="34737" xr:uid="{00000000-0005-0000-0000-0000E2A40000}"/>
    <cellStyle name="Normal 6 2 3 3 2 3 4" xfId="25168" xr:uid="{00000000-0005-0000-0000-0000E3A40000}"/>
    <cellStyle name="Normal 6 2 3 3 2 4" xfId="6491" xr:uid="{00000000-0005-0000-0000-0000E4A40000}"/>
    <cellStyle name="Normal 6 2 3 3 2 4 2" xfId="54332" xr:uid="{00000000-0005-0000-0000-0000E5A40000}"/>
    <cellStyle name="Normal 6 2 3 3 2 4 3" xfId="38232" xr:uid="{00000000-0005-0000-0000-0000E6A40000}"/>
    <cellStyle name="Normal 6 2 3 3 2 4 4" xfId="19096" xr:uid="{00000000-0005-0000-0000-0000E7A40000}"/>
    <cellStyle name="Normal 6 2 3 3 2 5" xfId="44765" xr:uid="{00000000-0005-0000-0000-0000E8A40000}"/>
    <cellStyle name="Normal 6 2 3 3 2 6" xfId="28665" xr:uid="{00000000-0005-0000-0000-0000E9A40000}"/>
    <cellStyle name="Normal 6 2 3 3 2 7" xfId="15601" xr:uid="{00000000-0005-0000-0000-0000EAA40000}"/>
    <cellStyle name="Normal 6 2 3 3 3" xfId="1977" xr:uid="{00000000-0005-0000-0000-0000EBA40000}"/>
    <cellStyle name="Normal 6 2 3 3 3 2" xfId="8511" xr:uid="{00000000-0005-0000-0000-0000ECA40000}"/>
    <cellStyle name="Normal 6 2 3 3 3 2 2" xfId="40252" xr:uid="{00000000-0005-0000-0000-0000EDA40000}"/>
    <cellStyle name="Normal 6 2 3 3 3 2 2 2" xfId="56352" xr:uid="{00000000-0005-0000-0000-0000EEA40000}"/>
    <cellStyle name="Normal 6 2 3 3 3 2 3" xfId="46785" xr:uid="{00000000-0005-0000-0000-0000EFA40000}"/>
    <cellStyle name="Normal 6 2 3 3 3 2 4" xfId="30685" xr:uid="{00000000-0005-0000-0000-0000F0A40000}"/>
    <cellStyle name="Normal 6 2 3 3 3 2 5" xfId="21116" xr:uid="{00000000-0005-0000-0000-0000F1A40000}"/>
    <cellStyle name="Normal 6 2 3 3 3 3" xfId="11547" xr:uid="{00000000-0005-0000-0000-0000F2A40000}"/>
    <cellStyle name="Normal 6 2 3 3 3 3 2" xfId="49821" xr:uid="{00000000-0005-0000-0000-0000F3A40000}"/>
    <cellStyle name="Normal 6 2 3 3 3 3 3" xfId="33721" xr:uid="{00000000-0005-0000-0000-0000F4A40000}"/>
    <cellStyle name="Normal 6 2 3 3 3 3 4" xfId="24152" xr:uid="{00000000-0005-0000-0000-0000F5A40000}"/>
    <cellStyle name="Normal 6 2 3 3 3 4" xfId="5475" xr:uid="{00000000-0005-0000-0000-0000F6A40000}"/>
    <cellStyle name="Normal 6 2 3 3 3 4 2" xfId="53316" xr:uid="{00000000-0005-0000-0000-0000F7A40000}"/>
    <cellStyle name="Normal 6 2 3 3 3 4 3" xfId="37216" xr:uid="{00000000-0005-0000-0000-0000F8A40000}"/>
    <cellStyle name="Normal 6 2 3 3 3 4 4" xfId="18080" xr:uid="{00000000-0005-0000-0000-0000F9A40000}"/>
    <cellStyle name="Normal 6 2 3 3 3 5" xfId="43749" xr:uid="{00000000-0005-0000-0000-0000FAA40000}"/>
    <cellStyle name="Normal 6 2 3 3 3 6" xfId="27649" xr:uid="{00000000-0005-0000-0000-0000FBA40000}"/>
    <cellStyle name="Normal 6 2 3 3 3 7" xfId="14585" xr:uid="{00000000-0005-0000-0000-0000FCA40000}"/>
    <cellStyle name="Normal 6 2 3 3 4" xfId="7501" xr:uid="{00000000-0005-0000-0000-0000FDA40000}"/>
    <cellStyle name="Normal 6 2 3 3 4 2" xfId="39242" xr:uid="{00000000-0005-0000-0000-0000FEA40000}"/>
    <cellStyle name="Normal 6 2 3 3 4 2 2" xfId="55342" xr:uid="{00000000-0005-0000-0000-0000FFA40000}"/>
    <cellStyle name="Normal 6 2 3 3 4 3" xfId="45775" xr:uid="{00000000-0005-0000-0000-000000A50000}"/>
    <cellStyle name="Normal 6 2 3 3 4 4" xfId="29675" xr:uid="{00000000-0005-0000-0000-000001A50000}"/>
    <cellStyle name="Normal 6 2 3 3 4 5" xfId="20106" xr:uid="{00000000-0005-0000-0000-000002A50000}"/>
    <cellStyle name="Normal 6 2 3 3 5" xfId="10537" xr:uid="{00000000-0005-0000-0000-000003A50000}"/>
    <cellStyle name="Normal 6 2 3 3 5 2" xfId="48811" xr:uid="{00000000-0005-0000-0000-000004A50000}"/>
    <cellStyle name="Normal 6 2 3 3 5 3" xfId="32711" xr:uid="{00000000-0005-0000-0000-000005A50000}"/>
    <cellStyle name="Normal 6 2 3 3 5 4" xfId="23142" xr:uid="{00000000-0005-0000-0000-000006A50000}"/>
    <cellStyle name="Normal 6 2 3 3 6" xfId="4465" xr:uid="{00000000-0005-0000-0000-000007A50000}"/>
    <cellStyle name="Normal 6 2 3 3 6 2" xfId="52306" xr:uid="{00000000-0005-0000-0000-000008A50000}"/>
    <cellStyle name="Normal 6 2 3 3 6 3" xfId="36206" xr:uid="{00000000-0005-0000-0000-000009A50000}"/>
    <cellStyle name="Normal 6 2 3 3 6 4" xfId="17070" xr:uid="{00000000-0005-0000-0000-00000AA50000}"/>
    <cellStyle name="Normal 6 2 3 3 7" xfId="42739" xr:uid="{00000000-0005-0000-0000-00000BA50000}"/>
    <cellStyle name="Normal 6 2 3 3 8" xfId="26639" xr:uid="{00000000-0005-0000-0000-00000CA50000}"/>
    <cellStyle name="Normal 6 2 3 3 9" xfId="13575" xr:uid="{00000000-0005-0000-0000-00000DA50000}"/>
    <cellStyle name="Normal 6 2 3 4" xfId="2117" xr:uid="{00000000-0005-0000-0000-00000EA50000}"/>
    <cellStyle name="Normal 6 2 3 4 2" xfId="8651" xr:uid="{00000000-0005-0000-0000-00000FA50000}"/>
    <cellStyle name="Normal 6 2 3 4 2 2" xfId="40392" xr:uid="{00000000-0005-0000-0000-000010A50000}"/>
    <cellStyle name="Normal 6 2 3 4 2 2 2" xfId="56492" xr:uid="{00000000-0005-0000-0000-000011A50000}"/>
    <cellStyle name="Normal 6 2 3 4 2 3" xfId="46925" xr:uid="{00000000-0005-0000-0000-000012A50000}"/>
    <cellStyle name="Normal 6 2 3 4 2 4" xfId="30825" xr:uid="{00000000-0005-0000-0000-000013A50000}"/>
    <cellStyle name="Normal 6 2 3 4 2 5" xfId="21256" xr:uid="{00000000-0005-0000-0000-000014A50000}"/>
    <cellStyle name="Normal 6 2 3 4 3" xfId="11687" xr:uid="{00000000-0005-0000-0000-000015A50000}"/>
    <cellStyle name="Normal 6 2 3 4 3 2" xfId="49961" xr:uid="{00000000-0005-0000-0000-000016A50000}"/>
    <cellStyle name="Normal 6 2 3 4 3 3" xfId="33861" xr:uid="{00000000-0005-0000-0000-000017A50000}"/>
    <cellStyle name="Normal 6 2 3 4 3 4" xfId="24292" xr:uid="{00000000-0005-0000-0000-000018A50000}"/>
    <cellStyle name="Normal 6 2 3 4 4" xfId="5615" xr:uid="{00000000-0005-0000-0000-000019A50000}"/>
    <cellStyle name="Normal 6 2 3 4 4 2" xfId="53456" xr:uid="{00000000-0005-0000-0000-00001AA50000}"/>
    <cellStyle name="Normal 6 2 3 4 4 3" xfId="37356" xr:uid="{00000000-0005-0000-0000-00001BA50000}"/>
    <cellStyle name="Normal 6 2 3 4 4 4" xfId="18220" xr:uid="{00000000-0005-0000-0000-00001CA50000}"/>
    <cellStyle name="Normal 6 2 3 4 5" xfId="43889" xr:uid="{00000000-0005-0000-0000-00001DA50000}"/>
    <cellStyle name="Normal 6 2 3 4 6" xfId="27789" xr:uid="{00000000-0005-0000-0000-00001EA50000}"/>
    <cellStyle name="Normal 6 2 3 4 7" xfId="14725" xr:uid="{00000000-0005-0000-0000-00001FA50000}"/>
    <cellStyle name="Normal 6 2 3 5" xfId="1329" xr:uid="{00000000-0005-0000-0000-000020A50000}"/>
    <cellStyle name="Normal 6 2 3 5 2" xfId="7863" xr:uid="{00000000-0005-0000-0000-000021A50000}"/>
    <cellStyle name="Normal 6 2 3 5 2 2" xfId="39604" xr:uid="{00000000-0005-0000-0000-000022A50000}"/>
    <cellStyle name="Normal 6 2 3 5 2 2 2" xfId="55704" xr:uid="{00000000-0005-0000-0000-000023A50000}"/>
    <cellStyle name="Normal 6 2 3 5 2 3" xfId="46137" xr:uid="{00000000-0005-0000-0000-000024A50000}"/>
    <cellStyle name="Normal 6 2 3 5 2 4" xfId="30037" xr:uid="{00000000-0005-0000-0000-000025A50000}"/>
    <cellStyle name="Normal 6 2 3 5 2 5" xfId="20468" xr:uid="{00000000-0005-0000-0000-000026A50000}"/>
    <cellStyle name="Normal 6 2 3 5 3" xfId="10899" xr:uid="{00000000-0005-0000-0000-000027A50000}"/>
    <cellStyle name="Normal 6 2 3 5 3 2" xfId="49173" xr:uid="{00000000-0005-0000-0000-000028A50000}"/>
    <cellStyle name="Normal 6 2 3 5 3 3" xfId="33073" xr:uid="{00000000-0005-0000-0000-000029A50000}"/>
    <cellStyle name="Normal 6 2 3 5 3 4" xfId="23504" xr:uid="{00000000-0005-0000-0000-00002AA50000}"/>
    <cellStyle name="Normal 6 2 3 5 4" xfId="4827" xr:uid="{00000000-0005-0000-0000-00002BA50000}"/>
    <cellStyle name="Normal 6 2 3 5 4 2" xfId="52668" xr:uid="{00000000-0005-0000-0000-00002CA50000}"/>
    <cellStyle name="Normal 6 2 3 5 4 3" xfId="36568" xr:uid="{00000000-0005-0000-0000-00002DA50000}"/>
    <cellStyle name="Normal 6 2 3 5 4 4" xfId="17432" xr:uid="{00000000-0005-0000-0000-00002EA50000}"/>
    <cellStyle name="Normal 6 2 3 5 5" xfId="43101" xr:uid="{00000000-0005-0000-0000-00002FA50000}"/>
    <cellStyle name="Normal 6 2 3 5 6" xfId="27001" xr:uid="{00000000-0005-0000-0000-000030A50000}"/>
    <cellStyle name="Normal 6 2 3 5 7" xfId="13937" xr:uid="{00000000-0005-0000-0000-000031A50000}"/>
    <cellStyle name="Normal 6 2 3 6" xfId="3817" xr:uid="{00000000-0005-0000-0000-000032A50000}"/>
    <cellStyle name="Normal 6 2 3 6 2" xfId="35558" xr:uid="{00000000-0005-0000-0000-000033A50000}"/>
    <cellStyle name="Normal 6 2 3 6 2 2" xfId="51658" xr:uid="{00000000-0005-0000-0000-000034A50000}"/>
    <cellStyle name="Normal 6 2 3 6 3" xfId="42091" xr:uid="{00000000-0005-0000-0000-000035A50000}"/>
    <cellStyle name="Normal 6 2 3 6 4" xfId="25991" xr:uid="{00000000-0005-0000-0000-000036A50000}"/>
    <cellStyle name="Normal 6 2 3 6 5" xfId="16422" xr:uid="{00000000-0005-0000-0000-000037A50000}"/>
    <cellStyle name="Normal 6 2 3 7" xfId="6853" xr:uid="{00000000-0005-0000-0000-000038A50000}"/>
    <cellStyle name="Normal 6 2 3 7 2" xfId="38594" xr:uid="{00000000-0005-0000-0000-000039A50000}"/>
    <cellStyle name="Normal 6 2 3 7 2 2" xfId="54694" xr:uid="{00000000-0005-0000-0000-00003AA50000}"/>
    <cellStyle name="Normal 6 2 3 7 3" xfId="45127" xr:uid="{00000000-0005-0000-0000-00003BA50000}"/>
    <cellStyle name="Normal 6 2 3 7 4" xfId="29027" xr:uid="{00000000-0005-0000-0000-00003CA50000}"/>
    <cellStyle name="Normal 6 2 3 7 5" xfId="19458" xr:uid="{00000000-0005-0000-0000-00003DA50000}"/>
    <cellStyle name="Normal 6 2 3 8" xfId="9889" xr:uid="{00000000-0005-0000-0000-00003EA50000}"/>
    <cellStyle name="Normal 6 2 3 8 2" xfId="48163" xr:uid="{00000000-0005-0000-0000-00003FA50000}"/>
    <cellStyle name="Normal 6 2 3 8 3" xfId="32063" xr:uid="{00000000-0005-0000-0000-000040A50000}"/>
    <cellStyle name="Normal 6 2 3 8 4" xfId="22494" xr:uid="{00000000-0005-0000-0000-000041A50000}"/>
    <cellStyle name="Normal 6 2 3 9" xfId="3338" xr:uid="{00000000-0005-0000-0000-000042A50000}"/>
    <cellStyle name="Normal 6 2 3 9 2" xfId="51179" xr:uid="{00000000-0005-0000-0000-000043A50000}"/>
    <cellStyle name="Normal 6 2 3 9 3" xfId="35079" xr:uid="{00000000-0005-0000-0000-000044A50000}"/>
    <cellStyle name="Normal 6 2 3 9 4" xfId="15943" xr:uid="{00000000-0005-0000-0000-000045A50000}"/>
    <cellStyle name="Normal 6 2 4" xfId="169" xr:uid="{00000000-0005-0000-0000-000046A50000}"/>
    <cellStyle name="Normal 6 2 4 10" xfId="26062" xr:uid="{00000000-0005-0000-0000-000047A50000}"/>
    <cellStyle name="Normal 6 2 4 11" xfId="12998" xr:uid="{00000000-0005-0000-0000-000048A50000}"/>
    <cellStyle name="Normal 6 2 4 2" xfId="346" xr:uid="{00000000-0005-0000-0000-000049A50000}"/>
    <cellStyle name="Normal 6 2 4 2 2" xfId="2365" xr:uid="{00000000-0005-0000-0000-00004AA50000}"/>
    <cellStyle name="Normal 6 2 4 2 2 2" xfId="8899" xr:uid="{00000000-0005-0000-0000-00004BA50000}"/>
    <cellStyle name="Normal 6 2 4 2 2 2 2" xfId="40640" xr:uid="{00000000-0005-0000-0000-00004CA50000}"/>
    <cellStyle name="Normal 6 2 4 2 2 2 2 2" xfId="56740" xr:uid="{00000000-0005-0000-0000-00004DA50000}"/>
    <cellStyle name="Normal 6 2 4 2 2 2 3" xfId="47173" xr:uid="{00000000-0005-0000-0000-00004EA50000}"/>
    <cellStyle name="Normal 6 2 4 2 2 2 4" xfId="31073" xr:uid="{00000000-0005-0000-0000-00004FA50000}"/>
    <cellStyle name="Normal 6 2 4 2 2 2 5" xfId="21504" xr:uid="{00000000-0005-0000-0000-000050A50000}"/>
    <cellStyle name="Normal 6 2 4 2 2 3" xfId="11935" xr:uid="{00000000-0005-0000-0000-000051A50000}"/>
    <cellStyle name="Normal 6 2 4 2 2 3 2" xfId="50209" xr:uid="{00000000-0005-0000-0000-000052A50000}"/>
    <cellStyle name="Normal 6 2 4 2 2 3 3" xfId="34109" xr:uid="{00000000-0005-0000-0000-000053A50000}"/>
    <cellStyle name="Normal 6 2 4 2 2 3 4" xfId="24540" xr:uid="{00000000-0005-0000-0000-000054A50000}"/>
    <cellStyle name="Normal 6 2 4 2 2 4" xfId="5863" xr:uid="{00000000-0005-0000-0000-000055A50000}"/>
    <cellStyle name="Normal 6 2 4 2 2 4 2" xfId="53704" xr:uid="{00000000-0005-0000-0000-000056A50000}"/>
    <cellStyle name="Normal 6 2 4 2 2 4 3" xfId="37604" xr:uid="{00000000-0005-0000-0000-000057A50000}"/>
    <cellStyle name="Normal 6 2 4 2 2 4 4" xfId="18468" xr:uid="{00000000-0005-0000-0000-000058A50000}"/>
    <cellStyle name="Normal 6 2 4 2 2 5" xfId="44137" xr:uid="{00000000-0005-0000-0000-000059A50000}"/>
    <cellStyle name="Normal 6 2 4 2 2 6" xfId="28037" xr:uid="{00000000-0005-0000-0000-00005AA50000}"/>
    <cellStyle name="Normal 6 2 4 2 2 7" xfId="14973" xr:uid="{00000000-0005-0000-0000-00005BA50000}"/>
    <cellStyle name="Normal 6 2 4 2 3" xfId="1577" xr:uid="{00000000-0005-0000-0000-00005CA50000}"/>
    <cellStyle name="Normal 6 2 4 2 3 2" xfId="8111" xr:uid="{00000000-0005-0000-0000-00005DA50000}"/>
    <cellStyle name="Normal 6 2 4 2 3 2 2" xfId="39852" xr:uid="{00000000-0005-0000-0000-00005EA50000}"/>
    <cellStyle name="Normal 6 2 4 2 3 2 2 2" xfId="55952" xr:uid="{00000000-0005-0000-0000-00005FA50000}"/>
    <cellStyle name="Normal 6 2 4 2 3 2 3" xfId="46385" xr:uid="{00000000-0005-0000-0000-000060A50000}"/>
    <cellStyle name="Normal 6 2 4 2 3 2 4" xfId="30285" xr:uid="{00000000-0005-0000-0000-000061A50000}"/>
    <cellStyle name="Normal 6 2 4 2 3 2 5" xfId="20716" xr:uid="{00000000-0005-0000-0000-000062A50000}"/>
    <cellStyle name="Normal 6 2 4 2 3 3" xfId="11147" xr:uid="{00000000-0005-0000-0000-000063A50000}"/>
    <cellStyle name="Normal 6 2 4 2 3 3 2" xfId="49421" xr:uid="{00000000-0005-0000-0000-000064A50000}"/>
    <cellStyle name="Normal 6 2 4 2 3 3 3" xfId="33321" xr:uid="{00000000-0005-0000-0000-000065A50000}"/>
    <cellStyle name="Normal 6 2 4 2 3 3 4" xfId="23752" xr:uid="{00000000-0005-0000-0000-000066A50000}"/>
    <cellStyle name="Normal 6 2 4 2 3 4" xfId="5075" xr:uid="{00000000-0005-0000-0000-000067A50000}"/>
    <cellStyle name="Normal 6 2 4 2 3 4 2" xfId="52916" xr:uid="{00000000-0005-0000-0000-000068A50000}"/>
    <cellStyle name="Normal 6 2 4 2 3 4 3" xfId="36816" xr:uid="{00000000-0005-0000-0000-000069A50000}"/>
    <cellStyle name="Normal 6 2 4 2 3 4 4" xfId="17680" xr:uid="{00000000-0005-0000-0000-00006AA50000}"/>
    <cellStyle name="Normal 6 2 4 2 3 5" xfId="43349" xr:uid="{00000000-0005-0000-0000-00006BA50000}"/>
    <cellStyle name="Normal 6 2 4 2 3 6" xfId="27249" xr:uid="{00000000-0005-0000-0000-00006CA50000}"/>
    <cellStyle name="Normal 6 2 4 2 3 7" xfId="14185" xr:uid="{00000000-0005-0000-0000-00006DA50000}"/>
    <cellStyle name="Normal 6 2 4 2 4" xfId="7101" xr:uid="{00000000-0005-0000-0000-00006EA50000}"/>
    <cellStyle name="Normal 6 2 4 2 4 2" xfId="38842" xr:uid="{00000000-0005-0000-0000-00006FA50000}"/>
    <cellStyle name="Normal 6 2 4 2 4 2 2" xfId="54942" xr:uid="{00000000-0005-0000-0000-000070A50000}"/>
    <cellStyle name="Normal 6 2 4 2 4 3" xfId="45375" xr:uid="{00000000-0005-0000-0000-000071A50000}"/>
    <cellStyle name="Normal 6 2 4 2 4 4" xfId="29275" xr:uid="{00000000-0005-0000-0000-000072A50000}"/>
    <cellStyle name="Normal 6 2 4 2 4 5" xfId="19706" xr:uid="{00000000-0005-0000-0000-000073A50000}"/>
    <cellStyle name="Normal 6 2 4 2 5" xfId="10137" xr:uid="{00000000-0005-0000-0000-000074A50000}"/>
    <cellStyle name="Normal 6 2 4 2 5 2" xfId="48411" xr:uid="{00000000-0005-0000-0000-000075A50000}"/>
    <cellStyle name="Normal 6 2 4 2 5 3" xfId="32311" xr:uid="{00000000-0005-0000-0000-000076A50000}"/>
    <cellStyle name="Normal 6 2 4 2 5 4" xfId="22742" xr:uid="{00000000-0005-0000-0000-000077A50000}"/>
    <cellStyle name="Normal 6 2 4 2 6" xfId="4065" xr:uid="{00000000-0005-0000-0000-000078A50000}"/>
    <cellStyle name="Normal 6 2 4 2 6 2" xfId="51906" xr:uid="{00000000-0005-0000-0000-000079A50000}"/>
    <cellStyle name="Normal 6 2 4 2 6 3" xfId="35806" xr:uid="{00000000-0005-0000-0000-00007AA50000}"/>
    <cellStyle name="Normal 6 2 4 2 6 4" xfId="16670" xr:uid="{00000000-0005-0000-0000-00007BA50000}"/>
    <cellStyle name="Normal 6 2 4 2 7" xfId="42339" xr:uid="{00000000-0005-0000-0000-00007CA50000}"/>
    <cellStyle name="Normal 6 2 4 2 8" xfId="26239" xr:uid="{00000000-0005-0000-0000-00007DA50000}"/>
    <cellStyle name="Normal 6 2 4 2 9" xfId="13175" xr:uid="{00000000-0005-0000-0000-00007EA50000}"/>
    <cellStyle name="Normal 6 2 4 3" xfId="986" xr:uid="{00000000-0005-0000-0000-00007FA50000}"/>
    <cellStyle name="Normal 6 2 4 3 2" xfId="3014" xr:uid="{00000000-0005-0000-0000-000080A50000}"/>
    <cellStyle name="Normal 6 2 4 3 2 2" xfId="9546" xr:uid="{00000000-0005-0000-0000-000081A50000}"/>
    <cellStyle name="Normal 6 2 4 3 2 2 2" xfId="41287" xr:uid="{00000000-0005-0000-0000-000082A50000}"/>
    <cellStyle name="Normal 6 2 4 3 2 2 2 2" xfId="57387" xr:uid="{00000000-0005-0000-0000-000083A50000}"/>
    <cellStyle name="Normal 6 2 4 3 2 2 3" xfId="47820" xr:uid="{00000000-0005-0000-0000-000084A50000}"/>
    <cellStyle name="Normal 6 2 4 3 2 2 4" xfId="31720" xr:uid="{00000000-0005-0000-0000-000085A50000}"/>
    <cellStyle name="Normal 6 2 4 3 2 2 5" xfId="22151" xr:uid="{00000000-0005-0000-0000-000086A50000}"/>
    <cellStyle name="Normal 6 2 4 3 2 3" xfId="12582" xr:uid="{00000000-0005-0000-0000-000087A50000}"/>
    <cellStyle name="Normal 6 2 4 3 2 3 2" xfId="50856" xr:uid="{00000000-0005-0000-0000-000088A50000}"/>
    <cellStyle name="Normal 6 2 4 3 2 3 3" xfId="34756" xr:uid="{00000000-0005-0000-0000-000089A50000}"/>
    <cellStyle name="Normal 6 2 4 3 2 3 4" xfId="25187" xr:uid="{00000000-0005-0000-0000-00008AA50000}"/>
    <cellStyle name="Normal 6 2 4 3 2 4" xfId="6510" xr:uid="{00000000-0005-0000-0000-00008BA50000}"/>
    <cellStyle name="Normal 6 2 4 3 2 4 2" xfId="54351" xr:uid="{00000000-0005-0000-0000-00008CA50000}"/>
    <cellStyle name="Normal 6 2 4 3 2 4 3" xfId="38251" xr:uid="{00000000-0005-0000-0000-00008DA50000}"/>
    <cellStyle name="Normal 6 2 4 3 2 4 4" xfId="19115" xr:uid="{00000000-0005-0000-0000-00008EA50000}"/>
    <cellStyle name="Normal 6 2 4 3 2 5" xfId="44784" xr:uid="{00000000-0005-0000-0000-00008FA50000}"/>
    <cellStyle name="Normal 6 2 4 3 2 6" xfId="28684" xr:uid="{00000000-0005-0000-0000-000090A50000}"/>
    <cellStyle name="Normal 6 2 4 3 2 7" xfId="15620" xr:uid="{00000000-0005-0000-0000-000091A50000}"/>
    <cellStyle name="Normal 6 2 4 3 3" xfId="1996" xr:uid="{00000000-0005-0000-0000-000092A50000}"/>
    <cellStyle name="Normal 6 2 4 3 3 2" xfId="8530" xr:uid="{00000000-0005-0000-0000-000093A50000}"/>
    <cellStyle name="Normal 6 2 4 3 3 2 2" xfId="40271" xr:uid="{00000000-0005-0000-0000-000094A50000}"/>
    <cellStyle name="Normal 6 2 4 3 3 2 2 2" xfId="56371" xr:uid="{00000000-0005-0000-0000-000095A50000}"/>
    <cellStyle name="Normal 6 2 4 3 3 2 3" xfId="46804" xr:uid="{00000000-0005-0000-0000-000096A50000}"/>
    <cellStyle name="Normal 6 2 4 3 3 2 4" xfId="30704" xr:uid="{00000000-0005-0000-0000-000097A50000}"/>
    <cellStyle name="Normal 6 2 4 3 3 2 5" xfId="21135" xr:uid="{00000000-0005-0000-0000-000098A50000}"/>
    <cellStyle name="Normal 6 2 4 3 3 3" xfId="11566" xr:uid="{00000000-0005-0000-0000-000099A50000}"/>
    <cellStyle name="Normal 6 2 4 3 3 3 2" xfId="49840" xr:uid="{00000000-0005-0000-0000-00009AA50000}"/>
    <cellStyle name="Normal 6 2 4 3 3 3 3" xfId="33740" xr:uid="{00000000-0005-0000-0000-00009BA50000}"/>
    <cellStyle name="Normal 6 2 4 3 3 3 4" xfId="24171" xr:uid="{00000000-0005-0000-0000-00009CA50000}"/>
    <cellStyle name="Normal 6 2 4 3 3 4" xfId="5494" xr:uid="{00000000-0005-0000-0000-00009DA50000}"/>
    <cellStyle name="Normal 6 2 4 3 3 4 2" xfId="53335" xr:uid="{00000000-0005-0000-0000-00009EA50000}"/>
    <cellStyle name="Normal 6 2 4 3 3 4 3" xfId="37235" xr:uid="{00000000-0005-0000-0000-00009FA50000}"/>
    <cellStyle name="Normal 6 2 4 3 3 4 4" xfId="18099" xr:uid="{00000000-0005-0000-0000-0000A0A50000}"/>
    <cellStyle name="Normal 6 2 4 3 3 5" xfId="43768" xr:uid="{00000000-0005-0000-0000-0000A1A50000}"/>
    <cellStyle name="Normal 6 2 4 3 3 6" xfId="27668" xr:uid="{00000000-0005-0000-0000-0000A2A50000}"/>
    <cellStyle name="Normal 6 2 4 3 3 7" xfId="14604" xr:uid="{00000000-0005-0000-0000-0000A3A50000}"/>
    <cellStyle name="Normal 6 2 4 3 4" xfId="7520" xr:uid="{00000000-0005-0000-0000-0000A4A50000}"/>
    <cellStyle name="Normal 6 2 4 3 4 2" xfId="39261" xr:uid="{00000000-0005-0000-0000-0000A5A50000}"/>
    <cellStyle name="Normal 6 2 4 3 4 2 2" xfId="55361" xr:uid="{00000000-0005-0000-0000-0000A6A50000}"/>
    <cellStyle name="Normal 6 2 4 3 4 3" xfId="45794" xr:uid="{00000000-0005-0000-0000-0000A7A50000}"/>
    <cellStyle name="Normal 6 2 4 3 4 4" xfId="29694" xr:uid="{00000000-0005-0000-0000-0000A8A50000}"/>
    <cellStyle name="Normal 6 2 4 3 4 5" xfId="20125" xr:uid="{00000000-0005-0000-0000-0000A9A50000}"/>
    <cellStyle name="Normal 6 2 4 3 5" xfId="10556" xr:uid="{00000000-0005-0000-0000-0000AAA50000}"/>
    <cellStyle name="Normal 6 2 4 3 5 2" xfId="48830" xr:uid="{00000000-0005-0000-0000-0000ABA50000}"/>
    <cellStyle name="Normal 6 2 4 3 5 3" xfId="32730" xr:uid="{00000000-0005-0000-0000-0000ACA50000}"/>
    <cellStyle name="Normal 6 2 4 3 5 4" xfId="23161" xr:uid="{00000000-0005-0000-0000-0000ADA50000}"/>
    <cellStyle name="Normal 6 2 4 3 6" xfId="4484" xr:uid="{00000000-0005-0000-0000-0000AEA50000}"/>
    <cellStyle name="Normal 6 2 4 3 6 2" xfId="52325" xr:uid="{00000000-0005-0000-0000-0000AFA50000}"/>
    <cellStyle name="Normal 6 2 4 3 6 3" xfId="36225" xr:uid="{00000000-0005-0000-0000-0000B0A50000}"/>
    <cellStyle name="Normal 6 2 4 3 6 4" xfId="17089" xr:uid="{00000000-0005-0000-0000-0000B1A50000}"/>
    <cellStyle name="Normal 6 2 4 3 7" xfId="42758" xr:uid="{00000000-0005-0000-0000-0000B2A50000}"/>
    <cellStyle name="Normal 6 2 4 3 8" xfId="26658" xr:uid="{00000000-0005-0000-0000-0000B3A50000}"/>
    <cellStyle name="Normal 6 2 4 3 9" xfId="13594" xr:uid="{00000000-0005-0000-0000-0000B4A50000}"/>
    <cellStyle name="Normal 6 2 4 4" xfId="2188" xr:uid="{00000000-0005-0000-0000-0000B5A50000}"/>
    <cellStyle name="Normal 6 2 4 4 2" xfId="8722" xr:uid="{00000000-0005-0000-0000-0000B6A50000}"/>
    <cellStyle name="Normal 6 2 4 4 2 2" xfId="40463" xr:uid="{00000000-0005-0000-0000-0000B7A50000}"/>
    <cellStyle name="Normal 6 2 4 4 2 2 2" xfId="56563" xr:uid="{00000000-0005-0000-0000-0000B8A50000}"/>
    <cellStyle name="Normal 6 2 4 4 2 3" xfId="46996" xr:uid="{00000000-0005-0000-0000-0000B9A50000}"/>
    <cellStyle name="Normal 6 2 4 4 2 4" xfId="30896" xr:uid="{00000000-0005-0000-0000-0000BAA50000}"/>
    <cellStyle name="Normal 6 2 4 4 2 5" xfId="21327" xr:uid="{00000000-0005-0000-0000-0000BBA50000}"/>
    <cellStyle name="Normal 6 2 4 4 3" xfId="11758" xr:uid="{00000000-0005-0000-0000-0000BCA50000}"/>
    <cellStyle name="Normal 6 2 4 4 3 2" xfId="50032" xr:uid="{00000000-0005-0000-0000-0000BDA50000}"/>
    <cellStyle name="Normal 6 2 4 4 3 3" xfId="33932" xr:uid="{00000000-0005-0000-0000-0000BEA50000}"/>
    <cellStyle name="Normal 6 2 4 4 3 4" xfId="24363" xr:uid="{00000000-0005-0000-0000-0000BFA50000}"/>
    <cellStyle name="Normal 6 2 4 4 4" xfId="5686" xr:uid="{00000000-0005-0000-0000-0000C0A50000}"/>
    <cellStyle name="Normal 6 2 4 4 4 2" xfId="53527" xr:uid="{00000000-0005-0000-0000-0000C1A50000}"/>
    <cellStyle name="Normal 6 2 4 4 4 3" xfId="37427" xr:uid="{00000000-0005-0000-0000-0000C2A50000}"/>
    <cellStyle name="Normal 6 2 4 4 4 4" xfId="18291" xr:uid="{00000000-0005-0000-0000-0000C3A50000}"/>
    <cellStyle name="Normal 6 2 4 4 5" xfId="43960" xr:uid="{00000000-0005-0000-0000-0000C4A50000}"/>
    <cellStyle name="Normal 6 2 4 4 6" xfId="27860" xr:uid="{00000000-0005-0000-0000-0000C5A50000}"/>
    <cellStyle name="Normal 6 2 4 4 7" xfId="14796" xr:uid="{00000000-0005-0000-0000-0000C6A50000}"/>
    <cellStyle name="Normal 6 2 4 5" xfId="1400" xr:uid="{00000000-0005-0000-0000-0000C7A50000}"/>
    <cellStyle name="Normal 6 2 4 5 2" xfId="7934" xr:uid="{00000000-0005-0000-0000-0000C8A50000}"/>
    <cellStyle name="Normal 6 2 4 5 2 2" xfId="39675" xr:uid="{00000000-0005-0000-0000-0000C9A50000}"/>
    <cellStyle name="Normal 6 2 4 5 2 2 2" xfId="55775" xr:uid="{00000000-0005-0000-0000-0000CAA50000}"/>
    <cellStyle name="Normal 6 2 4 5 2 3" xfId="46208" xr:uid="{00000000-0005-0000-0000-0000CBA50000}"/>
    <cellStyle name="Normal 6 2 4 5 2 4" xfId="30108" xr:uid="{00000000-0005-0000-0000-0000CCA50000}"/>
    <cellStyle name="Normal 6 2 4 5 2 5" xfId="20539" xr:uid="{00000000-0005-0000-0000-0000CDA50000}"/>
    <cellStyle name="Normal 6 2 4 5 3" xfId="10970" xr:uid="{00000000-0005-0000-0000-0000CEA50000}"/>
    <cellStyle name="Normal 6 2 4 5 3 2" xfId="49244" xr:uid="{00000000-0005-0000-0000-0000CFA50000}"/>
    <cellStyle name="Normal 6 2 4 5 3 3" xfId="33144" xr:uid="{00000000-0005-0000-0000-0000D0A50000}"/>
    <cellStyle name="Normal 6 2 4 5 3 4" xfId="23575" xr:uid="{00000000-0005-0000-0000-0000D1A50000}"/>
    <cellStyle name="Normal 6 2 4 5 4" xfId="4898" xr:uid="{00000000-0005-0000-0000-0000D2A50000}"/>
    <cellStyle name="Normal 6 2 4 5 4 2" xfId="52739" xr:uid="{00000000-0005-0000-0000-0000D3A50000}"/>
    <cellStyle name="Normal 6 2 4 5 4 3" xfId="36639" xr:uid="{00000000-0005-0000-0000-0000D4A50000}"/>
    <cellStyle name="Normal 6 2 4 5 4 4" xfId="17503" xr:uid="{00000000-0005-0000-0000-0000D5A50000}"/>
    <cellStyle name="Normal 6 2 4 5 5" xfId="43172" xr:uid="{00000000-0005-0000-0000-0000D6A50000}"/>
    <cellStyle name="Normal 6 2 4 5 6" xfId="27072" xr:uid="{00000000-0005-0000-0000-0000D7A50000}"/>
    <cellStyle name="Normal 6 2 4 5 7" xfId="14008" xr:uid="{00000000-0005-0000-0000-0000D8A50000}"/>
    <cellStyle name="Normal 6 2 4 6" xfId="6924" xr:uid="{00000000-0005-0000-0000-0000D9A50000}"/>
    <cellStyle name="Normal 6 2 4 6 2" xfId="38665" xr:uid="{00000000-0005-0000-0000-0000DAA50000}"/>
    <cellStyle name="Normal 6 2 4 6 2 2" xfId="54765" xr:uid="{00000000-0005-0000-0000-0000DBA50000}"/>
    <cellStyle name="Normal 6 2 4 6 3" xfId="45198" xr:uid="{00000000-0005-0000-0000-0000DCA50000}"/>
    <cellStyle name="Normal 6 2 4 6 4" xfId="29098" xr:uid="{00000000-0005-0000-0000-0000DDA50000}"/>
    <cellStyle name="Normal 6 2 4 6 5" xfId="19529" xr:uid="{00000000-0005-0000-0000-0000DEA50000}"/>
    <cellStyle name="Normal 6 2 4 7" xfId="9960" xr:uid="{00000000-0005-0000-0000-0000DFA50000}"/>
    <cellStyle name="Normal 6 2 4 7 2" xfId="48234" xr:uid="{00000000-0005-0000-0000-0000E0A50000}"/>
    <cellStyle name="Normal 6 2 4 7 3" xfId="32134" xr:uid="{00000000-0005-0000-0000-0000E1A50000}"/>
    <cellStyle name="Normal 6 2 4 7 4" xfId="22565" xr:uid="{00000000-0005-0000-0000-0000E2A50000}"/>
    <cellStyle name="Normal 6 2 4 8" xfId="3888" xr:uid="{00000000-0005-0000-0000-0000E3A50000}"/>
    <cellStyle name="Normal 6 2 4 8 2" xfId="51729" xr:uid="{00000000-0005-0000-0000-0000E4A50000}"/>
    <cellStyle name="Normal 6 2 4 8 3" xfId="35629" xr:uid="{00000000-0005-0000-0000-0000E5A50000}"/>
    <cellStyle name="Normal 6 2 4 8 4" xfId="16493" xr:uid="{00000000-0005-0000-0000-0000E6A50000}"/>
    <cellStyle name="Normal 6 2 4 9" xfId="42162" xr:uid="{00000000-0005-0000-0000-0000E7A50000}"/>
    <cellStyle name="Normal 6 2 5" xfId="240" xr:uid="{00000000-0005-0000-0000-0000E8A50000}"/>
    <cellStyle name="Normal 6 2 5 2" xfId="2259" xr:uid="{00000000-0005-0000-0000-0000E9A50000}"/>
    <cellStyle name="Normal 6 2 5 2 2" xfId="8793" xr:uid="{00000000-0005-0000-0000-0000EAA50000}"/>
    <cellStyle name="Normal 6 2 5 2 2 2" xfId="40534" xr:uid="{00000000-0005-0000-0000-0000EBA50000}"/>
    <cellStyle name="Normal 6 2 5 2 2 2 2" xfId="56634" xr:uid="{00000000-0005-0000-0000-0000ECA50000}"/>
    <cellStyle name="Normal 6 2 5 2 2 3" xfId="47067" xr:uid="{00000000-0005-0000-0000-0000EDA50000}"/>
    <cellStyle name="Normal 6 2 5 2 2 4" xfId="30967" xr:uid="{00000000-0005-0000-0000-0000EEA50000}"/>
    <cellStyle name="Normal 6 2 5 2 2 5" xfId="21398" xr:uid="{00000000-0005-0000-0000-0000EFA50000}"/>
    <cellStyle name="Normal 6 2 5 2 3" xfId="11829" xr:uid="{00000000-0005-0000-0000-0000F0A50000}"/>
    <cellStyle name="Normal 6 2 5 2 3 2" xfId="50103" xr:uid="{00000000-0005-0000-0000-0000F1A50000}"/>
    <cellStyle name="Normal 6 2 5 2 3 3" xfId="34003" xr:uid="{00000000-0005-0000-0000-0000F2A50000}"/>
    <cellStyle name="Normal 6 2 5 2 3 4" xfId="24434" xr:uid="{00000000-0005-0000-0000-0000F3A50000}"/>
    <cellStyle name="Normal 6 2 5 2 4" xfId="5757" xr:uid="{00000000-0005-0000-0000-0000F4A50000}"/>
    <cellStyle name="Normal 6 2 5 2 4 2" xfId="53598" xr:uid="{00000000-0005-0000-0000-0000F5A50000}"/>
    <cellStyle name="Normal 6 2 5 2 4 3" xfId="37498" xr:uid="{00000000-0005-0000-0000-0000F6A50000}"/>
    <cellStyle name="Normal 6 2 5 2 4 4" xfId="18362" xr:uid="{00000000-0005-0000-0000-0000F7A50000}"/>
    <cellStyle name="Normal 6 2 5 2 5" xfId="44031" xr:uid="{00000000-0005-0000-0000-0000F8A50000}"/>
    <cellStyle name="Normal 6 2 5 2 6" xfId="27931" xr:uid="{00000000-0005-0000-0000-0000F9A50000}"/>
    <cellStyle name="Normal 6 2 5 2 7" xfId="14867" xr:uid="{00000000-0005-0000-0000-0000FAA50000}"/>
    <cellStyle name="Normal 6 2 5 3" xfId="1471" xr:uid="{00000000-0005-0000-0000-0000FBA50000}"/>
    <cellStyle name="Normal 6 2 5 3 2" xfId="8005" xr:uid="{00000000-0005-0000-0000-0000FCA50000}"/>
    <cellStyle name="Normal 6 2 5 3 2 2" xfId="39746" xr:uid="{00000000-0005-0000-0000-0000FDA50000}"/>
    <cellStyle name="Normal 6 2 5 3 2 2 2" xfId="55846" xr:uid="{00000000-0005-0000-0000-0000FEA50000}"/>
    <cellStyle name="Normal 6 2 5 3 2 3" xfId="46279" xr:uid="{00000000-0005-0000-0000-0000FFA50000}"/>
    <cellStyle name="Normal 6 2 5 3 2 4" xfId="30179" xr:uid="{00000000-0005-0000-0000-000000A60000}"/>
    <cellStyle name="Normal 6 2 5 3 2 5" xfId="20610" xr:uid="{00000000-0005-0000-0000-000001A60000}"/>
    <cellStyle name="Normal 6 2 5 3 3" xfId="11041" xr:uid="{00000000-0005-0000-0000-000002A60000}"/>
    <cellStyle name="Normal 6 2 5 3 3 2" xfId="49315" xr:uid="{00000000-0005-0000-0000-000003A60000}"/>
    <cellStyle name="Normal 6 2 5 3 3 3" xfId="33215" xr:uid="{00000000-0005-0000-0000-000004A60000}"/>
    <cellStyle name="Normal 6 2 5 3 3 4" xfId="23646" xr:uid="{00000000-0005-0000-0000-000005A60000}"/>
    <cellStyle name="Normal 6 2 5 3 4" xfId="4969" xr:uid="{00000000-0005-0000-0000-000006A60000}"/>
    <cellStyle name="Normal 6 2 5 3 4 2" xfId="52810" xr:uid="{00000000-0005-0000-0000-000007A60000}"/>
    <cellStyle name="Normal 6 2 5 3 4 3" xfId="36710" xr:uid="{00000000-0005-0000-0000-000008A60000}"/>
    <cellStyle name="Normal 6 2 5 3 4 4" xfId="17574" xr:uid="{00000000-0005-0000-0000-000009A60000}"/>
    <cellStyle name="Normal 6 2 5 3 5" xfId="43243" xr:uid="{00000000-0005-0000-0000-00000AA60000}"/>
    <cellStyle name="Normal 6 2 5 3 6" xfId="27143" xr:uid="{00000000-0005-0000-0000-00000BA60000}"/>
    <cellStyle name="Normal 6 2 5 3 7" xfId="14079" xr:uid="{00000000-0005-0000-0000-00000CA60000}"/>
    <cellStyle name="Normal 6 2 5 4" xfId="6995" xr:uid="{00000000-0005-0000-0000-00000DA60000}"/>
    <cellStyle name="Normal 6 2 5 4 2" xfId="38736" xr:uid="{00000000-0005-0000-0000-00000EA60000}"/>
    <cellStyle name="Normal 6 2 5 4 2 2" xfId="54836" xr:uid="{00000000-0005-0000-0000-00000FA60000}"/>
    <cellStyle name="Normal 6 2 5 4 3" xfId="45269" xr:uid="{00000000-0005-0000-0000-000010A60000}"/>
    <cellStyle name="Normal 6 2 5 4 4" xfId="29169" xr:uid="{00000000-0005-0000-0000-000011A60000}"/>
    <cellStyle name="Normal 6 2 5 4 5" xfId="19600" xr:uid="{00000000-0005-0000-0000-000012A60000}"/>
    <cellStyle name="Normal 6 2 5 5" xfId="10031" xr:uid="{00000000-0005-0000-0000-000013A60000}"/>
    <cellStyle name="Normal 6 2 5 5 2" xfId="48305" xr:uid="{00000000-0005-0000-0000-000014A60000}"/>
    <cellStyle name="Normal 6 2 5 5 3" xfId="32205" xr:uid="{00000000-0005-0000-0000-000015A60000}"/>
    <cellStyle name="Normal 6 2 5 5 4" xfId="22636" xr:uid="{00000000-0005-0000-0000-000016A60000}"/>
    <cellStyle name="Normal 6 2 5 6" xfId="3959" xr:uid="{00000000-0005-0000-0000-000017A60000}"/>
    <cellStyle name="Normal 6 2 5 6 2" xfId="51800" xr:uid="{00000000-0005-0000-0000-000018A60000}"/>
    <cellStyle name="Normal 6 2 5 6 3" xfId="35700" xr:uid="{00000000-0005-0000-0000-000019A60000}"/>
    <cellStyle name="Normal 6 2 5 6 4" xfId="16564" xr:uid="{00000000-0005-0000-0000-00001AA60000}"/>
    <cellStyle name="Normal 6 2 5 7" xfId="42233" xr:uid="{00000000-0005-0000-0000-00001BA60000}"/>
    <cellStyle name="Normal 6 2 5 8" xfId="26133" xr:uid="{00000000-0005-0000-0000-00001CA60000}"/>
    <cellStyle name="Normal 6 2 5 9" xfId="13069" xr:uid="{00000000-0005-0000-0000-00001DA60000}"/>
    <cellStyle name="Normal 6 2 6" xfId="515" xr:uid="{00000000-0005-0000-0000-00001EA60000}"/>
    <cellStyle name="Normal 6 2 6 2" xfId="2545" xr:uid="{00000000-0005-0000-0000-00001FA60000}"/>
    <cellStyle name="Normal 6 2 6 2 2" xfId="9077" xr:uid="{00000000-0005-0000-0000-000020A60000}"/>
    <cellStyle name="Normal 6 2 6 2 2 2" xfId="40818" xr:uid="{00000000-0005-0000-0000-000021A60000}"/>
    <cellStyle name="Normal 6 2 6 2 2 2 2" xfId="56918" xr:uid="{00000000-0005-0000-0000-000022A60000}"/>
    <cellStyle name="Normal 6 2 6 2 2 3" xfId="47351" xr:uid="{00000000-0005-0000-0000-000023A60000}"/>
    <cellStyle name="Normal 6 2 6 2 2 4" xfId="31251" xr:uid="{00000000-0005-0000-0000-000024A60000}"/>
    <cellStyle name="Normal 6 2 6 2 2 5" xfId="21682" xr:uid="{00000000-0005-0000-0000-000025A60000}"/>
    <cellStyle name="Normal 6 2 6 2 3" xfId="12113" xr:uid="{00000000-0005-0000-0000-000026A60000}"/>
    <cellStyle name="Normal 6 2 6 2 3 2" xfId="50387" xr:uid="{00000000-0005-0000-0000-000027A60000}"/>
    <cellStyle name="Normal 6 2 6 2 3 3" xfId="34287" xr:uid="{00000000-0005-0000-0000-000028A60000}"/>
    <cellStyle name="Normal 6 2 6 2 3 4" xfId="24718" xr:uid="{00000000-0005-0000-0000-000029A60000}"/>
    <cellStyle name="Normal 6 2 6 2 4" xfId="6041" xr:uid="{00000000-0005-0000-0000-00002AA60000}"/>
    <cellStyle name="Normal 6 2 6 2 4 2" xfId="53882" xr:uid="{00000000-0005-0000-0000-00002BA60000}"/>
    <cellStyle name="Normal 6 2 6 2 4 3" xfId="37782" xr:uid="{00000000-0005-0000-0000-00002CA60000}"/>
    <cellStyle name="Normal 6 2 6 2 4 4" xfId="18646" xr:uid="{00000000-0005-0000-0000-00002DA60000}"/>
    <cellStyle name="Normal 6 2 6 2 5" xfId="44315" xr:uid="{00000000-0005-0000-0000-00002EA60000}"/>
    <cellStyle name="Normal 6 2 6 2 6" xfId="28215" xr:uid="{00000000-0005-0000-0000-00002FA60000}"/>
    <cellStyle name="Normal 6 2 6 2 7" xfId="15151" xr:uid="{00000000-0005-0000-0000-000030A60000}"/>
    <cellStyle name="Normal 6 2 6 3" xfId="1294" xr:uid="{00000000-0005-0000-0000-000031A60000}"/>
    <cellStyle name="Normal 6 2 6 3 2" xfId="7828" xr:uid="{00000000-0005-0000-0000-000032A60000}"/>
    <cellStyle name="Normal 6 2 6 3 2 2" xfId="39569" xr:uid="{00000000-0005-0000-0000-000033A60000}"/>
    <cellStyle name="Normal 6 2 6 3 2 2 2" xfId="55669" xr:uid="{00000000-0005-0000-0000-000034A60000}"/>
    <cellStyle name="Normal 6 2 6 3 2 3" xfId="46102" xr:uid="{00000000-0005-0000-0000-000035A60000}"/>
    <cellStyle name="Normal 6 2 6 3 2 4" xfId="30002" xr:uid="{00000000-0005-0000-0000-000036A60000}"/>
    <cellStyle name="Normal 6 2 6 3 2 5" xfId="20433" xr:uid="{00000000-0005-0000-0000-000037A60000}"/>
    <cellStyle name="Normal 6 2 6 3 3" xfId="10864" xr:uid="{00000000-0005-0000-0000-000038A60000}"/>
    <cellStyle name="Normal 6 2 6 3 3 2" xfId="49138" xr:uid="{00000000-0005-0000-0000-000039A60000}"/>
    <cellStyle name="Normal 6 2 6 3 3 3" xfId="33038" xr:uid="{00000000-0005-0000-0000-00003AA60000}"/>
    <cellStyle name="Normal 6 2 6 3 3 4" xfId="23469" xr:uid="{00000000-0005-0000-0000-00003BA60000}"/>
    <cellStyle name="Normal 6 2 6 3 4" xfId="4792" xr:uid="{00000000-0005-0000-0000-00003CA60000}"/>
    <cellStyle name="Normal 6 2 6 3 4 2" xfId="52633" xr:uid="{00000000-0005-0000-0000-00003DA60000}"/>
    <cellStyle name="Normal 6 2 6 3 4 3" xfId="36533" xr:uid="{00000000-0005-0000-0000-00003EA60000}"/>
    <cellStyle name="Normal 6 2 6 3 4 4" xfId="17397" xr:uid="{00000000-0005-0000-0000-00003FA60000}"/>
    <cellStyle name="Normal 6 2 6 3 5" xfId="43066" xr:uid="{00000000-0005-0000-0000-000040A60000}"/>
    <cellStyle name="Normal 6 2 6 3 6" xfId="26966" xr:uid="{00000000-0005-0000-0000-000041A60000}"/>
    <cellStyle name="Normal 6 2 6 3 7" xfId="13902" xr:uid="{00000000-0005-0000-0000-000042A60000}"/>
    <cellStyle name="Normal 6 2 6 4" xfId="6818" xr:uid="{00000000-0005-0000-0000-000043A60000}"/>
    <cellStyle name="Normal 6 2 6 4 2" xfId="38559" xr:uid="{00000000-0005-0000-0000-000044A60000}"/>
    <cellStyle name="Normal 6 2 6 4 2 2" xfId="54659" xr:uid="{00000000-0005-0000-0000-000045A60000}"/>
    <cellStyle name="Normal 6 2 6 4 3" xfId="45092" xr:uid="{00000000-0005-0000-0000-000046A60000}"/>
    <cellStyle name="Normal 6 2 6 4 4" xfId="28992" xr:uid="{00000000-0005-0000-0000-000047A60000}"/>
    <cellStyle name="Normal 6 2 6 4 5" xfId="19423" xr:uid="{00000000-0005-0000-0000-000048A60000}"/>
    <cellStyle name="Normal 6 2 6 5" xfId="9854" xr:uid="{00000000-0005-0000-0000-000049A60000}"/>
    <cellStyle name="Normal 6 2 6 5 2" xfId="48128" xr:uid="{00000000-0005-0000-0000-00004AA60000}"/>
    <cellStyle name="Normal 6 2 6 5 3" xfId="32028" xr:uid="{00000000-0005-0000-0000-00004BA60000}"/>
    <cellStyle name="Normal 6 2 6 5 4" xfId="22459" xr:uid="{00000000-0005-0000-0000-00004CA60000}"/>
    <cellStyle name="Normal 6 2 6 6" xfId="3782" xr:uid="{00000000-0005-0000-0000-00004DA60000}"/>
    <cellStyle name="Normal 6 2 6 6 2" xfId="51623" xr:uid="{00000000-0005-0000-0000-00004EA60000}"/>
    <cellStyle name="Normal 6 2 6 6 3" xfId="35523" xr:uid="{00000000-0005-0000-0000-00004FA60000}"/>
    <cellStyle name="Normal 6 2 6 6 4" xfId="16387" xr:uid="{00000000-0005-0000-0000-000050A60000}"/>
    <cellStyle name="Normal 6 2 6 7" xfId="42056" xr:uid="{00000000-0005-0000-0000-000051A60000}"/>
    <cellStyle name="Normal 6 2 6 8" xfId="25956" xr:uid="{00000000-0005-0000-0000-000052A60000}"/>
    <cellStyle name="Normal 6 2 6 9" xfId="12892" xr:uid="{00000000-0005-0000-0000-000053A60000}"/>
    <cellStyle name="Normal 6 2 7" xfId="745" xr:uid="{00000000-0005-0000-0000-000054A60000}"/>
    <cellStyle name="Normal 6 2 7 2" xfId="2773" xr:uid="{00000000-0005-0000-0000-000055A60000}"/>
    <cellStyle name="Normal 6 2 7 2 2" xfId="9305" xr:uid="{00000000-0005-0000-0000-000056A60000}"/>
    <cellStyle name="Normal 6 2 7 2 2 2" xfId="41046" xr:uid="{00000000-0005-0000-0000-000057A60000}"/>
    <cellStyle name="Normal 6 2 7 2 2 2 2" xfId="57146" xr:uid="{00000000-0005-0000-0000-000058A60000}"/>
    <cellStyle name="Normal 6 2 7 2 2 3" xfId="47579" xr:uid="{00000000-0005-0000-0000-000059A60000}"/>
    <cellStyle name="Normal 6 2 7 2 2 4" xfId="31479" xr:uid="{00000000-0005-0000-0000-00005AA60000}"/>
    <cellStyle name="Normal 6 2 7 2 2 5" xfId="21910" xr:uid="{00000000-0005-0000-0000-00005BA60000}"/>
    <cellStyle name="Normal 6 2 7 2 3" xfId="12341" xr:uid="{00000000-0005-0000-0000-00005CA60000}"/>
    <cellStyle name="Normal 6 2 7 2 3 2" xfId="50615" xr:uid="{00000000-0005-0000-0000-00005DA60000}"/>
    <cellStyle name="Normal 6 2 7 2 3 3" xfId="34515" xr:uid="{00000000-0005-0000-0000-00005EA60000}"/>
    <cellStyle name="Normal 6 2 7 2 3 4" xfId="24946" xr:uid="{00000000-0005-0000-0000-00005FA60000}"/>
    <cellStyle name="Normal 6 2 7 2 4" xfId="6269" xr:uid="{00000000-0005-0000-0000-000060A60000}"/>
    <cellStyle name="Normal 6 2 7 2 4 2" xfId="54110" xr:uid="{00000000-0005-0000-0000-000061A60000}"/>
    <cellStyle name="Normal 6 2 7 2 4 3" xfId="38010" xr:uid="{00000000-0005-0000-0000-000062A60000}"/>
    <cellStyle name="Normal 6 2 7 2 4 4" xfId="18874" xr:uid="{00000000-0005-0000-0000-000063A60000}"/>
    <cellStyle name="Normal 6 2 7 2 5" xfId="44543" xr:uid="{00000000-0005-0000-0000-000064A60000}"/>
    <cellStyle name="Normal 6 2 7 2 6" xfId="28443" xr:uid="{00000000-0005-0000-0000-000065A60000}"/>
    <cellStyle name="Normal 6 2 7 2 7" xfId="15379" xr:uid="{00000000-0005-0000-0000-000066A60000}"/>
    <cellStyle name="Normal 6 2 7 3" xfId="1755" xr:uid="{00000000-0005-0000-0000-000067A60000}"/>
    <cellStyle name="Normal 6 2 7 3 2" xfId="8289" xr:uid="{00000000-0005-0000-0000-000068A60000}"/>
    <cellStyle name="Normal 6 2 7 3 2 2" xfId="40030" xr:uid="{00000000-0005-0000-0000-000069A60000}"/>
    <cellStyle name="Normal 6 2 7 3 2 2 2" xfId="56130" xr:uid="{00000000-0005-0000-0000-00006AA60000}"/>
    <cellStyle name="Normal 6 2 7 3 2 3" xfId="46563" xr:uid="{00000000-0005-0000-0000-00006BA60000}"/>
    <cellStyle name="Normal 6 2 7 3 2 4" xfId="30463" xr:uid="{00000000-0005-0000-0000-00006CA60000}"/>
    <cellStyle name="Normal 6 2 7 3 2 5" xfId="20894" xr:uid="{00000000-0005-0000-0000-00006DA60000}"/>
    <cellStyle name="Normal 6 2 7 3 3" xfId="11325" xr:uid="{00000000-0005-0000-0000-00006EA60000}"/>
    <cellStyle name="Normal 6 2 7 3 3 2" xfId="49599" xr:uid="{00000000-0005-0000-0000-00006FA60000}"/>
    <cellStyle name="Normal 6 2 7 3 3 3" xfId="33499" xr:uid="{00000000-0005-0000-0000-000070A60000}"/>
    <cellStyle name="Normal 6 2 7 3 3 4" xfId="23930" xr:uid="{00000000-0005-0000-0000-000071A60000}"/>
    <cellStyle name="Normal 6 2 7 3 4" xfId="5253" xr:uid="{00000000-0005-0000-0000-000072A60000}"/>
    <cellStyle name="Normal 6 2 7 3 4 2" xfId="53094" xr:uid="{00000000-0005-0000-0000-000073A60000}"/>
    <cellStyle name="Normal 6 2 7 3 4 3" xfId="36994" xr:uid="{00000000-0005-0000-0000-000074A60000}"/>
    <cellStyle name="Normal 6 2 7 3 4 4" xfId="17858" xr:uid="{00000000-0005-0000-0000-000075A60000}"/>
    <cellStyle name="Normal 6 2 7 3 5" xfId="43527" xr:uid="{00000000-0005-0000-0000-000076A60000}"/>
    <cellStyle name="Normal 6 2 7 3 6" xfId="27427" xr:uid="{00000000-0005-0000-0000-000077A60000}"/>
    <cellStyle name="Normal 6 2 7 3 7" xfId="14363" xr:uid="{00000000-0005-0000-0000-000078A60000}"/>
    <cellStyle name="Normal 6 2 7 4" xfId="7279" xr:uid="{00000000-0005-0000-0000-000079A60000}"/>
    <cellStyle name="Normal 6 2 7 4 2" xfId="39020" xr:uid="{00000000-0005-0000-0000-00007AA60000}"/>
    <cellStyle name="Normal 6 2 7 4 2 2" xfId="55120" xr:uid="{00000000-0005-0000-0000-00007BA60000}"/>
    <cellStyle name="Normal 6 2 7 4 3" xfId="45553" xr:uid="{00000000-0005-0000-0000-00007CA60000}"/>
    <cellStyle name="Normal 6 2 7 4 4" xfId="29453" xr:uid="{00000000-0005-0000-0000-00007DA60000}"/>
    <cellStyle name="Normal 6 2 7 4 5" xfId="19884" xr:uid="{00000000-0005-0000-0000-00007EA60000}"/>
    <cellStyle name="Normal 6 2 7 5" xfId="10315" xr:uid="{00000000-0005-0000-0000-00007FA60000}"/>
    <cellStyle name="Normal 6 2 7 5 2" xfId="48589" xr:uid="{00000000-0005-0000-0000-000080A60000}"/>
    <cellStyle name="Normal 6 2 7 5 3" xfId="32489" xr:uid="{00000000-0005-0000-0000-000081A60000}"/>
    <cellStyle name="Normal 6 2 7 5 4" xfId="22920" xr:uid="{00000000-0005-0000-0000-000082A60000}"/>
    <cellStyle name="Normal 6 2 7 6" xfId="4243" xr:uid="{00000000-0005-0000-0000-000083A60000}"/>
    <cellStyle name="Normal 6 2 7 6 2" xfId="52084" xr:uid="{00000000-0005-0000-0000-000084A60000}"/>
    <cellStyle name="Normal 6 2 7 6 3" xfId="35984" xr:uid="{00000000-0005-0000-0000-000085A60000}"/>
    <cellStyle name="Normal 6 2 7 6 4" xfId="16848" xr:uid="{00000000-0005-0000-0000-000086A60000}"/>
    <cellStyle name="Normal 6 2 7 7" xfId="42517" xr:uid="{00000000-0005-0000-0000-000087A60000}"/>
    <cellStyle name="Normal 6 2 7 8" xfId="26417" xr:uid="{00000000-0005-0000-0000-000088A60000}"/>
    <cellStyle name="Normal 6 2 7 9" xfId="13353" xr:uid="{00000000-0005-0000-0000-000089A60000}"/>
    <cellStyle name="Normal 6 2 8" xfId="2082" xr:uid="{00000000-0005-0000-0000-00008AA60000}"/>
    <cellStyle name="Normal 6 2 8 2" xfId="8616" xr:uid="{00000000-0005-0000-0000-00008BA60000}"/>
    <cellStyle name="Normal 6 2 8 2 2" xfId="40357" xr:uid="{00000000-0005-0000-0000-00008CA60000}"/>
    <cellStyle name="Normal 6 2 8 2 2 2" xfId="56457" xr:uid="{00000000-0005-0000-0000-00008DA60000}"/>
    <cellStyle name="Normal 6 2 8 2 3" xfId="46890" xr:uid="{00000000-0005-0000-0000-00008EA60000}"/>
    <cellStyle name="Normal 6 2 8 2 4" xfId="30790" xr:uid="{00000000-0005-0000-0000-00008FA60000}"/>
    <cellStyle name="Normal 6 2 8 2 5" xfId="21221" xr:uid="{00000000-0005-0000-0000-000090A60000}"/>
    <cellStyle name="Normal 6 2 8 3" xfId="11652" xr:uid="{00000000-0005-0000-0000-000091A60000}"/>
    <cellStyle name="Normal 6 2 8 3 2" xfId="49926" xr:uid="{00000000-0005-0000-0000-000092A60000}"/>
    <cellStyle name="Normal 6 2 8 3 3" xfId="33826" xr:uid="{00000000-0005-0000-0000-000093A60000}"/>
    <cellStyle name="Normal 6 2 8 3 4" xfId="24257" xr:uid="{00000000-0005-0000-0000-000094A60000}"/>
    <cellStyle name="Normal 6 2 8 4" xfId="5580" xr:uid="{00000000-0005-0000-0000-000095A60000}"/>
    <cellStyle name="Normal 6 2 8 4 2" xfId="53421" xr:uid="{00000000-0005-0000-0000-000096A60000}"/>
    <cellStyle name="Normal 6 2 8 4 3" xfId="37321" xr:uid="{00000000-0005-0000-0000-000097A60000}"/>
    <cellStyle name="Normal 6 2 8 4 4" xfId="18185" xr:uid="{00000000-0005-0000-0000-000098A60000}"/>
    <cellStyle name="Normal 6 2 8 5" xfId="43854" xr:uid="{00000000-0005-0000-0000-000099A60000}"/>
    <cellStyle name="Normal 6 2 8 6" xfId="27754" xr:uid="{00000000-0005-0000-0000-00009AA60000}"/>
    <cellStyle name="Normal 6 2 8 7" xfId="14690" xr:uid="{00000000-0005-0000-0000-00009BA60000}"/>
    <cellStyle name="Normal 6 2 9" xfId="1072" xr:uid="{00000000-0005-0000-0000-00009CA60000}"/>
    <cellStyle name="Normal 6 2 9 2" xfId="7606" xr:uid="{00000000-0005-0000-0000-00009DA60000}"/>
    <cellStyle name="Normal 6 2 9 2 2" xfId="39347" xr:uid="{00000000-0005-0000-0000-00009EA60000}"/>
    <cellStyle name="Normal 6 2 9 2 2 2" xfId="55447" xr:uid="{00000000-0005-0000-0000-00009FA60000}"/>
    <cellStyle name="Normal 6 2 9 2 3" xfId="45880" xr:uid="{00000000-0005-0000-0000-0000A0A60000}"/>
    <cellStyle name="Normal 6 2 9 2 4" xfId="29780" xr:uid="{00000000-0005-0000-0000-0000A1A60000}"/>
    <cellStyle name="Normal 6 2 9 2 5" xfId="20211" xr:uid="{00000000-0005-0000-0000-0000A2A60000}"/>
    <cellStyle name="Normal 6 2 9 3" xfId="10642" xr:uid="{00000000-0005-0000-0000-0000A3A60000}"/>
    <cellStyle name="Normal 6 2 9 3 2" xfId="48916" xr:uid="{00000000-0005-0000-0000-0000A4A60000}"/>
    <cellStyle name="Normal 6 2 9 3 3" xfId="32816" xr:uid="{00000000-0005-0000-0000-0000A5A60000}"/>
    <cellStyle name="Normal 6 2 9 3 4" xfId="23247" xr:uid="{00000000-0005-0000-0000-0000A6A60000}"/>
    <cellStyle name="Normal 6 2 9 4" xfId="4570" xr:uid="{00000000-0005-0000-0000-0000A7A60000}"/>
    <cellStyle name="Normal 6 2 9 4 2" xfId="52411" xr:uid="{00000000-0005-0000-0000-0000A8A60000}"/>
    <cellStyle name="Normal 6 2 9 4 3" xfId="36311" xr:uid="{00000000-0005-0000-0000-0000A9A60000}"/>
    <cellStyle name="Normal 6 2 9 4 4" xfId="17175" xr:uid="{00000000-0005-0000-0000-0000AAA60000}"/>
    <cellStyle name="Normal 6 2 9 5" xfId="42844" xr:uid="{00000000-0005-0000-0000-0000ABA60000}"/>
    <cellStyle name="Normal 6 2 9 6" xfId="26744" xr:uid="{00000000-0005-0000-0000-0000ACA60000}"/>
    <cellStyle name="Normal 6 2 9 7" xfId="13680" xr:uid="{00000000-0005-0000-0000-0000ADA60000}"/>
    <cellStyle name="Normal 6 20" xfId="3082" xr:uid="{00000000-0005-0000-0000-0000AEA60000}"/>
    <cellStyle name="Normal 6 20 2" xfId="50924" xr:uid="{00000000-0005-0000-0000-0000AFA60000}"/>
    <cellStyle name="Normal 6 20 3" xfId="34824" xr:uid="{00000000-0005-0000-0000-0000B0A60000}"/>
    <cellStyle name="Normal 6 20 4" xfId="15688" xr:uid="{00000000-0005-0000-0000-0000B1A60000}"/>
    <cellStyle name="Normal 6 21" xfId="41357" xr:uid="{00000000-0005-0000-0000-0000B2A60000}"/>
    <cellStyle name="Normal 6 22" xfId="25257" xr:uid="{00000000-0005-0000-0000-0000B3A60000}"/>
    <cellStyle name="Normal 6 23" xfId="12652" xr:uid="{00000000-0005-0000-0000-0000B4A60000}"/>
    <cellStyle name="Normal 6 3" xfId="112" xr:uid="{00000000-0005-0000-0000-0000B5A60000}"/>
    <cellStyle name="Normal 6 3 10" xfId="9712" xr:uid="{00000000-0005-0000-0000-0000B6A60000}"/>
    <cellStyle name="Normal 6 3 10 2" xfId="47986" xr:uid="{00000000-0005-0000-0000-0000B7A60000}"/>
    <cellStyle name="Normal 6 3 10 3" xfId="31886" xr:uid="{00000000-0005-0000-0000-0000B8A60000}"/>
    <cellStyle name="Normal 6 3 10 4" xfId="22317" xr:uid="{00000000-0005-0000-0000-0000B9A60000}"/>
    <cellStyle name="Normal 6 3 11" xfId="3180" xr:uid="{00000000-0005-0000-0000-0000BAA60000}"/>
    <cellStyle name="Normal 6 3 11 2" xfId="51022" xr:uid="{00000000-0005-0000-0000-0000BBA60000}"/>
    <cellStyle name="Normal 6 3 11 3" xfId="34922" xr:uid="{00000000-0005-0000-0000-0000BCA60000}"/>
    <cellStyle name="Normal 6 3 11 4" xfId="15786" xr:uid="{00000000-0005-0000-0000-0000BDA60000}"/>
    <cellStyle name="Normal 6 3 12" xfId="41455" xr:uid="{00000000-0005-0000-0000-0000BEA60000}"/>
    <cellStyle name="Normal 6 3 13" xfId="25355" xr:uid="{00000000-0005-0000-0000-0000BFA60000}"/>
    <cellStyle name="Normal 6 3 14" xfId="12750" xr:uid="{00000000-0005-0000-0000-0000C0A60000}"/>
    <cellStyle name="Normal 6 3 2" xfId="187" xr:uid="{00000000-0005-0000-0000-0000C1A60000}"/>
    <cellStyle name="Normal 6 3 2 10" xfId="41692" xr:uid="{00000000-0005-0000-0000-0000C2A60000}"/>
    <cellStyle name="Normal 6 3 2 11" xfId="25592" xr:uid="{00000000-0005-0000-0000-0000C3A60000}"/>
    <cellStyle name="Normal 6 3 2 12" xfId="13016" xr:uid="{00000000-0005-0000-0000-0000C4A60000}"/>
    <cellStyle name="Normal 6 3 2 2" xfId="364" xr:uid="{00000000-0005-0000-0000-0000C5A60000}"/>
    <cellStyle name="Normal 6 3 2 2 2" xfId="2383" xr:uid="{00000000-0005-0000-0000-0000C6A60000}"/>
    <cellStyle name="Normal 6 3 2 2 2 2" xfId="8917" xr:uid="{00000000-0005-0000-0000-0000C7A60000}"/>
    <cellStyle name="Normal 6 3 2 2 2 2 2" xfId="40658" xr:uid="{00000000-0005-0000-0000-0000C8A60000}"/>
    <cellStyle name="Normal 6 3 2 2 2 2 2 2" xfId="56758" xr:uid="{00000000-0005-0000-0000-0000C9A60000}"/>
    <cellStyle name="Normal 6 3 2 2 2 2 3" xfId="47191" xr:uid="{00000000-0005-0000-0000-0000CAA60000}"/>
    <cellStyle name="Normal 6 3 2 2 2 2 4" xfId="31091" xr:uid="{00000000-0005-0000-0000-0000CBA60000}"/>
    <cellStyle name="Normal 6 3 2 2 2 2 5" xfId="21522" xr:uid="{00000000-0005-0000-0000-0000CCA60000}"/>
    <cellStyle name="Normal 6 3 2 2 2 3" xfId="11953" xr:uid="{00000000-0005-0000-0000-0000CDA60000}"/>
    <cellStyle name="Normal 6 3 2 2 2 3 2" xfId="50227" xr:uid="{00000000-0005-0000-0000-0000CEA60000}"/>
    <cellStyle name="Normal 6 3 2 2 2 3 3" xfId="34127" xr:uid="{00000000-0005-0000-0000-0000CFA60000}"/>
    <cellStyle name="Normal 6 3 2 2 2 3 4" xfId="24558" xr:uid="{00000000-0005-0000-0000-0000D0A60000}"/>
    <cellStyle name="Normal 6 3 2 2 2 4" xfId="5881" xr:uid="{00000000-0005-0000-0000-0000D1A60000}"/>
    <cellStyle name="Normal 6 3 2 2 2 4 2" xfId="53722" xr:uid="{00000000-0005-0000-0000-0000D2A60000}"/>
    <cellStyle name="Normal 6 3 2 2 2 4 3" xfId="37622" xr:uid="{00000000-0005-0000-0000-0000D3A60000}"/>
    <cellStyle name="Normal 6 3 2 2 2 4 4" xfId="18486" xr:uid="{00000000-0005-0000-0000-0000D4A60000}"/>
    <cellStyle name="Normal 6 3 2 2 2 5" xfId="44155" xr:uid="{00000000-0005-0000-0000-0000D5A60000}"/>
    <cellStyle name="Normal 6 3 2 2 2 6" xfId="28055" xr:uid="{00000000-0005-0000-0000-0000D6A60000}"/>
    <cellStyle name="Normal 6 3 2 2 2 7" xfId="14991" xr:uid="{00000000-0005-0000-0000-0000D7A60000}"/>
    <cellStyle name="Normal 6 3 2 2 3" xfId="1595" xr:uid="{00000000-0005-0000-0000-0000D8A60000}"/>
    <cellStyle name="Normal 6 3 2 2 3 2" xfId="8129" xr:uid="{00000000-0005-0000-0000-0000D9A60000}"/>
    <cellStyle name="Normal 6 3 2 2 3 2 2" xfId="39870" xr:uid="{00000000-0005-0000-0000-0000DAA60000}"/>
    <cellStyle name="Normal 6 3 2 2 3 2 2 2" xfId="55970" xr:uid="{00000000-0005-0000-0000-0000DBA60000}"/>
    <cellStyle name="Normal 6 3 2 2 3 2 3" xfId="46403" xr:uid="{00000000-0005-0000-0000-0000DCA60000}"/>
    <cellStyle name="Normal 6 3 2 2 3 2 4" xfId="30303" xr:uid="{00000000-0005-0000-0000-0000DDA60000}"/>
    <cellStyle name="Normal 6 3 2 2 3 2 5" xfId="20734" xr:uid="{00000000-0005-0000-0000-0000DEA60000}"/>
    <cellStyle name="Normal 6 3 2 2 3 3" xfId="11165" xr:uid="{00000000-0005-0000-0000-0000DFA60000}"/>
    <cellStyle name="Normal 6 3 2 2 3 3 2" xfId="49439" xr:uid="{00000000-0005-0000-0000-0000E0A60000}"/>
    <cellStyle name="Normal 6 3 2 2 3 3 3" xfId="33339" xr:uid="{00000000-0005-0000-0000-0000E1A60000}"/>
    <cellStyle name="Normal 6 3 2 2 3 3 4" xfId="23770" xr:uid="{00000000-0005-0000-0000-0000E2A60000}"/>
    <cellStyle name="Normal 6 3 2 2 3 4" xfId="5093" xr:uid="{00000000-0005-0000-0000-0000E3A60000}"/>
    <cellStyle name="Normal 6 3 2 2 3 4 2" xfId="52934" xr:uid="{00000000-0005-0000-0000-0000E4A60000}"/>
    <cellStyle name="Normal 6 3 2 2 3 4 3" xfId="36834" xr:uid="{00000000-0005-0000-0000-0000E5A60000}"/>
    <cellStyle name="Normal 6 3 2 2 3 4 4" xfId="17698" xr:uid="{00000000-0005-0000-0000-0000E6A60000}"/>
    <cellStyle name="Normal 6 3 2 2 3 5" xfId="43367" xr:uid="{00000000-0005-0000-0000-0000E7A60000}"/>
    <cellStyle name="Normal 6 3 2 2 3 6" xfId="27267" xr:uid="{00000000-0005-0000-0000-0000E8A60000}"/>
    <cellStyle name="Normal 6 3 2 2 3 7" xfId="14203" xr:uid="{00000000-0005-0000-0000-0000E9A60000}"/>
    <cellStyle name="Normal 6 3 2 2 4" xfId="7119" xr:uid="{00000000-0005-0000-0000-0000EAA60000}"/>
    <cellStyle name="Normal 6 3 2 2 4 2" xfId="38860" xr:uid="{00000000-0005-0000-0000-0000EBA60000}"/>
    <cellStyle name="Normal 6 3 2 2 4 2 2" xfId="54960" xr:uid="{00000000-0005-0000-0000-0000ECA60000}"/>
    <cellStyle name="Normal 6 3 2 2 4 3" xfId="45393" xr:uid="{00000000-0005-0000-0000-0000EDA60000}"/>
    <cellStyle name="Normal 6 3 2 2 4 4" xfId="29293" xr:uid="{00000000-0005-0000-0000-0000EEA60000}"/>
    <cellStyle name="Normal 6 3 2 2 4 5" xfId="19724" xr:uid="{00000000-0005-0000-0000-0000EFA60000}"/>
    <cellStyle name="Normal 6 3 2 2 5" xfId="10155" xr:uid="{00000000-0005-0000-0000-0000F0A60000}"/>
    <cellStyle name="Normal 6 3 2 2 5 2" xfId="48429" xr:uid="{00000000-0005-0000-0000-0000F1A60000}"/>
    <cellStyle name="Normal 6 3 2 2 5 3" xfId="32329" xr:uid="{00000000-0005-0000-0000-0000F2A60000}"/>
    <cellStyle name="Normal 6 3 2 2 5 4" xfId="22760" xr:uid="{00000000-0005-0000-0000-0000F3A60000}"/>
    <cellStyle name="Normal 6 3 2 2 6" xfId="4083" xr:uid="{00000000-0005-0000-0000-0000F4A60000}"/>
    <cellStyle name="Normal 6 3 2 2 6 2" xfId="51924" xr:uid="{00000000-0005-0000-0000-0000F5A60000}"/>
    <cellStyle name="Normal 6 3 2 2 6 3" xfId="35824" xr:uid="{00000000-0005-0000-0000-0000F6A60000}"/>
    <cellStyle name="Normal 6 3 2 2 6 4" xfId="16688" xr:uid="{00000000-0005-0000-0000-0000F7A60000}"/>
    <cellStyle name="Normal 6 3 2 2 7" xfId="42357" xr:uid="{00000000-0005-0000-0000-0000F8A60000}"/>
    <cellStyle name="Normal 6 3 2 2 8" xfId="26257" xr:uid="{00000000-0005-0000-0000-0000F9A60000}"/>
    <cellStyle name="Normal 6 3 2 2 9" xfId="13193" xr:uid="{00000000-0005-0000-0000-0000FAA60000}"/>
    <cellStyle name="Normal 6 3 2 3" xfId="1003" xr:uid="{00000000-0005-0000-0000-0000FBA60000}"/>
    <cellStyle name="Normal 6 3 2 3 2" xfId="3031" xr:uid="{00000000-0005-0000-0000-0000FCA60000}"/>
    <cellStyle name="Normal 6 3 2 3 2 2" xfId="9563" xr:uid="{00000000-0005-0000-0000-0000FDA60000}"/>
    <cellStyle name="Normal 6 3 2 3 2 2 2" xfId="41304" xr:uid="{00000000-0005-0000-0000-0000FEA60000}"/>
    <cellStyle name="Normal 6 3 2 3 2 2 2 2" xfId="57404" xr:uid="{00000000-0005-0000-0000-0000FFA60000}"/>
    <cellStyle name="Normal 6 3 2 3 2 2 3" xfId="47837" xr:uid="{00000000-0005-0000-0000-000000A70000}"/>
    <cellStyle name="Normal 6 3 2 3 2 2 4" xfId="31737" xr:uid="{00000000-0005-0000-0000-000001A70000}"/>
    <cellStyle name="Normal 6 3 2 3 2 2 5" xfId="22168" xr:uid="{00000000-0005-0000-0000-000002A70000}"/>
    <cellStyle name="Normal 6 3 2 3 2 3" xfId="12599" xr:uid="{00000000-0005-0000-0000-000003A70000}"/>
    <cellStyle name="Normal 6 3 2 3 2 3 2" xfId="50873" xr:uid="{00000000-0005-0000-0000-000004A70000}"/>
    <cellStyle name="Normal 6 3 2 3 2 3 3" xfId="34773" xr:uid="{00000000-0005-0000-0000-000005A70000}"/>
    <cellStyle name="Normal 6 3 2 3 2 3 4" xfId="25204" xr:uid="{00000000-0005-0000-0000-000006A70000}"/>
    <cellStyle name="Normal 6 3 2 3 2 4" xfId="6527" xr:uid="{00000000-0005-0000-0000-000007A70000}"/>
    <cellStyle name="Normal 6 3 2 3 2 4 2" xfId="54368" xr:uid="{00000000-0005-0000-0000-000008A70000}"/>
    <cellStyle name="Normal 6 3 2 3 2 4 3" xfId="38268" xr:uid="{00000000-0005-0000-0000-000009A70000}"/>
    <cellStyle name="Normal 6 3 2 3 2 4 4" xfId="19132" xr:uid="{00000000-0005-0000-0000-00000AA70000}"/>
    <cellStyle name="Normal 6 3 2 3 2 5" xfId="44801" xr:uid="{00000000-0005-0000-0000-00000BA70000}"/>
    <cellStyle name="Normal 6 3 2 3 2 6" xfId="28701" xr:uid="{00000000-0005-0000-0000-00000CA70000}"/>
    <cellStyle name="Normal 6 3 2 3 2 7" xfId="15637" xr:uid="{00000000-0005-0000-0000-00000DA70000}"/>
    <cellStyle name="Normal 6 3 2 3 3" xfId="2013" xr:uid="{00000000-0005-0000-0000-00000EA70000}"/>
    <cellStyle name="Normal 6 3 2 3 3 2" xfId="8547" xr:uid="{00000000-0005-0000-0000-00000FA70000}"/>
    <cellStyle name="Normal 6 3 2 3 3 2 2" xfId="40288" xr:uid="{00000000-0005-0000-0000-000010A70000}"/>
    <cellStyle name="Normal 6 3 2 3 3 2 2 2" xfId="56388" xr:uid="{00000000-0005-0000-0000-000011A70000}"/>
    <cellStyle name="Normal 6 3 2 3 3 2 3" xfId="46821" xr:uid="{00000000-0005-0000-0000-000012A70000}"/>
    <cellStyle name="Normal 6 3 2 3 3 2 4" xfId="30721" xr:uid="{00000000-0005-0000-0000-000013A70000}"/>
    <cellStyle name="Normal 6 3 2 3 3 2 5" xfId="21152" xr:uid="{00000000-0005-0000-0000-000014A70000}"/>
    <cellStyle name="Normal 6 3 2 3 3 3" xfId="11583" xr:uid="{00000000-0005-0000-0000-000015A70000}"/>
    <cellStyle name="Normal 6 3 2 3 3 3 2" xfId="49857" xr:uid="{00000000-0005-0000-0000-000016A70000}"/>
    <cellStyle name="Normal 6 3 2 3 3 3 3" xfId="33757" xr:uid="{00000000-0005-0000-0000-000017A70000}"/>
    <cellStyle name="Normal 6 3 2 3 3 3 4" xfId="24188" xr:uid="{00000000-0005-0000-0000-000018A70000}"/>
    <cellStyle name="Normal 6 3 2 3 3 4" xfId="5511" xr:uid="{00000000-0005-0000-0000-000019A70000}"/>
    <cellStyle name="Normal 6 3 2 3 3 4 2" xfId="53352" xr:uid="{00000000-0005-0000-0000-00001AA70000}"/>
    <cellStyle name="Normal 6 3 2 3 3 4 3" xfId="37252" xr:uid="{00000000-0005-0000-0000-00001BA70000}"/>
    <cellStyle name="Normal 6 3 2 3 3 4 4" xfId="18116" xr:uid="{00000000-0005-0000-0000-00001CA70000}"/>
    <cellStyle name="Normal 6 3 2 3 3 5" xfId="43785" xr:uid="{00000000-0005-0000-0000-00001DA70000}"/>
    <cellStyle name="Normal 6 3 2 3 3 6" xfId="27685" xr:uid="{00000000-0005-0000-0000-00001EA70000}"/>
    <cellStyle name="Normal 6 3 2 3 3 7" xfId="14621" xr:uid="{00000000-0005-0000-0000-00001FA70000}"/>
    <cellStyle name="Normal 6 3 2 3 4" xfId="7537" xr:uid="{00000000-0005-0000-0000-000020A70000}"/>
    <cellStyle name="Normal 6 3 2 3 4 2" xfId="39278" xr:uid="{00000000-0005-0000-0000-000021A70000}"/>
    <cellStyle name="Normal 6 3 2 3 4 2 2" xfId="55378" xr:uid="{00000000-0005-0000-0000-000022A70000}"/>
    <cellStyle name="Normal 6 3 2 3 4 3" xfId="45811" xr:uid="{00000000-0005-0000-0000-000023A70000}"/>
    <cellStyle name="Normal 6 3 2 3 4 4" xfId="29711" xr:uid="{00000000-0005-0000-0000-000024A70000}"/>
    <cellStyle name="Normal 6 3 2 3 4 5" xfId="20142" xr:uid="{00000000-0005-0000-0000-000025A70000}"/>
    <cellStyle name="Normal 6 3 2 3 5" xfId="10573" xr:uid="{00000000-0005-0000-0000-000026A70000}"/>
    <cellStyle name="Normal 6 3 2 3 5 2" xfId="48847" xr:uid="{00000000-0005-0000-0000-000027A70000}"/>
    <cellStyle name="Normal 6 3 2 3 5 3" xfId="32747" xr:uid="{00000000-0005-0000-0000-000028A70000}"/>
    <cellStyle name="Normal 6 3 2 3 5 4" xfId="23178" xr:uid="{00000000-0005-0000-0000-000029A70000}"/>
    <cellStyle name="Normal 6 3 2 3 6" xfId="4501" xr:uid="{00000000-0005-0000-0000-00002AA70000}"/>
    <cellStyle name="Normal 6 3 2 3 6 2" xfId="52342" xr:uid="{00000000-0005-0000-0000-00002BA70000}"/>
    <cellStyle name="Normal 6 3 2 3 6 3" xfId="36242" xr:uid="{00000000-0005-0000-0000-00002CA70000}"/>
    <cellStyle name="Normal 6 3 2 3 6 4" xfId="17106" xr:uid="{00000000-0005-0000-0000-00002DA70000}"/>
    <cellStyle name="Normal 6 3 2 3 7" xfId="42775" xr:uid="{00000000-0005-0000-0000-00002EA70000}"/>
    <cellStyle name="Normal 6 3 2 3 8" xfId="26675" xr:uid="{00000000-0005-0000-0000-00002FA70000}"/>
    <cellStyle name="Normal 6 3 2 3 9" xfId="13611" xr:uid="{00000000-0005-0000-0000-000030A70000}"/>
    <cellStyle name="Normal 6 3 2 4" xfId="2206" xr:uid="{00000000-0005-0000-0000-000031A70000}"/>
    <cellStyle name="Normal 6 3 2 4 2" xfId="8740" xr:uid="{00000000-0005-0000-0000-000032A70000}"/>
    <cellStyle name="Normal 6 3 2 4 2 2" xfId="40481" xr:uid="{00000000-0005-0000-0000-000033A70000}"/>
    <cellStyle name="Normal 6 3 2 4 2 2 2" xfId="56581" xr:uid="{00000000-0005-0000-0000-000034A70000}"/>
    <cellStyle name="Normal 6 3 2 4 2 3" xfId="47014" xr:uid="{00000000-0005-0000-0000-000035A70000}"/>
    <cellStyle name="Normal 6 3 2 4 2 4" xfId="30914" xr:uid="{00000000-0005-0000-0000-000036A70000}"/>
    <cellStyle name="Normal 6 3 2 4 2 5" xfId="21345" xr:uid="{00000000-0005-0000-0000-000037A70000}"/>
    <cellStyle name="Normal 6 3 2 4 3" xfId="11776" xr:uid="{00000000-0005-0000-0000-000038A70000}"/>
    <cellStyle name="Normal 6 3 2 4 3 2" xfId="50050" xr:uid="{00000000-0005-0000-0000-000039A70000}"/>
    <cellStyle name="Normal 6 3 2 4 3 3" xfId="33950" xr:uid="{00000000-0005-0000-0000-00003AA70000}"/>
    <cellStyle name="Normal 6 3 2 4 3 4" xfId="24381" xr:uid="{00000000-0005-0000-0000-00003BA70000}"/>
    <cellStyle name="Normal 6 3 2 4 4" xfId="5704" xr:uid="{00000000-0005-0000-0000-00003CA70000}"/>
    <cellStyle name="Normal 6 3 2 4 4 2" xfId="53545" xr:uid="{00000000-0005-0000-0000-00003DA70000}"/>
    <cellStyle name="Normal 6 3 2 4 4 3" xfId="37445" xr:uid="{00000000-0005-0000-0000-00003EA70000}"/>
    <cellStyle name="Normal 6 3 2 4 4 4" xfId="18309" xr:uid="{00000000-0005-0000-0000-00003FA70000}"/>
    <cellStyle name="Normal 6 3 2 4 5" xfId="43978" xr:uid="{00000000-0005-0000-0000-000040A70000}"/>
    <cellStyle name="Normal 6 3 2 4 6" xfId="27878" xr:uid="{00000000-0005-0000-0000-000041A70000}"/>
    <cellStyle name="Normal 6 3 2 4 7" xfId="14814" xr:uid="{00000000-0005-0000-0000-000042A70000}"/>
    <cellStyle name="Normal 6 3 2 5" xfId="1418" xr:uid="{00000000-0005-0000-0000-000043A70000}"/>
    <cellStyle name="Normal 6 3 2 5 2" xfId="7952" xr:uid="{00000000-0005-0000-0000-000044A70000}"/>
    <cellStyle name="Normal 6 3 2 5 2 2" xfId="39693" xr:uid="{00000000-0005-0000-0000-000045A70000}"/>
    <cellStyle name="Normal 6 3 2 5 2 2 2" xfId="55793" xr:uid="{00000000-0005-0000-0000-000046A70000}"/>
    <cellStyle name="Normal 6 3 2 5 2 3" xfId="46226" xr:uid="{00000000-0005-0000-0000-000047A70000}"/>
    <cellStyle name="Normal 6 3 2 5 2 4" xfId="30126" xr:uid="{00000000-0005-0000-0000-000048A70000}"/>
    <cellStyle name="Normal 6 3 2 5 2 5" xfId="20557" xr:uid="{00000000-0005-0000-0000-000049A70000}"/>
    <cellStyle name="Normal 6 3 2 5 3" xfId="10988" xr:uid="{00000000-0005-0000-0000-00004AA70000}"/>
    <cellStyle name="Normal 6 3 2 5 3 2" xfId="49262" xr:uid="{00000000-0005-0000-0000-00004BA70000}"/>
    <cellStyle name="Normal 6 3 2 5 3 3" xfId="33162" xr:uid="{00000000-0005-0000-0000-00004CA70000}"/>
    <cellStyle name="Normal 6 3 2 5 3 4" xfId="23593" xr:uid="{00000000-0005-0000-0000-00004DA70000}"/>
    <cellStyle name="Normal 6 3 2 5 4" xfId="4916" xr:uid="{00000000-0005-0000-0000-00004EA70000}"/>
    <cellStyle name="Normal 6 3 2 5 4 2" xfId="52757" xr:uid="{00000000-0005-0000-0000-00004FA70000}"/>
    <cellStyle name="Normal 6 3 2 5 4 3" xfId="36657" xr:uid="{00000000-0005-0000-0000-000050A70000}"/>
    <cellStyle name="Normal 6 3 2 5 4 4" xfId="17521" xr:uid="{00000000-0005-0000-0000-000051A70000}"/>
    <cellStyle name="Normal 6 3 2 5 5" xfId="43190" xr:uid="{00000000-0005-0000-0000-000052A70000}"/>
    <cellStyle name="Normal 6 3 2 5 6" xfId="27090" xr:uid="{00000000-0005-0000-0000-000053A70000}"/>
    <cellStyle name="Normal 6 3 2 5 7" xfId="14026" xr:uid="{00000000-0005-0000-0000-000054A70000}"/>
    <cellStyle name="Normal 6 3 2 6" xfId="3906" xr:uid="{00000000-0005-0000-0000-000055A70000}"/>
    <cellStyle name="Normal 6 3 2 6 2" xfId="35647" xr:uid="{00000000-0005-0000-0000-000056A70000}"/>
    <cellStyle name="Normal 6 3 2 6 2 2" xfId="51747" xr:uid="{00000000-0005-0000-0000-000057A70000}"/>
    <cellStyle name="Normal 6 3 2 6 3" xfId="42180" xr:uid="{00000000-0005-0000-0000-000058A70000}"/>
    <cellStyle name="Normal 6 3 2 6 4" xfId="26080" xr:uid="{00000000-0005-0000-0000-000059A70000}"/>
    <cellStyle name="Normal 6 3 2 6 5" xfId="16511" xr:uid="{00000000-0005-0000-0000-00005AA70000}"/>
    <cellStyle name="Normal 6 3 2 7" xfId="6942" xr:uid="{00000000-0005-0000-0000-00005BA70000}"/>
    <cellStyle name="Normal 6 3 2 7 2" xfId="38683" xr:uid="{00000000-0005-0000-0000-00005CA70000}"/>
    <cellStyle name="Normal 6 3 2 7 2 2" xfId="54783" xr:uid="{00000000-0005-0000-0000-00005DA70000}"/>
    <cellStyle name="Normal 6 3 2 7 3" xfId="45216" xr:uid="{00000000-0005-0000-0000-00005EA70000}"/>
    <cellStyle name="Normal 6 3 2 7 4" xfId="29116" xr:uid="{00000000-0005-0000-0000-00005FA70000}"/>
    <cellStyle name="Normal 6 3 2 7 5" xfId="19547" xr:uid="{00000000-0005-0000-0000-000060A70000}"/>
    <cellStyle name="Normal 6 3 2 8" xfId="9978" xr:uid="{00000000-0005-0000-0000-000061A70000}"/>
    <cellStyle name="Normal 6 3 2 8 2" xfId="48252" xr:uid="{00000000-0005-0000-0000-000062A70000}"/>
    <cellStyle name="Normal 6 3 2 8 3" xfId="32152" xr:uid="{00000000-0005-0000-0000-000063A70000}"/>
    <cellStyle name="Normal 6 3 2 8 4" xfId="22583" xr:uid="{00000000-0005-0000-0000-000064A70000}"/>
    <cellStyle name="Normal 6 3 2 9" xfId="3418" xr:uid="{00000000-0005-0000-0000-000065A70000}"/>
    <cellStyle name="Normal 6 3 2 9 2" xfId="51259" xr:uid="{00000000-0005-0000-0000-000066A70000}"/>
    <cellStyle name="Normal 6 3 2 9 3" xfId="35159" xr:uid="{00000000-0005-0000-0000-000067A70000}"/>
    <cellStyle name="Normal 6 3 2 9 4" xfId="16023" xr:uid="{00000000-0005-0000-0000-000068A70000}"/>
    <cellStyle name="Normal 6 3 3" xfId="293" xr:uid="{00000000-0005-0000-0000-000069A70000}"/>
    <cellStyle name="Normal 6 3 3 2" xfId="2312" xr:uid="{00000000-0005-0000-0000-00006AA70000}"/>
    <cellStyle name="Normal 6 3 3 2 2" xfId="8846" xr:uid="{00000000-0005-0000-0000-00006BA70000}"/>
    <cellStyle name="Normal 6 3 3 2 2 2" xfId="40587" xr:uid="{00000000-0005-0000-0000-00006CA70000}"/>
    <cellStyle name="Normal 6 3 3 2 2 2 2" xfId="56687" xr:uid="{00000000-0005-0000-0000-00006DA70000}"/>
    <cellStyle name="Normal 6 3 3 2 2 3" xfId="47120" xr:uid="{00000000-0005-0000-0000-00006EA70000}"/>
    <cellStyle name="Normal 6 3 3 2 2 4" xfId="31020" xr:uid="{00000000-0005-0000-0000-00006FA70000}"/>
    <cellStyle name="Normal 6 3 3 2 2 5" xfId="21451" xr:uid="{00000000-0005-0000-0000-000070A70000}"/>
    <cellStyle name="Normal 6 3 3 2 3" xfId="11882" xr:uid="{00000000-0005-0000-0000-000071A70000}"/>
    <cellStyle name="Normal 6 3 3 2 3 2" xfId="50156" xr:uid="{00000000-0005-0000-0000-000072A70000}"/>
    <cellStyle name="Normal 6 3 3 2 3 3" xfId="34056" xr:uid="{00000000-0005-0000-0000-000073A70000}"/>
    <cellStyle name="Normal 6 3 3 2 3 4" xfId="24487" xr:uid="{00000000-0005-0000-0000-000074A70000}"/>
    <cellStyle name="Normal 6 3 3 2 4" xfId="5810" xr:uid="{00000000-0005-0000-0000-000075A70000}"/>
    <cellStyle name="Normal 6 3 3 2 4 2" xfId="53651" xr:uid="{00000000-0005-0000-0000-000076A70000}"/>
    <cellStyle name="Normal 6 3 3 2 4 3" xfId="37551" xr:uid="{00000000-0005-0000-0000-000077A70000}"/>
    <cellStyle name="Normal 6 3 3 2 4 4" xfId="18415" xr:uid="{00000000-0005-0000-0000-000078A70000}"/>
    <cellStyle name="Normal 6 3 3 2 5" xfId="44084" xr:uid="{00000000-0005-0000-0000-000079A70000}"/>
    <cellStyle name="Normal 6 3 3 2 6" xfId="27984" xr:uid="{00000000-0005-0000-0000-00007AA70000}"/>
    <cellStyle name="Normal 6 3 3 2 7" xfId="14920" xr:uid="{00000000-0005-0000-0000-00007BA70000}"/>
    <cellStyle name="Normal 6 3 3 3" xfId="1524" xr:uid="{00000000-0005-0000-0000-00007CA70000}"/>
    <cellStyle name="Normal 6 3 3 3 2" xfId="8058" xr:uid="{00000000-0005-0000-0000-00007DA70000}"/>
    <cellStyle name="Normal 6 3 3 3 2 2" xfId="39799" xr:uid="{00000000-0005-0000-0000-00007EA70000}"/>
    <cellStyle name="Normal 6 3 3 3 2 2 2" xfId="55899" xr:uid="{00000000-0005-0000-0000-00007FA70000}"/>
    <cellStyle name="Normal 6 3 3 3 2 3" xfId="46332" xr:uid="{00000000-0005-0000-0000-000080A70000}"/>
    <cellStyle name="Normal 6 3 3 3 2 4" xfId="30232" xr:uid="{00000000-0005-0000-0000-000081A70000}"/>
    <cellStyle name="Normal 6 3 3 3 2 5" xfId="20663" xr:uid="{00000000-0005-0000-0000-000082A70000}"/>
    <cellStyle name="Normal 6 3 3 3 3" xfId="11094" xr:uid="{00000000-0005-0000-0000-000083A70000}"/>
    <cellStyle name="Normal 6 3 3 3 3 2" xfId="49368" xr:uid="{00000000-0005-0000-0000-000084A70000}"/>
    <cellStyle name="Normal 6 3 3 3 3 3" xfId="33268" xr:uid="{00000000-0005-0000-0000-000085A70000}"/>
    <cellStyle name="Normal 6 3 3 3 3 4" xfId="23699" xr:uid="{00000000-0005-0000-0000-000086A70000}"/>
    <cellStyle name="Normal 6 3 3 3 4" xfId="5022" xr:uid="{00000000-0005-0000-0000-000087A70000}"/>
    <cellStyle name="Normal 6 3 3 3 4 2" xfId="52863" xr:uid="{00000000-0005-0000-0000-000088A70000}"/>
    <cellStyle name="Normal 6 3 3 3 4 3" xfId="36763" xr:uid="{00000000-0005-0000-0000-000089A70000}"/>
    <cellStyle name="Normal 6 3 3 3 4 4" xfId="17627" xr:uid="{00000000-0005-0000-0000-00008AA70000}"/>
    <cellStyle name="Normal 6 3 3 3 5" xfId="43296" xr:uid="{00000000-0005-0000-0000-00008BA70000}"/>
    <cellStyle name="Normal 6 3 3 3 6" xfId="27196" xr:uid="{00000000-0005-0000-0000-00008CA70000}"/>
    <cellStyle name="Normal 6 3 3 3 7" xfId="14132" xr:uid="{00000000-0005-0000-0000-00008DA70000}"/>
    <cellStyle name="Normal 6 3 3 4" xfId="7048" xr:uid="{00000000-0005-0000-0000-00008EA70000}"/>
    <cellStyle name="Normal 6 3 3 4 2" xfId="38789" xr:uid="{00000000-0005-0000-0000-00008FA70000}"/>
    <cellStyle name="Normal 6 3 3 4 2 2" xfId="54889" xr:uid="{00000000-0005-0000-0000-000090A70000}"/>
    <cellStyle name="Normal 6 3 3 4 3" xfId="45322" xr:uid="{00000000-0005-0000-0000-000091A70000}"/>
    <cellStyle name="Normal 6 3 3 4 4" xfId="29222" xr:uid="{00000000-0005-0000-0000-000092A70000}"/>
    <cellStyle name="Normal 6 3 3 4 5" xfId="19653" xr:uid="{00000000-0005-0000-0000-000093A70000}"/>
    <cellStyle name="Normal 6 3 3 5" xfId="10084" xr:uid="{00000000-0005-0000-0000-000094A70000}"/>
    <cellStyle name="Normal 6 3 3 5 2" xfId="48358" xr:uid="{00000000-0005-0000-0000-000095A70000}"/>
    <cellStyle name="Normal 6 3 3 5 3" xfId="32258" xr:uid="{00000000-0005-0000-0000-000096A70000}"/>
    <cellStyle name="Normal 6 3 3 5 4" xfId="22689" xr:uid="{00000000-0005-0000-0000-000097A70000}"/>
    <cellStyle name="Normal 6 3 3 6" xfId="4012" xr:uid="{00000000-0005-0000-0000-000098A70000}"/>
    <cellStyle name="Normal 6 3 3 6 2" xfId="51853" xr:uid="{00000000-0005-0000-0000-000099A70000}"/>
    <cellStyle name="Normal 6 3 3 6 3" xfId="35753" xr:uid="{00000000-0005-0000-0000-00009AA70000}"/>
    <cellStyle name="Normal 6 3 3 6 4" xfId="16617" xr:uid="{00000000-0005-0000-0000-00009BA70000}"/>
    <cellStyle name="Normal 6 3 3 7" xfId="42286" xr:uid="{00000000-0005-0000-0000-00009CA70000}"/>
    <cellStyle name="Normal 6 3 3 8" xfId="26186" xr:uid="{00000000-0005-0000-0000-00009DA70000}"/>
    <cellStyle name="Normal 6 3 3 9" xfId="13122" xr:uid="{00000000-0005-0000-0000-00009EA70000}"/>
    <cellStyle name="Normal 6 3 4" xfId="551" xr:uid="{00000000-0005-0000-0000-00009FA70000}"/>
    <cellStyle name="Normal 6 3 4 2" xfId="2580" xr:uid="{00000000-0005-0000-0000-0000A0A70000}"/>
    <cellStyle name="Normal 6 3 4 2 2" xfId="9112" xr:uid="{00000000-0005-0000-0000-0000A1A70000}"/>
    <cellStyle name="Normal 6 3 4 2 2 2" xfId="40853" xr:uid="{00000000-0005-0000-0000-0000A2A70000}"/>
    <cellStyle name="Normal 6 3 4 2 2 2 2" xfId="56953" xr:uid="{00000000-0005-0000-0000-0000A3A70000}"/>
    <cellStyle name="Normal 6 3 4 2 2 3" xfId="47386" xr:uid="{00000000-0005-0000-0000-0000A4A70000}"/>
    <cellStyle name="Normal 6 3 4 2 2 4" xfId="31286" xr:uid="{00000000-0005-0000-0000-0000A5A70000}"/>
    <cellStyle name="Normal 6 3 4 2 2 5" xfId="21717" xr:uid="{00000000-0005-0000-0000-0000A6A70000}"/>
    <cellStyle name="Normal 6 3 4 2 3" xfId="12148" xr:uid="{00000000-0005-0000-0000-0000A7A70000}"/>
    <cellStyle name="Normal 6 3 4 2 3 2" xfId="50422" xr:uid="{00000000-0005-0000-0000-0000A8A70000}"/>
    <cellStyle name="Normal 6 3 4 2 3 3" xfId="34322" xr:uid="{00000000-0005-0000-0000-0000A9A70000}"/>
    <cellStyle name="Normal 6 3 4 2 3 4" xfId="24753" xr:uid="{00000000-0005-0000-0000-0000AAA70000}"/>
    <cellStyle name="Normal 6 3 4 2 4" xfId="6076" xr:uid="{00000000-0005-0000-0000-0000ABA70000}"/>
    <cellStyle name="Normal 6 3 4 2 4 2" xfId="53917" xr:uid="{00000000-0005-0000-0000-0000ACA70000}"/>
    <cellStyle name="Normal 6 3 4 2 4 3" xfId="37817" xr:uid="{00000000-0005-0000-0000-0000ADA70000}"/>
    <cellStyle name="Normal 6 3 4 2 4 4" xfId="18681" xr:uid="{00000000-0005-0000-0000-0000AEA70000}"/>
    <cellStyle name="Normal 6 3 4 2 5" xfId="44350" xr:uid="{00000000-0005-0000-0000-0000AFA70000}"/>
    <cellStyle name="Normal 6 3 4 2 6" xfId="28250" xr:uid="{00000000-0005-0000-0000-0000B0A70000}"/>
    <cellStyle name="Normal 6 3 4 2 7" xfId="15186" xr:uid="{00000000-0005-0000-0000-0000B1A70000}"/>
    <cellStyle name="Normal 6 3 4 3" xfId="1347" xr:uid="{00000000-0005-0000-0000-0000B2A70000}"/>
    <cellStyle name="Normal 6 3 4 3 2" xfId="7881" xr:uid="{00000000-0005-0000-0000-0000B3A70000}"/>
    <cellStyle name="Normal 6 3 4 3 2 2" xfId="39622" xr:uid="{00000000-0005-0000-0000-0000B4A70000}"/>
    <cellStyle name="Normal 6 3 4 3 2 2 2" xfId="55722" xr:uid="{00000000-0005-0000-0000-0000B5A70000}"/>
    <cellStyle name="Normal 6 3 4 3 2 3" xfId="46155" xr:uid="{00000000-0005-0000-0000-0000B6A70000}"/>
    <cellStyle name="Normal 6 3 4 3 2 4" xfId="30055" xr:uid="{00000000-0005-0000-0000-0000B7A70000}"/>
    <cellStyle name="Normal 6 3 4 3 2 5" xfId="20486" xr:uid="{00000000-0005-0000-0000-0000B8A70000}"/>
    <cellStyle name="Normal 6 3 4 3 3" xfId="10917" xr:uid="{00000000-0005-0000-0000-0000B9A70000}"/>
    <cellStyle name="Normal 6 3 4 3 3 2" xfId="49191" xr:uid="{00000000-0005-0000-0000-0000BAA70000}"/>
    <cellStyle name="Normal 6 3 4 3 3 3" xfId="33091" xr:uid="{00000000-0005-0000-0000-0000BBA70000}"/>
    <cellStyle name="Normal 6 3 4 3 3 4" xfId="23522" xr:uid="{00000000-0005-0000-0000-0000BCA70000}"/>
    <cellStyle name="Normal 6 3 4 3 4" xfId="4845" xr:uid="{00000000-0005-0000-0000-0000BDA70000}"/>
    <cellStyle name="Normal 6 3 4 3 4 2" xfId="52686" xr:uid="{00000000-0005-0000-0000-0000BEA70000}"/>
    <cellStyle name="Normal 6 3 4 3 4 3" xfId="36586" xr:uid="{00000000-0005-0000-0000-0000BFA70000}"/>
    <cellStyle name="Normal 6 3 4 3 4 4" xfId="17450" xr:uid="{00000000-0005-0000-0000-0000C0A70000}"/>
    <cellStyle name="Normal 6 3 4 3 5" xfId="43119" xr:uid="{00000000-0005-0000-0000-0000C1A70000}"/>
    <cellStyle name="Normal 6 3 4 3 6" xfId="27019" xr:uid="{00000000-0005-0000-0000-0000C2A70000}"/>
    <cellStyle name="Normal 6 3 4 3 7" xfId="13955" xr:uid="{00000000-0005-0000-0000-0000C3A70000}"/>
    <cellStyle name="Normal 6 3 4 4" xfId="6871" xr:uid="{00000000-0005-0000-0000-0000C4A70000}"/>
    <cellStyle name="Normal 6 3 4 4 2" xfId="38612" xr:uid="{00000000-0005-0000-0000-0000C5A70000}"/>
    <cellStyle name="Normal 6 3 4 4 2 2" xfId="54712" xr:uid="{00000000-0005-0000-0000-0000C6A70000}"/>
    <cellStyle name="Normal 6 3 4 4 3" xfId="45145" xr:uid="{00000000-0005-0000-0000-0000C7A70000}"/>
    <cellStyle name="Normal 6 3 4 4 4" xfId="29045" xr:uid="{00000000-0005-0000-0000-0000C8A70000}"/>
    <cellStyle name="Normal 6 3 4 4 5" xfId="19476" xr:uid="{00000000-0005-0000-0000-0000C9A70000}"/>
    <cellStyle name="Normal 6 3 4 5" xfId="9907" xr:uid="{00000000-0005-0000-0000-0000CAA70000}"/>
    <cellStyle name="Normal 6 3 4 5 2" xfId="48181" xr:uid="{00000000-0005-0000-0000-0000CBA70000}"/>
    <cellStyle name="Normal 6 3 4 5 3" xfId="32081" xr:uid="{00000000-0005-0000-0000-0000CCA70000}"/>
    <cellStyle name="Normal 6 3 4 5 4" xfId="22512" xr:uid="{00000000-0005-0000-0000-0000CDA70000}"/>
    <cellStyle name="Normal 6 3 4 6" xfId="3835" xr:uid="{00000000-0005-0000-0000-0000CEA70000}"/>
    <cellStyle name="Normal 6 3 4 6 2" xfId="51676" xr:uid="{00000000-0005-0000-0000-0000CFA70000}"/>
    <cellStyle name="Normal 6 3 4 6 3" xfId="35576" xr:uid="{00000000-0005-0000-0000-0000D0A70000}"/>
    <cellStyle name="Normal 6 3 4 6 4" xfId="16440" xr:uid="{00000000-0005-0000-0000-0000D1A70000}"/>
    <cellStyle name="Normal 6 3 4 7" xfId="42109" xr:uid="{00000000-0005-0000-0000-0000D2A70000}"/>
    <cellStyle name="Normal 6 3 4 8" xfId="26009" xr:uid="{00000000-0005-0000-0000-0000D3A70000}"/>
    <cellStyle name="Normal 6 3 4 9" xfId="12945" xr:uid="{00000000-0005-0000-0000-0000D4A70000}"/>
    <cellStyle name="Normal 6 3 5" xfId="825" xr:uid="{00000000-0005-0000-0000-0000D5A70000}"/>
    <cellStyle name="Normal 6 3 5 2" xfId="2853" xr:uid="{00000000-0005-0000-0000-0000D6A70000}"/>
    <cellStyle name="Normal 6 3 5 2 2" xfId="9385" xr:uid="{00000000-0005-0000-0000-0000D7A70000}"/>
    <cellStyle name="Normal 6 3 5 2 2 2" xfId="41126" xr:uid="{00000000-0005-0000-0000-0000D8A70000}"/>
    <cellStyle name="Normal 6 3 5 2 2 2 2" xfId="57226" xr:uid="{00000000-0005-0000-0000-0000D9A70000}"/>
    <cellStyle name="Normal 6 3 5 2 2 3" xfId="47659" xr:uid="{00000000-0005-0000-0000-0000DAA70000}"/>
    <cellStyle name="Normal 6 3 5 2 2 4" xfId="31559" xr:uid="{00000000-0005-0000-0000-0000DBA70000}"/>
    <cellStyle name="Normal 6 3 5 2 2 5" xfId="21990" xr:uid="{00000000-0005-0000-0000-0000DCA70000}"/>
    <cellStyle name="Normal 6 3 5 2 3" xfId="12421" xr:uid="{00000000-0005-0000-0000-0000DDA70000}"/>
    <cellStyle name="Normal 6 3 5 2 3 2" xfId="50695" xr:uid="{00000000-0005-0000-0000-0000DEA70000}"/>
    <cellStyle name="Normal 6 3 5 2 3 3" xfId="34595" xr:uid="{00000000-0005-0000-0000-0000DFA70000}"/>
    <cellStyle name="Normal 6 3 5 2 3 4" xfId="25026" xr:uid="{00000000-0005-0000-0000-0000E0A70000}"/>
    <cellStyle name="Normal 6 3 5 2 4" xfId="6349" xr:uid="{00000000-0005-0000-0000-0000E1A70000}"/>
    <cellStyle name="Normal 6 3 5 2 4 2" xfId="54190" xr:uid="{00000000-0005-0000-0000-0000E2A70000}"/>
    <cellStyle name="Normal 6 3 5 2 4 3" xfId="38090" xr:uid="{00000000-0005-0000-0000-0000E3A70000}"/>
    <cellStyle name="Normal 6 3 5 2 4 4" xfId="18954" xr:uid="{00000000-0005-0000-0000-0000E4A70000}"/>
    <cellStyle name="Normal 6 3 5 2 5" xfId="44623" xr:uid="{00000000-0005-0000-0000-0000E5A70000}"/>
    <cellStyle name="Normal 6 3 5 2 6" xfId="28523" xr:uid="{00000000-0005-0000-0000-0000E6A70000}"/>
    <cellStyle name="Normal 6 3 5 2 7" xfId="15459" xr:uid="{00000000-0005-0000-0000-0000E7A70000}"/>
    <cellStyle name="Normal 6 3 5 3" xfId="1835" xr:uid="{00000000-0005-0000-0000-0000E8A70000}"/>
    <cellStyle name="Normal 6 3 5 3 2" xfId="8369" xr:uid="{00000000-0005-0000-0000-0000E9A70000}"/>
    <cellStyle name="Normal 6 3 5 3 2 2" xfId="40110" xr:uid="{00000000-0005-0000-0000-0000EAA70000}"/>
    <cellStyle name="Normal 6 3 5 3 2 2 2" xfId="56210" xr:uid="{00000000-0005-0000-0000-0000EBA70000}"/>
    <cellStyle name="Normal 6 3 5 3 2 3" xfId="46643" xr:uid="{00000000-0005-0000-0000-0000ECA70000}"/>
    <cellStyle name="Normal 6 3 5 3 2 4" xfId="30543" xr:uid="{00000000-0005-0000-0000-0000EDA70000}"/>
    <cellStyle name="Normal 6 3 5 3 2 5" xfId="20974" xr:uid="{00000000-0005-0000-0000-0000EEA70000}"/>
    <cellStyle name="Normal 6 3 5 3 3" xfId="11405" xr:uid="{00000000-0005-0000-0000-0000EFA70000}"/>
    <cellStyle name="Normal 6 3 5 3 3 2" xfId="49679" xr:uid="{00000000-0005-0000-0000-0000F0A70000}"/>
    <cellStyle name="Normal 6 3 5 3 3 3" xfId="33579" xr:uid="{00000000-0005-0000-0000-0000F1A70000}"/>
    <cellStyle name="Normal 6 3 5 3 3 4" xfId="24010" xr:uid="{00000000-0005-0000-0000-0000F2A70000}"/>
    <cellStyle name="Normal 6 3 5 3 4" xfId="5333" xr:uid="{00000000-0005-0000-0000-0000F3A70000}"/>
    <cellStyle name="Normal 6 3 5 3 4 2" xfId="53174" xr:uid="{00000000-0005-0000-0000-0000F4A70000}"/>
    <cellStyle name="Normal 6 3 5 3 4 3" xfId="37074" xr:uid="{00000000-0005-0000-0000-0000F5A70000}"/>
    <cellStyle name="Normal 6 3 5 3 4 4" xfId="17938" xr:uid="{00000000-0005-0000-0000-0000F6A70000}"/>
    <cellStyle name="Normal 6 3 5 3 5" xfId="43607" xr:uid="{00000000-0005-0000-0000-0000F7A70000}"/>
    <cellStyle name="Normal 6 3 5 3 6" xfId="27507" xr:uid="{00000000-0005-0000-0000-0000F8A70000}"/>
    <cellStyle name="Normal 6 3 5 3 7" xfId="14443" xr:uid="{00000000-0005-0000-0000-0000F9A70000}"/>
    <cellStyle name="Normal 6 3 5 4" xfId="7359" xr:uid="{00000000-0005-0000-0000-0000FAA70000}"/>
    <cellStyle name="Normal 6 3 5 4 2" xfId="39100" xr:uid="{00000000-0005-0000-0000-0000FBA70000}"/>
    <cellStyle name="Normal 6 3 5 4 2 2" xfId="55200" xr:uid="{00000000-0005-0000-0000-0000FCA70000}"/>
    <cellStyle name="Normal 6 3 5 4 3" xfId="45633" xr:uid="{00000000-0005-0000-0000-0000FDA70000}"/>
    <cellStyle name="Normal 6 3 5 4 4" xfId="29533" xr:uid="{00000000-0005-0000-0000-0000FEA70000}"/>
    <cellStyle name="Normal 6 3 5 4 5" xfId="19964" xr:uid="{00000000-0005-0000-0000-0000FFA70000}"/>
    <cellStyle name="Normal 6 3 5 5" xfId="10395" xr:uid="{00000000-0005-0000-0000-000000A80000}"/>
    <cellStyle name="Normal 6 3 5 5 2" xfId="48669" xr:uid="{00000000-0005-0000-0000-000001A80000}"/>
    <cellStyle name="Normal 6 3 5 5 3" xfId="32569" xr:uid="{00000000-0005-0000-0000-000002A80000}"/>
    <cellStyle name="Normal 6 3 5 5 4" xfId="23000" xr:uid="{00000000-0005-0000-0000-000003A80000}"/>
    <cellStyle name="Normal 6 3 5 6" xfId="4323" xr:uid="{00000000-0005-0000-0000-000004A80000}"/>
    <cellStyle name="Normal 6 3 5 6 2" xfId="52164" xr:uid="{00000000-0005-0000-0000-000005A80000}"/>
    <cellStyle name="Normal 6 3 5 6 3" xfId="36064" xr:uid="{00000000-0005-0000-0000-000006A80000}"/>
    <cellStyle name="Normal 6 3 5 6 4" xfId="16928" xr:uid="{00000000-0005-0000-0000-000007A80000}"/>
    <cellStyle name="Normal 6 3 5 7" xfId="42597" xr:uid="{00000000-0005-0000-0000-000008A80000}"/>
    <cellStyle name="Normal 6 3 5 8" xfId="26497" xr:uid="{00000000-0005-0000-0000-000009A80000}"/>
    <cellStyle name="Normal 6 3 5 9" xfId="13433" xr:uid="{00000000-0005-0000-0000-00000AA80000}"/>
    <cellStyle name="Normal 6 3 6" xfId="2135" xr:uid="{00000000-0005-0000-0000-00000BA80000}"/>
    <cellStyle name="Normal 6 3 6 2" xfId="8669" xr:uid="{00000000-0005-0000-0000-00000CA80000}"/>
    <cellStyle name="Normal 6 3 6 2 2" xfId="40410" xr:uid="{00000000-0005-0000-0000-00000DA80000}"/>
    <cellStyle name="Normal 6 3 6 2 2 2" xfId="56510" xr:uid="{00000000-0005-0000-0000-00000EA80000}"/>
    <cellStyle name="Normal 6 3 6 2 3" xfId="46943" xr:uid="{00000000-0005-0000-0000-00000FA80000}"/>
    <cellStyle name="Normal 6 3 6 2 4" xfId="30843" xr:uid="{00000000-0005-0000-0000-000010A80000}"/>
    <cellStyle name="Normal 6 3 6 2 5" xfId="21274" xr:uid="{00000000-0005-0000-0000-000011A80000}"/>
    <cellStyle name="Normal 6 3 6 3" xfId="11705" xr:uid="{00000000-0005-0000-0000-000012A80000}"/>
    <cellStyle name="Normal 6 3 6 3 2" xfId="49979" xr:uid="{00000000-0005-0000-0000-000013A80000}"/>
    <cellStyle name="Normal 6 3 6 3 3" xfId="33879" xr:uid="{00000000-0005-0000-0000-000014A80000}"/>
    <cellStyle name="Normal 6 3 6 3 4" xfId="24310" xr:uid="{00000000-0005-0000-0000-000015A80000}"/>
    <cellStyle name="Normal 6 3 6 4" xfId="5633" xr:uid="{00000000-0005-0000-0000-000016A80000}"/>
    <cellStyle name="Normal 6 3 6 4 2" xfId="53474" xr:uid="{00000000-0005-0000-0000-000017A80000}"/>
    <cellStyle name="Normal 6 3 6 4 3" xfId="37374" xr:uid="{00000000-0005-0000-0000-000018A80000}"/>
    <cellStyle name="Normal 6 3 6 4 4" xfId="18238" xr:uid="{00000000-0005-0000-0000-000019A80000}"/>
    <cellStyle name="Normal 6 3 6 5" xfId="43907" xr:uid="{00000000-0005-0000-0000-00001AA80000}"/>
    <cellStyle name="Normal 6 3 6 6" xfId="27807" xr:uid="{00000000-0005-0000-0000-00001BA80000}"/>
    <cellStyle name="Normal 6 3 6 7" xfId="14743" xr:uid="{00000000-0005-0000-0000-00001CA80000}"/>
    <cellStyle name="Normal 6 3 7" xfId="1152" xr:uid="{00000000-0005-0000-0000-00001DA80000}"/>
    <cellStyle name="Normal 6 3 7 2" xfId="7686" xr:uid="{00000000-0005-0000-0000-00001EA80000}"/>
    <cellStyle name="Normal 6 3 7 2 2" xfId="39427" xr:uid="{00000000-0005-0000-0000-00001FA80000}"/>
    <cellStyle name="Normal 6 3 7 2 2 2" xfId="55527" xr:uid="{00000000-0005-0000-0000-000020A80000}"/>
    <cellStyle name="Normal 6 3 7 2 3" xfId="45960" xr:uid="{00000000-0005-0000-0000-000021A80000}"/>
    <cellStyle name="Normal 6 3 7 2 4" xfId="29860" xr:uid="{00000000-0005-0000-0000-000022A80000}"/>
    <cellStyle name="Normal 6 3 7 2 5" xfId="20291" xr:uid="{00000000-0005-0000-0000-000023A80000}"/>
    <cellStyle name="Normal 6 3 7 3" xfId="10722" xr:uid="{00000000-0005-0000-0000-000024A80000}"/>
    <cellStyle name="Normal 6 3 7 3 2" xfId="48996" xr:uid="{00000000-0005-0000-0000-000025A80000}"/>
    <cellStyle name="Normal 6 3 7 3 3" xfId="32896" xr:uid="{00000000-0005-0000-0000-000026A80000}"/>
    <cellStyle name="Normal 6 3 7 3 4" xfId="23327" xr:uid="{00000000-0005-0000-0000-000027A80000}"/>
    <cellStyle name="Normal 6 3 7 4" xfId="4650" xr:uid="{00000000-0005-0000-0000-000028A80000}"/>
    <cellStyle name="Normal 6 3 7 4 2" xfId="52491" xr:uid="{00000000-0005-0000-0000-000029A80000}"/>
    <cellStyle name="Normal 6 3 7 4 3" xfId="36391" xr:uid="{00000000-0005-0000-0000-00002AA80000}"/>
    <cellStyle name="Normal 6 3 7 4 4" xfId="17255" xr:uid="{00000000-0005-0000-0000-00002BA80000}"/>
    <cellStyle name="Normal 6 3 7 5" xfId="42924" xr:uid="{00000000-0005-0000-0000-00002CA80000}"/>
    <cellStyle name="Normal 6 3 7 6" xfId="26824" xr:uid="{00000000-0005-0000-0000-00002DA80000}"/>
    <cellStyle name="Normal 6 3 7 7" xfId="13760" xr:uid="{00000000-0005-0000-0000-00002EA80000}"/>
    <cellStyle name="Normal 6 3 8" xfId="3640" xr:uid="{00000000-0005-0000-0000-00002FA80000}"/>
    <cellStyle name="Normal 6 3 8 2" xfId="35381" xr:uid="{00000000-0005-0000-0000-000030A80000}"/>
    <cellStyle name="Normal 6 3 8 2 2" xfId="51481" xr:uid="{00000000-0005-0000-0000-000031A80000}"/>
    <cellStyle name="Normal 6 3 8 3" xfId="41914" xr:uid="{00000000-0005-0000-0000-000032A80000}"/>
    <cellStyle name="Normal 6 3 8 4" xfId="25814" xr:uid="{00000000-0005-0000-0000-000033A80000}"/>
    <cellStyle name="Normal 6 3 8 5" xfId="16245" xr:uid="{00000000-0005-0000-0000-000034A80000}"/>
    <cellStyle name="Normal 6 3 9" xfId="6676" xr:uid="{00000000-0005-0000-0000-000035A80000}"/>
    <cellStyle name="Normal 6 3 9 2" xfId="38417" xr:uid="{00000000-0005-0000-0000-000036A80000}"/>
    <cellStyle name="Normal 6 3 9 2 2" xfId="54517" xr:uid="{00000000-0005-0000-0000-000037A80000}"/>
    <cellStyle name="Normal 6 3 9 3" xfId="44950" xr:uid="{00000000-0005-0000-0000-000038A80000}"/>
    <cellStyle name="Normal 6 3 9 4" xfId="28850" xr:uid="{00000000-0005-0000-0000-000039A80000}"/>
    <cellStyle name="Normal 6 3 9 5" xfId="19281" xr:uid="{00000000-0005-0000-0000-00003AA80000}"/>
    <cellStyle name="Normal 6 4" xfId="76" xr:uid="{00000000-0005-0000-0000-00003BA80000}"/>
    <cellStyle name="Normal 6 4 10" xfId="3197" xr:uid="{00000000-0005-0000-0000-00003CA80000}"/>
    <cellStyle name="Normal 6 4 10 2" xfId="51039" xr:uid="{00000000-0005-0000-0000-00003DA80000}"/>
    <cellStyle name="Normal 6 4 10 3" xfId="34939" xr:uid="{00000000-0005-0000-0000-00003EA80000}"/>
    <cellStyle name="Normal 6 4 10 4" xfId="15803" xr:uid="{00000000-0005-0000-0000-00003FA80000}"/>
    <cellStyle name="Normal 6 4 11" xfId="41472" xr:uid="{00000000-0005-0000-0000-000040A80000}"/>
    <cellStyle name="Normal 6 4 12" xfId="25372" xr:uid="{00000000-0005-0000-0000-000041A80000}"/>
    <cellStyle name="Normal 6 4 13" xfId="12767" xr:uid="{00000000-0005-0000-0000-000042A80000}"/>
    <cellStyle name="Normal 6 4 2" xfId="257" xr:uid="{00000000-0005-0000-0000-000043A80000}"/>
    <cellStyle name="Normal 6 4 2 10" xfId="25609" xr:uid="{00000000-0005-0000-0000-000044A80000}"/>
    <cellStyle name="Normal 6 4 2 11" xfId="13086" xr:uid="{00000000-0005-0000-0000-000045A80000}"/>
    <cellStyle name="Normal 6 4 2 2" xfId="1037" xr:uid="{00000000-0005-0000-0000-000046A80000}"/>
    <cellStyle name="Normal 6 4 2 2 2" xfId="3065" xr:uid="{00000000-0005-0000-0000-000047A80000}"/>
    <cellStyle name="Normal 6 4 2 2 2 2" xfId="9597" xr:uid="{00000000-0005-0000-0000-000048A80000}"/>
    <cellStyle name="Normal 6 4 2 2 2 2 2" xfId="41338" xr:uid="{00000000-0005-0000-0000-000049A80000}"/>
    <cellStyle name="Normal 6 4 2 2 2 2 2 2" xfId="57438" xr:uid="{00000000-0005-0000-0000-00004AA80000}"/>
    <cellStyle name="Normal 6 4 2 2 2 2 3" xfId="47871" xr:uid="{00000000-0005-0000-0000-00004BA80000}"/>
    <cellStyle name="Normal 6 4 2 2 2 2 4" xfId="31771" xr:uid="{00000000-0005-0000-0000-00004CA80000}"/>
    <cellStyle name="Normal 6 4 2 2 2 2 5" xfId="22202" xr:uid="{00000000-0005-0000-0000-00004DA80000}"/>
    <cellStyle name="Normal 6 4 2 2 2 3" xfId="12633" xr:uid="{00000000-0005-0000-0000-00004EA80000}"/>
    <cellStyle name="Normal 6 4 2 2 2 3 2" xfId="50907" xr:uid="{00000000-0005-0000-0000-00004FA80000}"/>
    <cellStyle name="Normal 6 4 2 2 2 3 3" xfId="34807" xr:uid="{00000000-0005-0000-0000-000050A80000}"/>
    <cellStyle name="Normal 6 4 2 2 2 3 4" xfId="25238" xr:uid="{00000000-0005-0000-0000-000051A80000}"/>
    <cellStyle name="Normal 6 4 2 2 2 4" xfId="6561" xr:uid="{00000000-0005-0000-0000-000052A80000}"/>
    <cellStyle name="Normal 6 4 2 2 2 4 2" xfId="54402" xr:uid="{00000000-0005-0000-0000-000053A80000}"/>
    <cellStyle name="Normal 6 4 2 2 2 4 3" xfId="38302" xr:uid="{00000000-0005-0000-0000-000054A80000}"/>
    <cellStyle name="Normal 6 4 2 2 2 4 4" xfId="19166" xr:uid="{00000000-0005-0000-0000-000055A80000}"/>
    <cellStyle name="Normal 6 4 2 2 2 5" xfId="44835" xr:uid="{00000000-0005-0000-0000-000056A80000}"/>
    <cellStyle name="Normal 6 4 2 2 2 6" xfId="28735" xr:uid="{00000000-0005-0000-0000-000057A80000}"/>
    <cellStyle name="Normal 6 4 2 2 2 7" xfId="15671" xr:uid="{00000000-0005-0000-0000-000058A80000}"/>
    <cellStyle name="Normal 6 4 2 2 3" xfId="2047" xr:uid="{00000000-0005-0000-0000-000059A80000}"/>
    <cellStyle name="Normal 6 4 2 2 3 2" xfId="8581" xr:uid="{00000000-0005-0000-0000-00005AA80000}"/>
    <cellStyle name="Normal 6 4 2 2 3 2 2" xfId="40322" xr:uid="{00000000-0005-0000-0000-00005BA80000}"/>
    <cellStyle name="Normal 6 4 2 2 3 2 2 2" xfId="56422" xr:uid="{00000000-0005-0000-0000-00005CA80000}"/>
    <cellStyle name="Normal 6 4 2 2 3 2 3" xfId="46855" xr:uid="{00000000-0005-0000-0000-00005DA80000}"/>
    <cellStyle name="Normal 6 4 2 2 3 2 4" xfId="30755" xr:uid="{00000000-0005-0000-0000-00005EA80000}"/>
    <cellStyle name="Normal 6 4 2 2 3 2 5" xfId="21186" xr:uid="{00000000-0005-0000-0000-00005FA80000}"/>
    <cellStyle name="Normal 6 4 2 2 3 3" xfId="11617" xr:uid="{00000000-0005-0000-0000-000060A80000}"/>
    <cellStyle name="Normal 6 4 2 2 3 3 2" xfId="49891" xr:uid="{00000000-0005-0000-0000-000061A80000}"/>
    <cellStyle name="Normal 6 4 2 2 3 3 3" xfId="33791" xr:uid="{00000000-0005-0000-0000-000062A80000}"/>
    <cellStyle name="Normal 6 4 2 2 3 3 4" xfId="24222" xr:uid="{00000000-0005-0000-0000-000063A80000}"/>
    <cellStyle name="Normal 6 4 2 2 3 4" xfId="5545" xr:uid="{00000000-0005-0000-0000-000064A80000}"/>
    <cellStyle name="Normal 6 4 2 2 3 4 2" xfId="53386" xr:uid="{00000000-0005-0000-0000-000065A80000}"/>
    <cellStyle name="Normal 6 4 2 2 3 4 3" xfId="37286" xr:uid="{00000000-0005-0000-0000-000066A80000}"/>
    <cellStyle name="Normal 6 4 2 2 3 4 4" xfId="18150" xr:uid="{00000000-0005-0000-0000-000067A80000}"/>
    <cellStyle name="Normal 6 4 2 2 3 5" xfId="43819" xr:uid="{00000000-0005-0000-0000-000068A80000}"/>
    <cellStyle name="Normal 6 4 2 2 3 6" xfId="27719" xr:uid="{00000000-0005-0000-0000-000069A80000}"/>
    <cellStyle name="Normal 6 4 2 2 3 7" xfId="14655" xr:uid="{00000000-0005-0000-0000-00006AA80000}"/>
    <cellStyle name="Normal 6 4 2 2 4" xfId="7571" xr:uid="{00000000-0005-0000-0000-00006BA80000}"/>
    <cellStyle name="Normal 6 4 2 2 4 2" xfId="39312" xr:uid="{00000000-0005-0000-0000-00006CA80000}"/>
    <cellStyle name="Normal 6 4 2 2 4 2 2" xfId="55412" xr:uid="{00000000-0005-0000-0000-00006DA80000}"/>
    <cellStyle name="Normal 6 4 2 2 4 3" xfId="45845" xr:uid="{00000000-0005-0000-0000-00006EA80000}"/>
    <cellStyle name="Normal 6 4 2 2 4 4" xfId="29745" xr:uid="{00000000-0005-0000-0000-00006FA80000}"/>
    <cellStyle name="Normal 6 4 2 2 4 5" xfId="20176" xr:uid="{00000000-0005-0000-0000-000070A80000}"/>
    <cellStyle name="Normal 6 4 2 2 5" xfId="10607" xr:uid="{00000000-0005-0000-0000-000071A80000}"/>
    <cellStyle name="Normal 6 4 2 2 5 2" xfId="48881" xr:uid="{00000000-0005-0000-0000-000072A80000}"/>
    <cellStyle name="Normal 6 4 2 2 5 3" xfId="32781" xr:uid="{00000000-0005-0000-0000-000073A80000}"/>
    <cellStyle name="Normal 6 4 2 2 5 4" xfId="23212" xr:uid="{00000000-0005-0000-0000-000074A80000}"/>
    <cellStyle name="Normal 6 4 2 2 6" xfId="4535" xr:uid="{00000000-0005-0000-0000-000075A80000}"/>
    <cellStyle name="Normal 6 4 2 2 6 2" xfId="52376" xr:uid="{00000000-0005-0000-0000-000076A80000}"/>
    <cellStyle name="Normal 6 4 2 2 6 3" xfId="36276" xr:uid="{00000000-0005-0000-0000-000077A80000}"/>
    <cellStyle name="Normal 6 4 2 2 6 4" xfId="17140" xr:uid="{00000000-0005-0000-0000-000078A80000}"/>
    <cellStyle name="Normal 6 4 2 2 7" xfId="42809" xr:uid="{00000000-0005-0000-0000-000079A80000}"/>
    <cellStyle name="Normal 6 4 2 2 8" xfId="26709" xr:uid="{00000000-0005-0000-0000-00007AA80000}"/>
    <cellStyle name="Normal 6 4 2 2 9" xfId="13645" xr:uid="{00000000-0005-0000-0000-00007BA80000}"/>
    <cellStyle name="Normal 6 4 2 3" xfId="2276" xr:uid="{00000000-0005-0000-0000-00007CA80000}"/>
    <cellStyle name="Normal 6 4 2 3 2" xfId="8810" xr:uid="{00000000-0005-0000-0000-00007DA80000}"/>
    <cellStyle name="Normal 6 4 2 3 2 2" xfId="40551" xr:uid="{00000000-0005-0000-0000-00007EA80000}"/>
    <cellStyle name="Normal 6 4 2 3 2 2 2" xfId="56651" xr:uid="{00000000-0005-0000-0000-00007FA80000}"/>
    <cellStyle name="Normal 6 4 2 3 2 3" xfId="47084" xr:uid="{00000000-0005-0000-0000-000080A80000}"/>
    <cellStyle name="Normal 6 4 2 3 2 4" xfId="30984" xr:uid="{00000000-0005-0000-0000-000081A80000}"/>
    <cellStyle name="Normal 6 4 2 3 2 5" xfId="21415" xr:uid="{00000000-0005-0000-0000-000082A80000}"/>
    <cellStyle name="Normal 6 4 2 3 3" xfId="11846" xr:uid="{00000000-0005-0000-0000-000083A80000}"/>
    <cellStyle name="Normal 6 4 2 3 3 2" xfId="50120" xr:uid="{00000000-0005-0000-0000-000084A80000}"/>
    <cellStyle name="Normal 6 4 2 3 3 3" xfId="34020" xr:uid="{00000000-0005-0000-0000-000085A80000}"/>
    <cellStyle name="Normal 6 4 2 3 3 4" xfId="24451" xr:uid="{00000000-0005-0000-0000-000086A80000}"/>
    <cellStyle name="Normal 6 4 2 3 4" xfId="5774" xr:uid="{00000000-0005-0000-0000-000087A80000}"/>
    <cellStyle name="Normal 6 4 2 3 4 2" xfId="53615" xr:uid="{00000000-0005-0000-0000-000088A80000}"/>
    <cellStyle name="Normal 6 4 2 3 4 3" xfId="37515" xr:uid="{00000000-0005-0000-0000-000089A80000}"/>
    <cellStyle name="Normal 6 4 2 3 4 4" xfId="18379" xr:uid="{00000000-0005-0000-0000-00008AA80000}"/>
    <cellStyle name="Normal 6 4 2 3 5" xfId="44048" xr:uid="{00000000-0005-0000-0000-00008BA80000}"/>
    <cellStyle name="Normal 6 4 2 3 6" xfId="27948" xr:uid="{00000000-0005-0000-0000-00008CA80000}"/>
    <cellStyle name="Normal 6 4 2 3 7" xfId="14884" xr:uid="{00000000-0005-0000-0000-00008DA80000}"/>
    <cellStyle name="Normal 6 4 2 4" xfId="1488" xr:uid="{00000000-0005-0000-0000-00008EA80000}"/>
    <cellStyle name="Normal 6 4 2 4 2" xfId="8022" xr:uid="{00000000-0005-0000-0000-00008FA80000}"/>
    <cellStyle name="Normal 6 4 2 4 2 2" xfId="39763" xr:uid="{00000000-0005-0000-0000-000090A80000}"/>
    <cellStyle name="Normal 6 4 2 4 2 2 2" xfId="55863" xr:uid="{00000000-0005-0000-0000-000091A80000}"/>
    <cellStyle name="Normal 6 4 2 4 2 3" xfId="46296" xr:uid="{00000000-0005-0000-0000-000092A80000}"/>
    <cellStyle name="Normal 6 4 2 4 2 4" xfId="30196" xr:uid="{00000000-0005-0000-0000-000093A80000}"/>
    <cellStyle name="Normal 6 4 2 4 2 5" xfId="20627" xr:uid="{00000000-0005-0000-0000-000094A80000}"/>
    <cellStyle name="Normal 6 4 2 4 3" xfId="11058" xr:uid="{00000000-0005-0000-0000-000095A80000}"/>
    <cellStyle name="Normal 6 4 2 4 3 2" xfId="49332" xr:uid="{00000000-0005-0000-0000-000096A80000}"/>
    <cellStyle name="Normal 6 4 2 4 3 3" xfId="33232" xr:uid="{00000000-0005-0000-0000-000097A80000}"/>
    <cellStyle name="Normal 6 4 2 4 3 4" xfId="23663" xr:uid="{00000000-0005-0000-0000-000098A80000}"/>
    <cellStyle name="Normal 6 4 2 4 4" xfId="4986" xr:uid="{00000000-0005-0000-0000-000099A80000}"/>
    <cellStyle name="Normal 6 4 2 4 4 2" xfId="52827" xr:uid="{00000000-0005-0000-0000-00009AA80000}"/>
    <cellStyle name="Normal 6 4 2 4 4 3" xfId="36727" xr:uid="{00000000-0005-0000-0000-00009BA80000}"/>
    <cellStyle name="Normal 6 4 2 4 4 4" xfId="17591" xr:uid="{00000000-0005-0000-0000-00009CA80000}"/>
    <cellStyle name="Normal 6 4 2 4 5" xfId="43260" xr:uid="{00000000-0005-0000-0000-00009DA80000}"/>
    <cellStyle name="Normal 6 4 2 4 6" xfId="27160" xr:uid="{00000000-0005-0000-0000-00009EA80000}"/>
    <cellStyle name="Normal 6 4 2 4 7" xfId="14096" xr:uid="{00000000-0005-0000-0000-00009FA80000}"/>
    <cellStyle name="Normal 6 4 2 5" xfId="3976" xr:uid="{00000000-0005-0000-0000-0000A0A80000}"/>
    <cellStyle name="Normal 6 4 2 5 2" xfId="35717" xr:uid="{00000000-0005-0000-0000-0000A1A80000}"/>
    <cellStyle name="Normal 6 4 2 5 2 2" xfId="51817" xr:uid="{00000000-0005-0000-0000-0000A2A80000}"/>
    <cellStyle name="Normal 6 4 2 5 3" xfId="42250" xr:uid="{00000000-0005-0000-0000-0000A3A80000}"/>
    <cellStyle name="Normal 6 4 2 5 4" xfId="26150" xr:uid="{00000000-0005-0000-0000-0000A4A80000}"/>
    <cellStyle name="Normal 6 4 2 5 5" xfId="16581" xr:uid="{00000000-0005-0000-0000-0000A5A80000}"/>
    <cellStyle name="Normal 6 4 2 6" xfId="7012" xr:uid="{00000000-0005-0000-0000-0000A6A80000}"/>
    <cellStyle name="Normal 6 4 2 6 2" xfId="38753" xr:uid="{00000000-0005-0000-0000-0000A7A80000}"/>
    <cellStyle name="Normal 6 4 2 6 2 2" xfId="54853" xr:uid="{00000000-0005-0000-0000-0000A8A80000}"/>
    <cellStyle name="Normal 6 4 2 6 3" xfId="45286" xr:uid="{00000000-0005-0000-0000-0000A9A80000}"/>
    <cellStyle name="Normal 6 4 2 6 4" xfId="29186" xr:uid="{00000000-0005-0000-0000-0000AAA80000}"/>
    <cellStyle name="Normal 6 4 2 6 5" xfId="19617" xr:uid="{00000000-0005-0000-0000-0000ABA80000}"/>
    <cellStyle name="Normal 6 4 2 7" xfId="10048" xr:uid="{00000000-0005-0000-0000-0000ACA80000}"/>
    <cellStyle name="Normal 6 4 2 7 2" xfId="48322" xr:uid="{00000000-0005-0000-0000-0000ADA80000}"/>
    <cellStyle name="Normal 6 4 2 7 3" xfId="32222" xr:uid="{00000000-0005-0000-0000-0000AEA80000}"/>
    <cellStyle name="Normal 6 4 2 7 4" xfId="22653" xr:uid="{00000000-0005-0000-0000-0000AFA80000}"/>
    <cellStyle name="Normal 6 4 2 8" xfId="3435" xr:uid="{00000000-0005-0000-0000-0000B0A80000}"/>
    <cellStyle name="Normal 6 4 2 8 2" xfId="51276" xr:uid="{00000000-0005-0000-0000-0000B1A80000}"/>
    <cellStyle name="Normal 6 4 2 8 3" xfId="35176" xr:uid="{00000000-0005-0000-0000-0000B2A80000}"/>
    <cellStyle name="Normal 6 4 2 8 4" xfId="16040" xr:uid="{00000000-0005-0000-0000-0000B3A80000}"/>
    <cellStyle name="Normal 6 4 2 9" xfId="41709" xr:uid="{00000000-0005-0000-0000-0000B4A80000}"/>
    <cellStyle name="Normal 6 4 3" xfId="532" xr:uid="{00000000-0005-0000-0000-0000B5A80000}"/>
    <cellStyle name="Normal 6 4 3 2" xfId="2562" xr:uid="{00000000-0005-0000-0000-0000B6A80000}"/>
    <cellStyle name="Normal 6 4 3 2 2" xfId="9094" xr:uid="{00000000-0005-0000-0000-0000B7A80000}"/>
    <cellStyle name="Normal 6 4 3 2 2 2" xfId="40835" xr:uid="{00000000-0005-0000-0000-0000B8A80000}"/>
    <cellStyle name="Normal 6 4 3 2 2 2 2" xfId="56935" xr:uid="{00000000-0005-0000-0000-0000B9A80000}"/>
    <cellStyle name="Normal 6 4 3 2 2 3" xfId="47368" xr:uid="{00000000-0005-0000-0000-0000BAA80000}"/>
    <cellStyle name="Normal 6 4 3 2 2 4" xfId="31268" xr:uid="{00000000-0005-0000-0000-0000BBA80000}"/>
    <cellStyle name="Normal 6 4 3 2 2 5" xfId="21699" xr:uid="{00000000-0005-0000-0000-0000BCA80000}"/>
    <cellStyle name="Normal 6 4 3 2 3" xfId="12130" xr:uid="{00000000-0005-0000-0000-0000BDA80000}"/>
    <cellStyle name="Normal 6 4 3 2 3 2" xfId="50404" xr:uid="{00000000-0005-0000-0000-0000BEA80000}"/>
    <cellStyle name="Normal 6 4 3 2 3 3" xfId="34304" xr:uid="{00000000-0005-0000-0000-0000BFA80000}"/>
    <cellStyle name="Normal 6 4 3 2 3 4" xfId="24735" xr:uid="{00000000-0005-0000-0000-0000C0A80000}"/>
    <cellStyle name="Normal 6 4 3 2 4" xfId="6058" xr:uid="{00000000-0005-0000-0000-0000C1A80000}"/>
    <cellStyle name="Normal 6 4 3 2 4 2" xfId="53899" xr:uid="{00000000-0005-0000-0000-0000C2A80000}"/>
    <cellStyle name="Normal 6 4 3 2 4 3" xfId="37799" xr:uid="{00000000-0005-0000-0000-0000C3A80000}"/>
    <cellStyle name="Normal 6 4 3 2 4 4" xfId="18663" xr:uid="{00000000-0005-0000-0000-0000C4A80000}"/>
    <cellStyle name="Normal 6 4 3 2 5" xfId="44332" xr:uid="{00000000-0005-0000-0000-0000C5A80000}"/>
    <cellStyle name="Normal 6 4 3 2 6" xfId="28232" xr:uid="{00000000-0005-0000-0000-0000C6A80000}"/>
    <cellStyle name="Normal 6 4 3 2 7" xfId="15168" xr:uid="{00000000-0005-0000-0000-0000C7A80000}"/>
    <cellStyle name="Normal 6 4 3 3" xfId="1311" xr:uid="{00000000-0005-0000-0000-0000C8A80000}"/>
    <cellStyle name="Normal 6 4 3 3 2" xfId="7845" xr:uid="{00000000-0005-0000-0000-0000C9A80000}"/>
    <cellStyle name="Normal 6 4 3 3 2 2" xfId="39586" xr:uid="{00000000-0005-0000-0000-0000CAA80000}"/>
    <cellStyle name="Normal 6 4 3 3 2 2 2" xfId="55686" xr:uid="{00000000-0005-0000-0000-0000CBA80000}"/>
    <cellStyle name="Normal 6 4 3 3 2 3" xfId="46119" xr:uid="{00000000-0005-0000-0000-0000CCA80000}"/>
    <cellStyle name="Normal 6 4 3 3 2 4" xfId="30019" xr:uid="{00000000-0005-0000-0000-0000CDA80000}"/>
    <cellStyle name="Normal 6 4 3 3 2 5" xfId="20450" xr:uid="{00000000-0005-0000-0000-0000CEA80000}"/>
    <cellStyle name="Normal 6 4 3 3 3" xfId="10881" xr:uid="{00000000-0005-0000-0000-0000CFA80000}"/>
    <cellStyle name="Normal 6 4 3 3 3 2" xfId="49155" xr:uid="{00000000-0005-0000-0000-0000D0A80000}"/>
    <cellStyle name="Normal 6 4 3 3 3 3" xfId="33055" xr:uid="{00000000-0005-0000-0000-0000D1A80000}"/>
    <cellStyle name="Normal 6 4 3 3 3 4" xfId="23486" xr:uid="{00000000-0005-0000-0000-0000D2A80000}"/>
    <cellStyle name="Normal 6 4 3 3 4" xfId="4809" xr:uid="{00000000-0005-0000-0000-0000D3A80000}"/>
    <cellStyle name="Normal 6 4 3 3 4 2" xfId="52650" xr:uid="{00000000-0005-0000-0000-0000D4A80000}"/>
    <cellStyle name="Normal 6 4 3 3 4 3" xfId="36550" xr:uid="{00000000-0005-0000-0000-0000D5A80000}"/>
    <cellStyle name="Normal 6 4 3 3 4 4" xfId="17414" xr:uid="{00000000-0005-0000-0000-0000D6A80000}"/>
    <cellStyle name="Normal 6 4 3 3 5" xfId="43083" xr:uid="{00000000-0005-0000-0000-0000D7A80000}"/>
    <cellStyle name="Normal 6 4 3 3 6" xfId="26983" xr:uid="{00000000-0005-0000-0000-0000D8A80000}"/>
    <cellStyle name="Normal 6 4 3 3 7" xfId="13919" xr:uid="{00000000-0005-0000-0000-0000D9A80000}"/>
    <cellStyle name="Normal 6 4 3 4" xfId="6835" xr:uid="{00000000-0005-0000-0000-0000DAA80000}"/>
    <cellStyle name="Normal 6 4 3 4 2" xfId="38576" xr:uid="{00000000-0005-0000-0000-0000DBA80000}"/>
    <cellStyle name="Normal 6 4 3 4 2 2" xfId="54676" xr:uid="{00000000-0005-0000-0000-0000DCA80000}"/>
    <cellStyle name="Normal 6 4 3 4 3" xfId="45109" xr:uid="{00000000-0005-0000-0000-0000DDA80000}"/>
    <cellStyle name="Normal 6 4 3 4 4" xfId="29009" xr:uid="{00000000-0005-0000-0000-0000DEA80000}"/>
    <cellStyle name="Normal 6 4 3 4 5" xfId="19440" xr:uid="{00000000-0005-0000-0000-0000DFA80000}"/>
    <cellStyle name="Normal 6 4 3 5" xfId="9871" xr:uid="{00000000-0005-0000-0000-0000E0A80000}"/>
    <cellStyle name="Normal 6 4 3 5 2" xfId="48145" xr:uid="{00000000-0005-0000-0000-0000E1A80000}"/>
    <cellStyle name="Normal 6 4 3 5 3" xfId="32045" xr:uid="{00000000-0005-0000-0000-0000E2A80000}"/>
    <cellStyle name="Normal 6 4 3 5 4" xfId="22476" xr:uid="{00000000-0005-0000-0000-0000E3A80000}"/>
    <cellStyle name="Normal 6 4 3 6" xfId="3799" xr:uid="{00000000-0005-0000-0000-0000E4A80000}"/>
    <cellStyle name="Normal 6 4 3 6 2" xfId="51640" xr:uid="{00000000-0005-0000-0000-0000E5A80000}"/>
    <cellStyle name="Normal 6 4 3 6 3" xfId="35540" xr:uid="{00000000-0005-0000-0000-0000E6A80000}"/>
    <cellStyle name="Normal 6 4 3 6 4" xfId="16404" xr:uid="{00000000-0005-0000-0000-0000E7A80000}"/>
    <cellStyle name="Normal 6 4 3 7" xfId="42073" xr:uid="{00000000-0005-0000-0000-0000E8A80000}"/>
    <cellStyle name="Normal 6 4 3 8" xfId="25973" xr:uid="{00000000-0005-0000-0000-0000E9A80000}"/>
    <cellStyle name="Normal 6 4 3 9" xfId="12909" xr:uid="{00000000-0005-0000-0000-0000EAA80000}"/>
    <cellStyle name="Normal 6 4 4" xfId="842" xr:uid="{00000000-0005-0000-0000-0000EBA80000}"/>
    <cellStyle name="Normal 6 4 4 2" xfId="2870" xr:uid="{00000000-0005-0000-0000-0000ECA80000}"/>
    <cellStyle name="Normal 6 4 4 2 2" xfId="9402" xr:uid="{00000000-0005-0000-0000-0000EDA80000}"/>
    <cellStyle name="Normal 6 4 4 2 2 2" xfId="41143" xr:uid="{00000000-0005-0000-0000-0000EEA80000}"/>
    <cellStyle name="Normal 6 4 4 2 2 2 2" xfId="57243" xr:uid="{00000000-0005-0000-0000-0000EFA80000}"/>
    <cellStyle name="Normal 6 4 4 2 2 3" xfId="47676" xr:uid="{00000000-0005-0000-0000-0000F0A80000}"/>
    <cellStyle name="Normal 6 4 4 2 2 4" xfId="31576" xr:uid="{00000000-0005-0000-0000-0000F1A80000}"/>
    <cellStyle name="Normal 6 4 4 2 2 5" xfId="22007" xr:uid="{00000000-0005-0000-0000-0000F2A80000}"/>
    <cellStyle name="Normal 6 4 4 2 3" xfId="12438" xr:uid="{00000000-0005-0000-0000-0000F3A80000}"/>
    <cellStyle name="Normal 6 4 4 2 3 2" xfId="50712" xr:uid="{00000000-0005-0000-0000-0000F4A80000}"/>
    <cellStyle name="Normal 6 4 4 2 3 3" xfId="34612" xr:uid="{00000000-0005-0000-0000-0000F5A80000}"/>
    <cellStyle name="Normal 6 4 4 2 3 4" xfId="25043" xr:uid="{00000000-0005-0000-0000-0000F6A80000}"/>
    <cellStyle name="Normal 6 4 4 2 4" xfId="6366" xr:uid="{00000000-0005-0000-0000-0000F7A80000}"/>
    <cellStyle name="Normal 6 4 4 2 4 2" xfId="54207" xr:uid="{00000000-0005-0000-0000-0000F8A80000}"/>
    <cellStyle name="Normal 6 4 4 2 4 3" xfId="38107" xr:uid="{00000000-0005-0000-0000-0000F9A80000}"/>
    <cellStyle name="Normal 6 4 4 2 4 4" xfId="18971" xr:uid="{00000000-0005-0000-0000-0000FAA80000}"/>
    <cellStyle name="Normal 6 4 4 2 5" xfId="44640" xr:uid="{00000000-0005-0000-0000-0000FBA80000}"/>
    <cellStyle name="Normal 6 4 4 2 6" xfId="28540" xr:uid="{00000000-0005-0000-0000-0000FCA80000}"/>
    <cellStyle name="Normal 6 4 4 2 7" xfId="15476" xr:uid="{00000000-0005-0000-0000-0000FDA80000}"/>
    <cellStyle name="Normal 6 4 4 3" xfId="1852" xr:uid="{00000000-0005-0000-0000-0000FEA80000}"/>
    <cellStyle name="Normal 6 4 4 3 2" xfId="8386" xr:uid="{00000000-0005-0000-0000-0000FFA80000}"/>
    <cellStyle name="Normal 6 4 4 3 2 2" xfId="40127" xr:uid="{00000000-0005-0000-0000-000000A90000}"/>
    <cellStyle name="Normal 6 4 4 3 2 2 2" xfId="56227" xr:uid="{00000000-0005-0000-0000-000001A90000}"/>
    <cellStyle name="Normal 6 4 4 3 2 3" xfId="46660" xr:uid="{00000000-0005-0000-0000-000002A90000}"/>
    <cellStyle name="Normal 6 4 4 3 2 4" xfId="30560" xr:uid="{00000000-0005-0000-0000-000003A90000}"/>
    <cellStyle name="Normal 6 4 4 3 2 5" xfId="20991" xr:uid="{00000000-0005-0000-0000-000004A90000}"/>
    <cellStyle name="Normal 6 4 4 3 3" xfId="11422" xr:uid="{00000000-0005-0000-0000-000005A90000}"/>
    <cellStyle name="Normal 6 4 4 3 3 2" xfId="49696" xr:uid="{00000000-0005-0000-0000-000006A90000}"/>
    <cellStyle name="Normal 6 4 4 3 3 3" xfId="33596" xr:uid="{00000000-0005-0000-0000-000007A90000}"/>
    <cellStyle name="Normal 6 4 4 3 3 4" xfId="24027" xr:uid="{00000000-0005-0000-0000-000008A90000}"/>
    <cellStyle name="Normal 6 4 4 3 4" xfId="5350" xr:uid="{00000000-0005-0000-0000-000009A90000}"/>
    <cellStyle name="Normal 6 4 4 3 4 2" xfId="53191" xr:uid="{00000000-0005-0000-0000-00000AA90000}"/>
    <cellStyle name="Normal 6 4 4 3 4 3" xfId="37091" xr:uid="{00000000-0005-0000-0000-00000BA90000}"/>
    <cellStyle name="Normal 6 4 4 3 4 4" xfId="17955" xr:uid="{00000000-0005-0000-0000-00000CA90000}"/>
    <cellStyle name="Normal 6 4 4 3 5" xfId="43624" xr:uid="{00000000-0005-0000-0000-00000DA90000}"/>
    <cellStyle name="Normal 6 4 4 3 6" xfId="27524" xr:uid="{00000000-0005-0000-0000-00000EA90000}"/>
    <cellStyle name="Normal 6 4 4 3 7" xfId="14460" xr:uid="{00000000-0005-0000-0000-00000FA90000}"/>
    <cellStyle name="Normal 6 4 4 4" xfId="7376" xr:uid="{00000000-0005-0000-0000-000010A90000}"/>
    <cellStyle name="Normal 6 4 4 4 2" xfId="39117" xr:uid="{00000000-0005-0000-0000-000011A90000}"/>
    <cellStyle name="Normal 6 4 4 4 2 2" xfId="55217" xr:uid="{00000000-0005-0000-0000-000012A90000}"/>
    <cellStyle name="Normal 6 4 4 4 3" xfId="45650" xr:uid="{00000000-0005-0000-0000-000013A90000}"/>
    <cellStyle name="Normal 6 4 4 4 4" xfId="29550" xr:uid="{00000000-0005-0000-0000-000014A90000}"/>
    <cellStyle name="Normal 6 4 4 4 5" xfId="19981" xr:uid="{00000000-0005-0000-0000-000015A90000}"/>
    <cellStyle name="Normal 6 4 4 5" xfId="10412" xr:uid="{00000000-0005-0000-0000-000016A90000}"/>
    <cellStyle name="Normal 6 4 4 5 2" xfId="48686" xr:uid="{00000000-0005-0000-0000-000017A90000}"/>
    <cellStyle name="Normal 6 4 4 5 3" xfId="32586" xr:uid="{00000000-0005-0000-0000-000018A90000}"/>
    <cellStyle name="Normal 6 4 4 5 4" xfId="23017" xr:uid="{00000000-0005-0000-0000-000019A90000}"/>
    <cellStyle name="Normal 6 4 4 6" xfId="4340" xr:uid="{00000000-0005-0000-0000-00001AA90000}"/>
    <cellStyle name="Normal 6 4 4 6 2" xfId="52181" xr:uid="{00000000-0005-0000-0000-00001BA90000}"/>
    <cellStyle name="Normal 6 4 4 6 3" xfId="36081" xr:uid="{00000000-0005-0000-0000-00001CA90000}"/>
    <cellStyle name="Normal 6 4 4 6 4" xfId="16945" xr:uid="{00000000-0005-0000-0000-00001DA90000}"/>
    <cellStyle name="Normal 6 4 4 7" xfId="42614" xr:uid="{00000000-0005-0000-0000-00001EA90000}"/>
    <cellStyle name="Normal 6 4 4 8" xfId="26514" xr:uid="{00000000-0005-0000-0000-00001FA90000}"/>
    <cellStyle name="Normal 6 4 4 9" xfId="13450" xr:uid="{00000000-0005-0000-0000-000020A90000}"/>
    <cellStyle name="Normal 6 4 5" xfId="2099" xr:uid="{00000000-0005-0000-0000-000021A90000}"/>
    <cellStyle name="Normal 6 4 5 2" xfId="8633" xr:uid="{00000000-0005-0000-0000-000022A90000}"/>
    <cellStyle name="Normal 6 4 5 2 2" xfId="40374" xr:uid="{00000000-0005-0000-0000-000023A90000}"/>
    <cellStyle name="Normal 6 4 5 2 2 2" xfId="56474" xr:uid="{00000000-0005-0000-0000-000024A90000}"/>
    <cellStyle name="Normal 6 4 5 2 3" xfId="46907" xr:uid="{00000000-0005-0000-0000-000025A90000}"/>
    <cellStyle name="Normal 6 4 5 2 4" xfId="30807" xr:uid="{00000000-0005-0000-0000-000026A90000}"/>
    <cellStyle name="Normal 6 4 5 2 5" xfId="21238" xr:uid="{00000000-0005-0000-0000-000027A90000}"/>
    <cellStyle name="Normal 6 4 5 3" xfId="11669" xr:uid="{00000000-0005-0000-0000-000028A90000}"/>
    <cellStyle name="Normal 6 4 5 3 2" xfId="49943" xr:uid="{00000000-0005-0000-0000-000029A90000}"/>
    <cellStyle name="Normal 6 4 5 3 3" xfId="33843" xr:uid="{00000000-0005-0000-0000-00002AA90000}"/>
    <cellStyle name="Normal 6 4 5 3 4" xfId="24274" xr:uid="{00000000-0005-0000-0000-00002BA90000}"/>
    <cellStyle name="Normal 6 4 5 4" xfId="5597" xr:uid="{00000000-0005-0000-0000-00002CA90000}"/>
    <cellStyle name="Normal 6 4 5 4 2" xfId="53438" xr:uid="{00000000-0005-0000-0000-00002DA90000}"/>
    <cellStyle name="Normal 6 4 5 4 3" xfId="37338" xr:uid="{00000000-0005-0000-0000-00002EA90000}"/>
    <cellStyle name="Normal 6 4 5 4 4" xfId="18202" xr:uid="{00000000-0005-0000-0000-00002FA90000}"/>
    <cellStyle name="Normal 6 4 5 5" xfId="43871" xr:uid="{00000000-0005-0000-0000-000030A90000}"/>
    <cellStyle name="Normal 6 4 5 6" xfId="27771" xr:uid="{00000000-0005-0000-0000-000031A90000}"/>
    <cellStyle name="Normal 6 4 5 7" xfId="14707" xr:uid="{00000000-0005-0000-0000-000032A90000}"/>
    <cellStyle name="Normal 6 4 6" xfId="1169" xr:uid="{00000000-0005-0000-0000-000033A90000}"/>
    <cellStyle name="Normal 6 4 6 2" xfId="7703" xr:uid="{00000000-0005-0000-0000-000034A90000}"/>
    <cellStyle name="Normal 6 4 6 2 2" xfId="39444" xr:uid="{00000000-0005-0000-0000-000035A90000}"/>
    <cellStyle name="Normal 6 4 6 2 2 2" xfId="55544" xr:uid="{00000000-0005-0000-0000-000036A90000}"/>
    <cellStyle name="Normal 6 4 6 2 3" xfId="45977" xr:uid="{00000000-0005-0000-0000-000037A90000}"/>
    <cellStyle name="Normal 6 4 6 2 4" xfId="29877" xr:uid="{00000000-0005-0000-0000-000038A90000}"/>
    <cellStyle name="Normal 6 4 6 2 5" xfId="20308" xr:uid="{00000000-0005-0000-0000-000039A90000}"/>
    <cellStyle name="Normal 6 4 6 3" xfId="10739" xr:uid="{00000000-0005-0000-0000-00003AA90000}"/>
    <cellStyle name="Normal 6 4 6 3 2" xfId="49013" xr:uid="{00000000-0005-0000-0000-00003BA90000}"/>
    <cellStyle name="Normal 6 4 6 3 3" xfId="32913" xr:uid="{00000000-0005-0000-0000-00003CA90000}"/>
    <cellStyle name="Normal 6 4 6 3 4" xfId="23344" xr:uid="{00000000-0005-0000-0000-00003DA90000}"/>
    <cellStyle name="Normal 6 4 6 4" xfId="4667" xr:uid="{00000000-0005-0000-0000-00003EA90000}"/>
    <cellStyle name="Normal 6 4 6 4 2" xfId="52508" xr:uid="{00000000-0005-0000-0000-00003FA90000}"/>
    <cellStyle name="Normal 6 4 6 4 3" xfId="36408" xr:uid="{00000000-0005-0000-0000-000040A90000}"/>
    <cellStyle name="Normal 6 4 6 4 4" xfId="17272" xr:uid="{00000000-0005-0000-0000-000041A90000}"/>
    <cellStyle name="Normal 6 4 6 5" xfId="42941" xr:uid="{00000000-0005-0000-0000-000042A90000}"/>
    <cellStyle name="Normal 6 4 6 6" xfId="26841" xr:uid="{00000000-0005-0000-0000-000043A90000}"/>
    <cellStyle name="Normal 6 4 6 7" xfId="13777" xr:uid="{00000000-0005-0000-0000-000044A90000}"/>
    <cellStyle name="Normal 6 4 7" xfId="3657" xr:uid="{00000000-0005-0000-0000-000045A90000}"/>
    <cellStyle name="Normal 6 4 7 2" xfId="35398" xr:uid="{00000000-0005-0000-0000-000046A90000}"/>
    <cellStyle name="Normal 6 4 7 2 2" xfId="51498" xr:uid="{00000000-0005-0000-0000-000047A90000}"/>
    <cellStyle name="Normal 6 4 7 3" xfId="41931" xr:uid="{00000000-0005-0000-0000-000048A90000}"/>
    <cellStyle name="Normal 6 4 7 4" xfId="25831" xr:uid="{00000000-0005-0000-0000-000049A90000}"/>
    <cellStyle name="Normal 6 4 7 5" xfId="16262" xr:uid="{00000000-0005-0000-0000-00004AA90000}"/>
    <cellStyle name="Normal 6 4 8" xfId="6693" xr:uid="{00000000-0005-0000-0000-00004BA90000}"/>
    <cellStyle name="Normal 6 4 8 2" xfId="38434" xr:uid="{00000000-0005-0000-0000-00004CA90000}"/>
    <cellStyle name="Normal 6 4 8 2 2" xfId="54534" xr:uid="{00000000-0005-0000-0000-00004DA90000}"/>
    <cellStyle name="Normal 6 4 8 3" xfId="44967" xr:uid="{00000000-0005-0000-0000-00004EA90000}"/>
    <cellStyle name="Normal 6 4 8 4" xfId="28867" xr:uid="{00000000-0005-0000-0000-00004FA90000}"/>
    <cellStyle name="Normal 6 4 8 5" xfId="19298" xr:uid="{00000000-0005-0000-0000-000050A90000}"/>
    <cellStyle name="Normal 6 4 9" xfId="9729" xr:uid="{00000000-0005-0000-0000-000051A90000}"/>
    <cellStyle name="Normal 6 4 9 2" xfId="48003" xr:uid="{00000000-0005-0000-0000-000052A90000}"/>
    <cellStyle name="Normal 6 4 9 3" xfId="31903" xr:uid="{00000000-0005-0000-0000-000053A90000}"/>
    <cellStyle name="Normal 6 4 9 4" xfId="22334" xr:uid="{00000000-0005-0000-0000-000054A90000}"/>
    <cellStyle name="Normal 6 5" xfId="151" xr:uid="{00000000-0005-0000-0000-000055A90000}"/>
    <cellStyle name="Normal 6 5 10" xfId="3214" xr:uid="{00000000-0005-0000-0000-000056A90000}"/>
    <cellStyle name="Normal 6 5 10 2" xfId="51056" xr:uid="{00000000-0005-0000-0000-000057A90000}"/>
    <cellStyle name="Normal 6 5 10 3" xfId="34956" xr:uid="{00000000-0005-0000-0000-000058A90000}"/>
    <cellStyle name="Normal 6 5 10 4" xfId="15820" xr:uid="{00000000-0005-0000-0000-000059A90000}"/>
    <cellStyle name="Normal 6 5 11" xfId="41489" xr:uid="{00000000-0005-0000-0000-00005AA90000}"/>
    <cellStyle name="Normal 6 5 12" xfId="25389" xr:uid="{00000000-0005-0000-0000-00005BA90000}"/>
    <cellStyle name="Normal 6 5 13" xfId="12784" xr:uid="{00000000-0005-0000-0000-00005CA90000}"/>
    <cellStyle name="Normal 6 5 2" xfId="328" xr:uid="{00000000-0005-0000-0000-00005DA90000}"/>
    <cellStyle name="Normal 6 5 2 10" xfId="13157" xr:uid="{00000000-0005-0000-0000-00005EA90000}"/>
    <cellStyle name="Normal 6 5 2 2" xfId="2347" xr:uid="{00000000-0005-0000-0000-00005FA90000}"/>
    <cellStyle name="Normal 6 5 2 2 2" xfId="8881" xr:uid="{00000000-0005-0000-0000-000060A90000}"/>
    <cellStyle name="Normal 6 5 2 2 2 2" xfId="40622" xr:uid="{00000000-0005-0000-0000-000061A90000}"/>
    <cellStyle name="Normal 6 5 2 2 2 2 2" xfId="56722" xr:uid="{00000000-0005-0000-0000-000062A90000}"/>
    <cellStyle name="Normal 6 5 2 2 2 3" xfId="47155" xr:uid="{00000000-0005-0000-0000-000063A90000}"/>
    <cellStyle name="Normal 6 5 2 2 2 4" xfId="31055" xr:uid="{00000000-0005-0000-0000-000064A90000}"/>
    <cellStyle name="Normal 6 5 2 2 2 5" xfId="21486" xr:uid="{00000000-0005-0000-0000-000065A90000}"/>
    <cellStyle name="Normal 6 5 2 2 3" xfId="11917" xr:uid="{00000000-0005-0000-0000-000066A90000}"/>
    <cellStyle name="Normal 6 5 2 2 3 2" xfId="50191" xr:uid="{00000000-0005-0000-0000-000067A90000}"/>
    <cellStyle name="Normal 6 5 2 2 3 3" xfId="34091" xr:uid="{00000000-0005-0000-0000-000068A90000}"/>
    <cellStyle name="Normal 6 5 2 2 3 4" xfId="24522" xr:uid="{00000000-0005-0000-0000-000069A90000}"/>
    <cellStyle name="Normal 6 5 2 2 4" xfId="5845" xr:uid="{00000000-0005-0000-0000-00006AA90000}"/>
    <cellStyle name="Normal 6 5 2 2 4 2" xfId="53686" xr:uid="{00000000-0005-0000-0000-00006BA90000}"/>
    <cellStyle name="Normal 6 5 2 2 4 3" xfId="37586" xr:uid="{00000000-0005-0000-0000-00006CA90000}"/>
    <cellStyle name="Normal 6 5 2 2 4 4" xfId="18450" xr:uid="{00000000-0005-0000-0000-00006DA90000}"/>
    <cellStyle name="Normal 6 5 2 2 5" xfId="44119" xr:uid="{00000000-0005-0000-0000-00006EA90000}"/>
    <cellStyle name="Normal 6 5 2 2 6" xfId="28019" xr:uid="{00000000-0005-0000-0000-00006FA90000}"/>
    <cellStyle name="Normal 6 5 2 2 7" xfId="14955" xr:uid="{00000000-0005-0000-0000-000070A90000}"/>
    <cellStyle name="Normal 6 5 2 3" xfId="1559" xr:uid="{00000000-0005-0000-0000-000071A90000}"/>
    <cellStyle name="Normal 6 5 2 3 2" xfId="8093" xr:uid="{00000000-0005-0000-0000-000072A90000}"/>
    <cellStyle name="Normal 6 5 2 3 2 2" xfId="39834" xr:uid="{00000000-0005-0000-0000-000073A90000}"/>
    <cellStyle name="Normal 6 5 2 3 2 2 2" xfId="55934" xr:uid="{00000000-0005-0000-0000-000074A90000}"/>
    <cellStyle name="Normal 6 5 2 3 2 3" xfId="46367" xr:uid="{00000000-0005-0000-0000-000075A90000}"/>
    <cellStyle name="Normal 6 5 2 3 2 4" xfId="30267" xr:uid="{00000000-0005-0000-0000-000076A90000}"/>
    <cellStyle name="Normal 6 5 2 3 2 5" xfId="20698" xr:uid="{00000000-0005-0000-0000-000077A90000}"/>
    <cellStyle name="Normal 6 5 2 3 3" xfId="11129" xr:uid="{00000000-0005-0000-0000-000078A90000}"/>
    <cellStyle name="Normal 6 5 2 3 3 2" xfId="49403" xr:uid="{00000000-0005-0000-0000-000079A90000}"/>
    <cellStyle name="Normal 6 5 2 3 3 3" xfId="33303" xr:uid="{00000000-0005-0000-0000-00007AA90000}"/>
    <cellStyle name="Normal 6 5 2 3 3 4" xfId="23734" xr:uid="{00000000-0005-0000-0000-00007BA90000}"/>
    <cellStyle name="Normal 6 5 2 3 4" xfId="5057" xr:uid="{00000000-0005-0000-0000-00007CA90000}"/>
    <cellStyle name="Normal 6 5 2 3 4 2" xfId="52898" xr:uid="{00000000-0005-0000-0000-00007DA90000}"/>
    <cellStyle name="Normal 6 5 2 3 4 3" xfId="36798" xr:uid="{00000000-0005-0000-0000-00007EA90000}"/>
    <cellStyle name="Normal 6 5 2 3 4 4" xfId="17662" xr:uid="{00000000-0005-0000-0000-00007FA90000}"/>
    <cellStyle name="Normal 6 5 2 3 5" xfId="43331" xr:uid="{00000000-0005-0000-0000-000080A90000}"/>
    <cellStyle name="Normal 6 5 2 3 6" xfId="27231" xr:uid="{00000000-0005-0000-0000-000081A90000}"/>
    <cellStyle name="Normal 6 5 2 3 7" xfId="14167" xr:uid="{00000000-0005-0000-0000-000082A90000}"/>
    <cellStyle name="Normal 6 5 2 4" xfId="4047" xr:uid="{00000000-0005-0000-0000-000083A90000}"/>
    <cellStyle name="Normal 6 5 2 4 2" xfId="35788" xr:uid="{00000000-0005-0000-0000-000084A90000}"/>
    <cellStyle name="Normal 6 5 2 4 2 2" xfId="51888" xr:uid="{00000000-0005-0000-0000-000085A90000}"/>
    <cellStyle name="Normal 6 5 2 4 3" xfId="42321" xr:uid="{00000000-0005-0000-0000-000086A90000}"/>
    <cellStyle name="Normal 6 5 2 4 4" xfId="26221" xr:uid="{00000000-0005-0000-0000-000087A90000}"/>
    <cellStyle name="Normal 6 5 2 4 5" xfId="16652" xr:uid="{00000000-0005-0000-0000-000088A90000}"/>
    <cellStyle name="Normal 6 5 2 5" xfId="7083" xr:uid="{00000000-0005-0000-0000-000089A90000}"/>
    <cellStyle name="Normal 6 5 2 5 2" xfId="38824" xr:uid="{00000000-0005-0000-0000-00008AA90000}"/>
    <cellStyle name="Normal 6 5 2 5 2 2" xfId="54924" xr:uid="{00000000-0005-0000-0000-00008BA90000}"/>
    <cellStyle name="Normal 6 5 2 5 3" xfId="45357" xr:uid="{00000000-0005-0000-0000-00008CA90000}"/>
    <cellStyle name="Normal 6 5 2 5 4" xfId="29257" xr:uid="{00000000-0005-0000-0000-00008DA90000}"/>
    <cellStyle name="Normal 6 5 2 5 5" xfId="19688" xr:uid="{00000000-0005-0000-0000-00008EA90000}"/>
    <cellStyle name="Normal 6 5 2 6" xfId="10119" xr:uid="{00000000-0005-0000-0000-00008FA90000}"/>
    <cellStyle name="Normal 6 5 2 6 2" xfId="48393" xr:uid="{00000000-0005-0000-0000-000090A90000}"/>
    <cellStyle name="Normal 6 5 2 6 3" xfId="32293" xr:uid="{00000000-0005-0000-0000-000091A90000}"/>
    <cellStyle name="Normal 6 5 2 6 4" xfId="22724" xr:uid="{00000000-0005-0000-0000-000092A90000}"/>
    <cellStyle name="Normal 6 5 2 7" xfId="3452" xr:uid="{00000000-0005-0000-0000-000093A90000}"/>
    <cellStyle name="Normal 6 5 2 7 2" xfId="51293" xr:uid="{00000000-0005-0000-0000-000094A90000}"/>
    <cellStyle name="Normal 6 5 2 7 3" xfId="35193" xr:uid="{00000000-0005-0000-0000-000095A90000}"/>
    <cellStyle name="Normal 6 5 2 7 4" xfId="16057" xr:uid="{00000000-0005-0000-0000-000096A90000}"/>
    <cellStyle name="Normal 6 5 2 8" xfId="41726" xr:uid="{00000000-0005-0000-0000-000097A90000}"/>
    <cellStyle name="Normal 6 5 2 9" xfId="25626" xr:uid="{00000000-0005-0000-0000-000098A90000}"/>
    <cellStyle name="Normal 6 5 3" xfId="586" xr:uid="{00000000-0005-0000-0000-000099A90000}"/>
    <cellStyle name="Normal 6 5 3 2" xfId="2614" xr:uid="{00000000-0005-0000-0000-00009AA90000}"/>
    <cellStyle name="Normal 6 5 3 2 2" xfId="9146" xr:uid="{00000000-0005-0000-0000-00009BA90000}"/>
    <cellStyle name="Normal 6 5 3 2 2 2" xfId="40887" xr:uid="{00000000-0005-0000-0000-00009CA90000}"/>
    <cellStyle name="Normal 6 5 3 2 2 2 2" xfId="56987" xr:uid="{00000000-0005-0000-0000-00009DA90000}"/>
    <cellStyle name="Normal 6 5 3 2 2 3" xfId="47420" xr:uid="{00000000-0005-0000-0000-00009EA90000}"/>
    <cellStyle name="Normal 6 5 3 2 2 4" xfId="31320" xr:uid="{00000000-0005-0000-0000-00009FA90000}"/>
    <cellStyle name="Normal 6 5 3 2 2 5" xfId="21751" xr:uid="{00000000-0005-0000-0000-0000A0A90000}"/>
    <cellStyle name="Normal 6 5 3 2 3" xfId="12182" xr:uid="{00000000-0005-0000-0000-0000A1A90000}"/>
    <cellStyle name="Normal 6 5 3 2 3 2" xfId="50456" xr:uid="{00000000-0005-0000-0000-0000A2A90000}"/>
    <cellStyle name="Normal 6 5 3 2 3 3" xfId="34356" xr:uid="{00000000-0005-0000-0000-0000A3A90000}"/>
    <cellStyle name="Normal 6 5 3 2 3 4" xfId="24787" xr:uid="{00000000-0005-0000-0000-0000A4A90000}"/>
    <cellStyle name="Normal 6 5 3 2 4" xfId="6110" xr:uid="{00000000-0005-0000-0000-0000A5A90000}"/>
    <cellStyle name="Normal 6 5 3 2 4 2" xfId="53951" xr:uid="{00000000-0005-0000-0000-0000A6A90000}"/>
    <cellStyle name="Normal 6 5 3 2 4 3" xfId="37851" xr:uid="{00000000-0005-0000-0000-0000A7A90000}"/>
    <cellStyle name="Normal 6 5 3 2 4 4" xfId="18715" xr:uid="{00000000-0005-0000-0000-0000A8A90000}"/>
    <cellStyle name="Normal 6 5 3 2 5" xfId="44384" xr:uid="{00000000-0005-0000-0000-0000A9A90000}"/>
    <cellStyle name="Normal 6 5 3 2 6" xfId="28284" xr:uid="{00000000-0005-0000-0000-0000AAA90000}"/>
    <cellStyle name="Normal 6 5 3 2 7" xfId="15220" xr:uid="{00000000-0005-0000-0000-0000ABA90000}"/>
    <cellStyle name="Normal 6 5 3 3" xfId="1382" xr:uid="{00000000-0005-0000-0000-0000ACA90000}"/>
    <cellStyle name="Normal 6 5 3 3 2" xfId="7916" xr:uid="{00000000-0005-0000-0000-0000ADA90000}"/>
    <cellStyle name="Normal 6 5 3 3 2 2" xfId="39657" xr:uid="{00000000-0005-0000-0000-0000AEA90000}"/>
    <cellStyle name="Normal 6 5 3 3 2 2 2" xfId="55757" xr:uid="{00000000-0005-0000-0000-0000AFA90000}"/>
    <cellStyle name="Normal 6 5 3 3 2 3" xfId="46190" xr:uid="{00000000-0005-0000-0000-0000B0A90000}"/>
    <cellStyle name="Normal 6 5 3 3 2 4" xfId="30090" xr:uid="{00000000-0005-0000-0000-0000B1A90000}"/>
    <cellStyle name="Normal 6 5 3 3 2 5" xfId="20521" xr:uid="{00000000-0005-0000-0000-0000B2A90000}"/>
    <cellStyle name="Normal 6 5 3 3 3" xfId="10952" xr:uid="{00000000-0005-0000-0000-0000B3A90000}"/>
    <cellStyle name="Normal 6 5 3 3 3 2" xfId="49226" xr:uid="{00000000-0005-0000-0000-0000B4A90000}"/>
    <cellStyle name="Normal 6 5 3 3 3 3" xfId="33126" xr:uid="{00000000-0005-0000-0000-0000B5A90000}"/>
    <cellStyle name="Normal 6 5 3 3 3 4" xfId="23557" xr:uid="{00000000-0005-0000-0000-0000B6A90000}"/>
    <cellStyle name="Normal 6 5 3 3 4" xfId="4880" xr:uid="{00000000-0005-0000-0000-0000B7A90000}"/>
    <cellStyle name="Normal 6 5 3 3 4 2" xfId="52721" xr:uid="{00000000-0005-0000-0000-0000B8A90000}"/>
    <cellStyle name="Normal 6 5 3 3 4 3" xfId="36621" xr:uid="{00000000-0005-0000-0000-0000B9A90000}"/>
    <cellStyle name="Normal 6 5 3 3 4 4" xfId="17485" xr:uid="{00000000-0005-0000-0000-0000BAA90000}"/>
    <cellStyle name="Normal 6 5 3 3 5" xfId="43154" xr:uid="{00000000-0005-0000-0000-0000BBA90000}"/>
    <cellStyle name="Normal 6 5 3 3 6" xfId="27054" xr:uid="{00000000-0005-0000-0000-0000BCA90000}"/>
    <cellStyle name="Normal 6 5 3 3 7" xfId="13990" xr:uid="{00000000-0005-0000-0000-0000BDA90000}"/>
    <cellStyle name="Normal 6 5 3 4" xfId="6906" xr:uid="{00000000-0005-0000-0000-0000BEA90000}"/>
    <cellStyle name="Normal 6 5 3 4 2" xfId="38647" xr:uid="{00000000-0005-0000-0000-0000BFA90000}"/>
    <cellStyle name="Normal 6 5 3 4 2 2" xfId="54747" xr:uid="{00000000-0005-0000-0000-0000C0A90000}"/>
    <cellStyle name="Normal 6 5 3 4 3" xfId="45180" xr:uid="{00000000-0005-0000-0000-0000C1A90000}"/>
    <cellStyle name="Normal 6 5 3 4 4" xfId="29080" xr:uid="{00000000-0005-0000-0000-0000C2A90000}"/>
    <cellStyle name="Normal 6 5 3 4 5" xfId="19511" xr:uid="{00000000-0005-0000-0000-0000C3A90000}"/>
    <cellStyle name="Normal 6 5 3 5" xfId="9942" xr:uid="{00000000-0005-0000-0000-0000C4A90000}"/>
    <cellStyle name="Normal 6 5 3 5 2" xfId="48216" xr:uid="{00000000-0005-0000-0000-0000C5A90000}"/>
    <cellStyle name="Normal 6 5 3 5 3" xfId="32116" xr:uid="{00000000-0005-0000-0000-0000C6A90000}"/>
    <cellStyle name="Normal 6 5 3 5 4" xfId="22547" xr:uid="{00000000-0005-0000-0000-0000C7A90000}"/>
    <cellStyle name="Normal 6 5 3 6" xfId="3870" xr:uid="{00000000-0005-0000-0000-0000C8A90000}"/>
    <cellStyle name="Normal 6 5 3 6 2" xfId="51711" xr:uid="{00000000-0005-0000-0000-0000C9A90000}"/>
    <cellStyle name="Normal 6 5 3 6 3" xfId="35611" xr:uid="{00000000-0005-0000-0000-0000CAA90000}"/>
    <cellStyle name="Normal 6 5 3 6 4" xfId="16475" xr:uid="{00000000-0005-0000-0000-0000CBA90000}"/>
    <cellStyle name="Normal 6 5 3 7" xfId="42144" xr:uid="{00000000-0005-0000-0000-0000CCA90000}"/>
    <cellStyle name="Normal 6 5 3 8" xfId="26044" xr:uid="{00000000-0005-0000-0000-0000CDA90000}"/>
    <cellStyle name="Normal 6 5 3 9" xfId="12980" xr:uid="{00000000-0005-0000-0000-0000CEA90000}"/>
    <cellStyle name="Normal 6 5 4" xfId="859" xr:uid="{00000000-0005-0000-0000-0000CFA90000}"/>
    <cellStyle name="Normal 6 5 4 2" xfId="2887" xr:uid="{00000000-0005-0000-0000-0000D0A90000}"/>
    <cellStyle name="Normal 6 5 4 2 2" xfId="9419" xr:uid="{00000000-0005-0000-0000-0000D1A90000}"/>
    <cellStyle name="Normal 6 5 4 2 2 2" xfId="41160" xr:uid="{00000000-0005-0000-0000-0000D2A90000}"/>
    <cellStyle name="Normal 6 5 4 2 2 2 2" xfId="57260" xr:uid="{00000000-0005-0000-0000-0000D3A90000}"/>
    <cellStyle name="Normal 6 5 4 2 2 3" xfId="47693" xr:uid="{00000000-0005-0000-0000-0000D4A90000}"/>
    <cellStyle name="Normal 6 5 4 2 2 4" xfId="31593" xr:uid="{00000000-0005-0000-0000-0000D5A90000}"/>
    <cellStyle name="Normal 6 5 4 2 2 5" xfId="22024" xr:uid="{00000000-0005-0000-0000-0000D6A90000}"/>
    <cellStyle name="Normal 6 5 4 2 3" xfId="12455" xr:uid="{00000000-0005-0000-0000-0000D7A90000}"/>
    <cellStyle name="Normal 6 5 4 2 3 2" xfId="50729" xr:uid="{00000000-0005-0000-0000-0000D8A90000}"/>
    <cellStyle name="Normal 6 5 4 2 3 3" xfId="34629" xr:uid="{00000000-0005-0000-0000-0000D9A90000}"/>
    <cellStyle name="Normal 6 5 4 2 3 4" xfId="25060" xr:uid="{00000000-0005-0000-0000-0000DAA90000}"/>
    <cellStyle name="Normal 6 5 4 2 4" xfId="6383" xr:uid="{00000000-0005-0000-0000-0000DBA90000}"/>
    <cellStyle name="Normal 6 5 4 2 4 2" xfId="54224" xr:uid="{00000000-0005-0000-0000-0000DCA90000}"/>
    <cellStyle name="Normal 6 5 4 2 4 3" xfId="38124" xr:uid="{00000000-0005-0000-0000-0000DDA90000}"/>
    <cellStyle name="Normal 6 5 4 2 4 4" xfId="18988" xr:uid="{00000000-0005-0000-0000-0000DEA90000}"/>
    <cellStyle name="Normal 6 5 4 2 5" xfId="44657" xr:uid="{00000000-0005-0000-0000-0000DFA90000}"/>
    <cellStyle name="Normal 6 5 4 2 6" xfId="28557" xr:uid="{00000000-0005-0000-0000-0000E0A90000}"/>
    <cellStyle name="Normal 6 5 4 2 7" xfId="15493" xr:uid="{00000000-0005-0000-0000-0000E1A90000}"/>
    <cellStyle name="Normal 6 5 4 3" xfId="1869" xr:uid="{00000000-0005-0000-0000-0000E2A90000}"/>
    <cellStyle name="Normal 6 5 4 3 2" xfId="8403" xr:uid="{00000000-0005-0000-0000-0000E3A90000}"/>
    <cellStyle name="Normal 6 5 4 3 2 2" xfId="40144" xr:uid="{00000000-0005-0000-0000-0000E4A90000}"/>
    <cellStyle name="Normal 6 5 4 3 2 2 2" xfId="56244" xr:uid="{00000000-0005-0000-0000-0000E5A90000}"/>
    <cellStyle name="Normal 6 5 4 3 2 3" xfId="46677" xr:uid="{00000000-0005-0000-0000-0000E6A90000}"/>
    <cellStyle name="Normal 6 5 4 3 2 4" xfId="30577" xr:uid="{00000000-0005-0000-0000-0000E7A90000}"/>
    <cellStyle name="Normal 6 5 4 3 2 5" xfId="21008" xr:uid="{00000000-0005-0000-0000-0000E8A90000}"/>
    <cellStyle name="Normal 6 5 4 3 3" xfId="11439" xr:uid="{00000000-0005-0000-0000-0000E9A90000}"/>
    <cellStyle name="Normal 6 5 4 3 3 2" xfId="49713" xr:uid="{00000000-0005-0000-0000-0000EAA90000}"/>
    <cellStyle name="Normal 6 5 4 3 3 3" xfId="33613" xr:uid="{00000000-0005-0000-0000-0000EBA90000}"/>
    <cellStyle name="Normal 6 5 4 3 3 4" xfId="24044" xr:uid="{00000000-0005-0000-0000-0000ECA90000}"/>
    <cellStyle name="Normal 6 5 4 3 4" xfId="5367" xr:uid="{00000000-0005-0000-0000-0000EDA90000}"/>
    <cellStyle name="Normal 6 5 4 3 4 2" xfId="53208" xr:uid="{00000000-0005-0000-0000-0000EEA90000}"/>
    <cellStyle name="Normal 6 5 4 3 4 3" xfId="37108" xr:uid="{00000000-0005-0000-0000-0000EFA90000}"/>
    <cellStyle name="Normal 6 5 4 3 4 4" xfId="17972" xr:uid="{00000000-0005-0000-0000-0000F0A90000}"/>
    <cellStyle name="Normal 6 5 4 3 5" xfId="43641" xr:uid="{00000000-0005-0000-0000-0000F1A90000}"/>
    <cellStyle name="Normal 6 5 4 3 6" xfId="27541" xr:uid="{00000000-0005-0000-0000-0000F2A90000}"/>
    <cellStyle name="Normal 6 5 4 3 7" xfId="14477" xr:uid="{00000000-0005-0000-0000-0000F3A90000}"/>
    <cellStyle name="Normal 6 5 4 4" xfId="7393" xr:uid="{00000000-0005-0000-0000-0000F4A90000}"/>
    <cellStyle name="Normal 6 5 4 4 2" xfId="39134" xr:uid="{00000000-0005-0000-0000-0000F5A90000}"/>
    <cellStyle name="Normal 6 5 4 4 2 2" xfId="55234" xr:uid="{00000000-0005-0000-0000-0000F6A90000}"/>
    <cellStyle name="Normal 6 5 4 4 3" xfId="45667" xr:uid="{00000000-0005-0000-0000-0000F7A90000}"/>
    <cellStyle name="Normal 6 5 4 4 4" xfId="29567" xr:uid="{00000000-0005-0000-0000-0000F8A90000}"/>
    <cellStyle name="Normal 6 5 4 4 5" xfId="19998" xr:uid="{00000000-0005-0000-0000-0000F9A90000}"/>
    <cellStyle name="Normal 6 5 4 5" xfId="10429" xr:uid="{00000000-0005-0000-0000-0000FAA90000}"/>
    <cellStyle name="Normal 6 5 4 5 2" xfId="48703" xr:uid="{00000000-0005-0000-0000-0000FBA90000}"/>
    <cellStyle name="Normal 6 5 4 5 3" xfId="32603" xr:uid="{00000000-0005-0000-0000-0000FCA90000}"/>
    <cellStyle name="Normal 6 5 4 5 4" xfId="23034" xr:uid="{00000000-0005-0000-0000-0000FDA90000}"/>
    <cellStyle name="Normal 6 5 4 6" xfId="4357" xr:uid="{00000000-0005-0000-0000-0000FEA90000}"/>
    <cellStyle name="Normal 6 5 4 6 2" xfId="52198" xr:uid="{00000000-0005-0000-0000-0000FFA90000}"/>
    <cellStyle name="Normal 6 5 4 6 3" xfId="36098" xr:uid="{00000000-0005-0000-0000-000000AA0000}"/>
    <cellStyle name="Normal 6 5 4 6 4" xfId="16962" xr:uid="{00000000-0005-0000-0000-000001AA0000}"/>
    <cellStyle name="Normal 6 5 4 7" xfId="42631" xr:uid="{00000000-0005-0000-0000-000002AA0000}"/>
    <cellStyle name="Normal 6 5 4 8" xfId="26531" xr:uid="{00000000-0005-0000-0000-000003AA0000}"/>
    <cellStyle name="Normal 6 5 4 9" xfId="13467" xr:uid="{00000000-0005-0000-0000-000004AA0000}"/>
    <cellStyle name="Normal 6 5 5" xfId="2170" xr:uid="{00000000-0005-0000-0000-000005AA0000}"/>
    <cellStyle name="Normal 6 5 5 2" xfId="8704" xr:uid="{00000000-0005-0000-0000-000006AA0000}"/>
    <cellStyle name="Normal 6 5 5 2 2" xfId="40445" xr:uid="{00000000-0005-0000-0000-000007AA0000}"/>
    <cellStyle name="Normal 6 5 5 2 2 2" xfId="56545" xr:uid="{00000000-0005-0000-0000-000008AA0000}"/>
    <cellStyle name="Normal 6 5 5 2 3" xfId="46978" xr:uid="{00000000-0005-0000-0000-000009AA0000}"/>
    <cellStyle name="Normal 6 5 5 2 4" xfId="30878" xr:uid="{00000000-0005-0000-0000-00000AAA0000}"/>
    <cellStyle name="Normal 6 5 5 2 5" xfId="21309" xr:uid="{00000000-0005-0000-0000-00000BAA0000}"/>
    <cellStyle name="Normal 6 5 5 3" xfId="11740" xr:uid="{00000000-0005-0000-0000-00000CAA0000}"/>
    <cellStyle name="Normal 6 5 5 3 2" xfId="50014" xr:uid="{00000000-0005-0000-0000-00000DAA0000}"/>
    <cellStyle name="Normal 6 5 5 3 3" xfId="33914" xr:uid="{00000000-0005-0000-0000-00000EAA0000}"/>
    <cellStyle name="Normal 6 5 5 3 4" xfId="24345" xr:uid="{00000000-0005-0000-0000-00000FAA0000}"/>
    <cellStyle name="Normal 6 5 5 4" xfId="5668" xr:uid="{00000000-0005-0000-0000-000010AA0000}"/>
    <cellStyle name="Normal 6 5 5 4 2" xfId="53509" xr:uid="{00000000-0005-0000-0000-000011AA0000}"/>
    <cellStyle name="Normal 6 5 5 4 3" xfId="37409" xr:uid="{00000000-0005-0000-0000-000012AA0000}"/>
    <cellStyle name="Normal 6 5 5 4 4" xfId="18273" xr:uid="{00000000-0005-0000-0000-000013AA0000}"/>
    <cellStyle name="Normal 6 5 5 5" xfId="43942" xr:uid="{00000000-0005-0000-0000-000014AA0000}"/>
    <cellStyle name="Normal 6 5 5 6" xfId="27842" xr:uid="{00000000-0005-0000-0000-000015AA0000}"/>
    <cellStyle name="Normal 6 5 5 7" xfId="14778" xr:uid="{00000000-0005-0000-0000-000016AA0000}"/>
    <cellStyle name="Normal 6 5 6" xfId="1186" xr:uid="{00000000-0005-0000-0000-000017AA0000}"/>
    <cellStyle name="Normal 6 5 6 2" xfId="7720" xr:uid="{00000000-0005-0000-0000-000018AA0000}"/>
    <cellStyle name="Normal 6 5 6 2 2" xfId="39461" xr:uid="{00000000-0005-0000-0000-000019AA0000}"/>
    <cellStyle name="Normal 6 5 6 2 2 2" xfId="55561" xr:uid="{00000000-0005-0000-0000-00001AAA0000}"/>
    <cellStyle name="Normal 6 5 6 2 3" xfId="45994" xr:uid="{00000000-0005-0000-0000-00001BAA0000}"/>
    <cellStyle name="Normal 6 5 6 2 4" xfId="29894" xr:uid="{00000000-0005-0000-0000-00001CAA0000}"/>
    <cellStyle name="Normal 6 5 6 2 5" xfId="20325" xr:uid="{00000000-0005-0000-0000-00001DAA0000}"/>
    <cellStyle name="Normal 6 5 6 3" xfId="10756" xr:uid="{00000000-0005-0000-0000-00001EAA0000}"/>
    <cellStyle name="Normal 6 5 6 3 2" xfId="49030" xr:uid="{00000000-0005-0000-0000-00001FAA0000}"/>
    <cellStyle name="Normal 6 5 6 3 3" xfId="32930" xr:uid="{00000000-0005-0000-0000-000020AA0000}"/>
    <cellStyle name="Normal 6 5 6 3 4" xfId="23361" xr:uid="{00000000-0005-0000-0000-000021AA0000}"/>
    <cellStyle name="Normal 6 5 6 4" xfId="4684" xr:uid="{00000000-0005-0000-0000-000022AA0000}"/>
    <cellStyle name="Normal 6 5 6 4 2" xfId="52525" xr:uid="{00000000-0005-0000-0000-000023AA0000}"/>
    <cellStyle name="Normal 6 5 6 4 3" xfId="36425" xr:uid="{00000000-0005-0000-0000-000024AA0000}"/>
    <cellStyle name="Normal 6 5 6 4 4" xfId="17289" xr:uid="{00000000-0005-0000-0000-000025AA0000}"/>
    <cellStyle name="Normal 6 5 6 5" xfId="42958" xr:uid="{00000000-0005-0000-0000-000026AA0000}"/>
    <cellStyle name="Normal 6 5 6 6" xfId="26858" xr:uid="{00000000-0005-0000-0000-000027AA0000}"/>
    <cellStyle name="Normal 6 5 6 7" xfId="13794" xr:uid="{00000000-0005-0000-0000-000028AA0000}"/>
    <cellStyle name="Normal 6 5 7" xfId="3674" xr:uid="{00000000-0005-0000-0000-000029AA0000}"/>
    <cellStyle name="Normal 6 5 7 2" xfId="35415" xr:uid="{00000000-0005-0000-0000-00002AAA0000}"/>
    <cellStyle name="Normal 6 5 7 2 2" xfId="51515" xr:uid="{00000000-0005-0000-0000-00002BAA0000}"/>
    <cellStyle name="Normal 6 5 7 3" xfId="41948" xr:uid="{00000000-0005-0000-0000-00002CAA0000}"/>
    <cellStyle name="Normal 6 5 7 4" xfId="25848" xr:uid="{00000000-0005-0000-0000-00002DAA0000}"/>
    <cellStyle name="Normal 6 5 7 5" xfId="16279" xr:uid="{00000000-0005-0000-0000-00002EAA0000}"/>
    <cellStyle name="Normal 6 5 8" xfId="6710" xr:uid="{00000000-0005-0000-0000-00002FAA0000}"/>
    <cellStyle name="Normal 6 5 8 2" xfId="38451" xr:uid="{00000000-0005-0000-0000-000030AA0000}"/>
    <cellStyle name="Normal 6 5 8 2 2" xfId="54551" xr:uid="{00000000-0005-0000-0000-000031AA0000}"/>
    <cellStyle name="Normal 6 5 8 3" xfId="44984" xr:uid="{00000000-0005-0000-0000-000032AA0000}"/>
    <cellStyle name="Normal 6 5 8 4" xfId="28884" xr:uid="{00000000-0005-0000-0000-000033AA0000}"/>
    <cellStyle name="Normal 6 5 8 5" xfId="19315" xr:uid="{00000000-0005-0000-0000-000034AA0000}"/>
    <cellStyle name="Normal 6 5 9" xfId="9746" xr:uid="{00000000-0005-0000-0000-000035AA0000}"/>
    <cellStyle name="Normal 6 5 9 2" xfId="48020" xr:uid="{00000000-0005-0000-0000-000036AA0000}"/>
    <cellStyle name="Normal 6 5 9 3" xfId="31920" xr:uid="{00000000-0005-0000-0000-000037AA0000}"/>
    <cellStyle name="Normal 6 5 9 4" xfId="22351" xr:uid="{00000000-0005-0000-0000-000038AA0000}"/>
    <cellStyle name="Normal 6 6" xfId="222" xr:uid="{00000000-0005-0000-0000-000039AA0000}"/>
    <cellStyle name="Normal 6 6 10" xfId="41506" xr:uid="{00000000-0005-0000-0000-00003AAA0000}"/>
    <cellStyle name="Normal 6 6 11" xfId="25406" xr:uid="{00000000-0005-0000-0000-00003BAA0000}"/>
    <cellStyle name="Normal 6 6 12" xfId="12801" xr:uid="{00000000-0005-0000-0000-00003CAA0000}"/>
    <cellStyle name="Normal 6 6 2" xfId="603" xr:uid="{00000000-0005-0000-0000-00003DAA0000}"/>
    <cellStyle name="Normal 6 6 2 10" xfId="13051" xr:uid="{00000000-0005-0000-0000-00003EAA0000}"/>
    <cellStyle name="Normal 6 6 2 2" xfId="2631" xr:uid="{00000000-0005-0000-0000-00003FAA0000}"/>
    <cellStyle name="Normal 6 6 2 2 2" xfId="9163" xr:uid="{00000000-0005-0000-0000-000040AA0000}"/>
    <cellStyle name="Normal 6 6 2 2 2 2" xfId="40904" xr:uid="{00000000-0005-0000-0000-000041AA0000}"/>
    <cellStyle name="Normal 6 6 2 2 2 2 2" xfId="57004" xr:uid="{00000000-0005-0000-0000-000042AA0000}"/>
    <cellStyle name="Normal 6 6 2 2 2 3" xfId="47437" xr:uid="{00000000-0005-0000-0000-000043AA0000}"/>
    <cellStyle name="Normal 6 6 2 2 2 4" xfId="31337" xr:uid="{00000000-0005-0000-0000-000044AA0000}"/>
    <cellStyle name="Normal 6 6 2 2 2 5" xfId="21768" xr:uid="{00000000-0005-0000-0000-000045AA0000}"/>
    <cellStyle name="Normal 6 6 2 2 3" xfId="12199" xr:uid="{00000000-0005-0000-0000-000046AA0000}"/>
    <cellStyle name="Normal 6 6 2 2 3 2" xfId="50473" xr:uid="{00000000-0005-0000-0000-000047AA0000}"/>
    <cellStyle name="Normal 6 6 2 2 3 3" xfId="34373" xr:uid="{00000000-0005-0000-0000-000048AA0000}"/>
    <cellStyle name="Normal 6 6 2 2 3 4" xfId="24804" xr:uid="{00000000-0005-0000-0000-000049AA0000}"/>
    <cellStyle name="Normal 6 6 2 2 4" xfId="6127" xr:uid="{00000000-0005-0000-0000-00004AAA0000}"/>
    <cellStyle name="Normal 6 6 2 2 4 2" xfId="53968" xr:uid="{00000000-0005-0000-0000-00004BAA0000}"/>
    <cellStyle name="Normal 6 6 2 2 4 3" xfId="37868" xr:uid="{00000000-0005-0000-0000-00004CAA0000}"/>
    <cellStyle name="Normal 6 6 2 2 4 4" xfId="18732" xr:uid="{00000000-0005-0000-0000-00004DAA0000}"/>
    <cellStyle name="Normal 6 6 2 2 5" xfId="44401" xr:uid="{00000000-0005-0000-0000-00004EAA0000}"/>
    <cellStyle name="Normal 6 6 2 2 6" xfId="28301" xr:uid="{00000000-0005-0000-0000-00004FAA0000}"/>
    <cellStyle name="Normal 6 6 2 2 7" xfId="15237" xr:uid="{00000000-0005-0000-0000-000050AA0000}"/>
    <cellStyle name="Normal 6 6 2 3" xfId="1453" xr:uid="{00000000-0005-0000-0000-000051AA0000}"/>
    <cellStyle name="Normal 6 6 2 3 2" xfId="7987" xr:uid="{00000000-0005-0000-0000-000052AA0000}"/>
    <cellStyle name="Normal 6 6 2 3 2 2" xfId="39728" xr:uid="{00000000-0005-0000-0000-000053AA0000}"/>
    <cellStyle name="Normal 6 6 2 3 2 2 2" xfId="55828" xr:uid="{00000000-0005-0000-0000-000054AA0000}"/>
    <cellStyle name="Normal 6 6 2 3 2 3" xfId="46261" xr:uid="{00000000-0005-0000-0000-000055AA0000}"/>
    <cellStyle name="Normal 6 6 2 3 2 4" xfId="30161" xr:uid="{00000000-0005-0000-0000-000056AA0000}"/>
    <cellStyle name="Normal 6 6 2 3 2 5" xfId="20592" xr:uid="{00000000-0005-0000-0000-000057AA0000}"/>
    <cellStyle name="Normal 6 6 2 3 3" xfId="11023" xr:uid="{00000000-0005-0000-0000-000058AA0000}"/>
    <cellStyle name="Normal 6 6 2 3 3 2" xfId="49297" xr:uid="{00000000-0005-0000-0000-000059AA0000}"/>
    <cellStyle name="Normal 6 6 2 3 3 3" xfId="33197" xr:uid="{00000000-0005-0000-0000-00005AAA0000}"/>
    <cellStyle name="Normal 6 6 2 3 3 4" xfId="23628" xr:uid="{00000000-0005-0000-0000-00005BAA0000}"/>
    <cellStyle name="Normal 6 6 2 3 4" xfId="4951" xr:uid="{00000000-0005-0000-0000-00005CAA0000}"/>
    <cellStyle name="Normal 6 6 2 3 4 2" xfId="52792" xr:uid="{00000000-0005-0000-0000-00005DAA0000}"/>
    <cellStyle name="Normal 6 6 2 3 4 3" xfId="36692" xr:uid="{00000000-0005-0000-0000-00005EAA0000}"/>
    <cellStyle name="Normal 6 6 2 3 4 4" xfId="17556" xr:uid="{00000000-0005-0000-0000-00005FAA0000}"/>
    <cellStyle name="Normal 6 6 2 3 5" xfId="43225" xr:uid="{00000000-0005-0000-0000-000060AA0000}"/>
    <cellStyle name="Normal 6 6 2 3 6" xfId="27125" xr:uid="{00000000-0005-0000-0000-000061AA0000}"/>
    <cellStyle name="Normal 6 6 2 3 7" xfId="14061" xr:uid="{00000000-0005-0000-0000-000062AA0000}"/>
    <cellStyle name="Normal 6 6 2 4" xfId="3941" xr:uid="{00000000-0005-0000-0000-000063AA0000}"/>
    <cellStyle name="Normal 6 6 2 4 2" xfId="35682" xr:uid="{00000000-0005-0000-0000-000064AA0000}"/>
    <cellStyle name="Normal 6 6 2 4 2 2" xfId="51782" xr:uid="{00000000-0005-0000-0000-000065AA0000}"/>
    <cellStyle name="Normal 6 6 2 4 3" xfId="42215" xr:uid="{00000000-0005-0000-0000-000066AA0000}"/>
    <cellStyle name="Normal 6 6 2 4 4" xfId="26115" xr:uid="{00000000-0005-0000-0000-000067AA0000}"/>
    <cellStyle name="Normal 6 6 2 4 5" xfId="16546" xr:uid="{00000000-0005-0000-0000-000068AA0000}"/>
    <cellStyle name="Normal 6 6 2 5" xfId="6977" xr:uid="{00000000-0005-0000-0000-000069AA0000}"/>
    <cellStyle name="Normal 6 6 2 5 2" xfId="38718" xr:uid="{00000000-0005-0000-0000-00006AAA0000}"/>
    <cellStyle name="Normal 6 6 2 5 2 2" xfId="54818" xr:uid="{00000000-0005-0000-0000-00006BAA0000}"/>
    <cellStyle name="Normal 6 6 2 5 3" xfId="45251" xr:uid="{00000000-0005-0000-0000-00006CAA0000}"/>
    <cellStyle name="Normal 6 6 2 5 4" xfId="29151" xr:uid="{00000000-0005-0000-0000-00006DAA0000}"/>
    <cellStyle name="Normal 6 6 2 5 5" xfId="19582" xr:uid="{00000000-0005-0000-0000-00006EAA0000}"/>
    <cellStyle name="Normal 6 6 2 6" xfId="10013" xr:uid="{00000000-0005-0000-0000-00006FAA0000}"/>
    <cellStyle name="Normal 6 6 2 6 2" xfId="48287" xr:uid="{00000000-0005-0000-0000-000070AA0000}"/>
    <cellStyle name="Normal 6 6 2 6 3" xfId="32187" xr:uid="{00000000-0005-0000-0000-000071AA0000}"/>
    <cellStyle name="Normal 6 6 2 6 4" xfId="22618" xr:uid="{00000000-0005-0000-0000-000072AA0000}"/>
    <cellStyle name="Normal 6 6 2 7" xfId="3469" xr:uid="{00000000-0005-0000-0000-000073AA0000}"/>
    <cellStyle name="Normal 6 6 2 7 2" xfId="51310" xr:uid="{00000000-0005-0000-0000-000074AA0000}"/>
    <cellStyle name="Normal 6 6 2 7 3" xfId="35210" xr:uid="{00000000-0005-0000-0000-000075AA0000}"/>
    <cellStyle name="Normal 6 6 2 7 4" xfId="16074" xr:uid="{00000000-0005-0000-0000-000076AA0000}"/>
    <cellStyle name="Normal 6 6 2 8" xfId="41743" xr:uid="{00000000-0005-0000-0000-000077AA0000}"/>
    <cellStyle name="Normal 6 6 2 9" xfId="25643" xr:uid="{00000000-0005-0000-0000-000078AA0000}"/>
    <cellStyle name="Normal 6 6 3" xfId="876" xr:uid="{00000000-0005-0000-0000-000079AA0000}"/>
    <cellStyle name="Normal 6 6 3 2" xfId="2904" xr:uid="{00000000-0005-0000-0000-00007AAA0000}"/>
    <cellStyle name="Normal 6 6 3 2 2" xfId="9436" xr:uid="{00000000-0005-0000-0000-00007BAA0000}"/>
    <cellStyle name="Normal 6 6 3 2 2 2" xfId="41177" xr:uid="{00000000-0005-0000-0000-00007CAA0000}"/>
    <cellStyle name="Normal 6 6 3 2 2 2 2" xfId="57277" xr:uid="{00000000-0005-0000-0000-00007DAA0000}"/>
    <cellStyle name="Normal 6 6 3 2 2 3" xfId="47710" xr:uid="{00000000-0005-0000-0000-00007EAA0000}"/>
    <cellStyle name="Normal 6 6 3 2 2 4" xfId="31610" xr:uid="{00000000-0005-0000-0000-00007FAA0000}"/>
    <cellStyle name="Normal 6 6 3 2 2 5" xfId="22041" xr:uid="{00000000-0005-0000-0000-000080AA0000}"/>
    <cellStyle name="Normal 6 6 3 2 3" xfId="12472" xr:uid="{00000000-0005-0000-0000-000081AA0000}"/>
    <cellStyle name="Normal 6 6 3 2 3 2" xfId="50746" xr:uid="{00000000-0005-0000-0000-000082AA0000}"/>
    <cellStyle name="Normal 6 6 3 2 3 3" xfId="34646" xr:uid="{00000000-0005-0000-0000-000083AA0000}"/>
    <cellStyle name="Normal 6 6 3 2 3 4" xfId="25077" xr:uid="{00000000-0005-0000-0000-000084AA0000}"/>
    <cellStyle name="Normal 6 6 3 2 4" xfId="6400" xr:uid="{00000000-0005-0000-0000-000085AA0000}"/>
    <cellStyle name="Normal 6 6 3 2 4 2" xfId="54241" xr:uid="{00000000-0005-0000-0000-000086AA0000}"/>
    <cellStyle name="Normal 6 6 3 2 4 3" xfId="38141" xr:uid="{00000000-0005-0000-0000-000087AA0000}"/>
    <cellStyle name="Normal 6 6 3 2 4 4" xfId="19005" xr:uid="{00000000-0005-0000-0000-000088AA0000}"/>
    <cellStyle name="Normal 6 6 3 2 5" xfId="44674" xr:uid="{00000000-0005-0000-0000-000089AA0000}"/>
    <cellStyle name="Normal 6 6 3 2 6" xfId="28574" xr:uid="{00000000-0005-0000-0000-00008AAA0000}"/>
    <cellStyle name="Normal 6 6 3 2 7" xfId="15510" xr:uid="{00000000-0005-0000-0000-00008BAA0000}"/>
    <cellStyle name="Normal 6 6 3 3" xfId="1886" xr:uid="{00000000-0005-0000-0000-00008CAA0000}"/>
    <cellStyle name="Normal 6 6 3 3 2" xfId="8420" xr:uid="{00000000-0005-0000-0000-00008DAA0000}"/>
    <cellStyle name="Normal 6 6 3 3 2 2" xfId="40161" xr:uid="{00000000-0005-0000-0000-00008EAA0000}"/>
    <cellStyle name="Normal 6 6 3 3 2 2 2" xfId="56261" xr:uid="{00000000-0005-0000-0000-00008FAA0000}"/>
    <cellStyle name="Normal 6 6 3 3 2 3" xfId="46694" xr:uid="{00000000-0005-0000-0000-000090AA0000}"/>
    <cellStyle name="Normal 6 6 3 3 2 4" xfId="30594" xr:uid="{00000000-0005-0000-0000-000091AA0000}"/>
    <cellStyle name="Normal 6 6 3 3 2 5" xfId="21025" xr:uid="{00000000-0005-0000-0000-000092AA0000}"/>
    <cellStyle name="Normal 6 6 3 3 3" xfId="11456" xr:uid="{00000000-0005-0000-0000-000093AA0000}"/>
    <cellStyle name="Normal 6 6 3 3 3 2" xfId="49730" xr:uid="{00000000-0005-0000-0000-000094AA0000}"/>
    <cellStyle name="Normal 6 6 3 3 3 3" xfId="33630" xr:uid="{00000000-0005-0000-0000-000095AA0000}"/>
    <cellStyle name="Normal 6 6 3 3 3 4" xfId="24061" xr:uid="{00000000-0005-0000-0000-000096AA0000}"/>
    <cellStyle name="Normal 6 6 3 3 4" xfId="5384" xr:uid="{00000000-0005-0000-0000-000097AA0000}"/>
    <cellStyle name="Normal 6 6 3 3 4 2" xfId="53225" xr:uid="{00000000-0005-0000-0000-000098AA0000}"/>
    <cellStyle name="Normal 6 6 3 3 4 3" xfId="37125" xr:uid="{00000000-0005-0000-0000-000099AA0000}"/>
    <cellStyle name="Normal 6 6 3 3 4 4" xfId="17989" xr:uid="{00000000-0005-0000-0000-00009AAA0000}"/>
    <cellStyle name="Normal 6 6 3 3 5" xfId="43658" xr:uid="{00000000-0005-0000-0000-00009BAA0000}"/>
    <cellStyle name="Normal 6 6 3 3 6" xfId="27558" xr:uid="{00000000-0005-0000-0000-00009CAA0000}"/>
    <cellStyle name="Normal 6 6 3 3 7" xfId="14494" xr:uid="{00000000-0005-0000-0000-00009DAA0000}"/>
    <cellStyle name="Normal 6 6 3 4" xfId="7410" xr:uid="{00000000-0005-0000-0000-00009EAA0000}"/>
    <cellStyle name="Normal 6 6 3 4 2" xfId="39151" xr:uid="{00000000-0005-0000-0000-00009FAA0000}"/>
    <cellStyle name="Normal 6 6 3 4 2 2" xfId="55251" xr:uid="{00000000-0005-0000-0000-0000A0AA0000}"/>
    <cellStyle name="Normal 6 6 3 4 3" xfId="45684" xr:uid="{00000000-0005-0000-0000-0000A1AA0000}"/>
    <cellStyle name="Normal 6 6 3 4 4" xfId="29584" xr:uid="{00000000-0005-0000-0000-0000A2AA0000}"/>
    <cellStyle name="Normal 6 6 3 4 5" xfId="20015" xr:uid="{00000000-0005-0000-0000-0000A3AA0000}"/>
    <cellStyle name="Normal 6 6 3 5" xfId="10446" xr:uid="{00000000-0005-0000-0000-0000A4AA0000}"/>
    <cellStyle name="Normal 6 6 3 5 2" xfId="48720" xr:uid="{00000000-0005-0000-0000-0000A5AA0000}"/>
    <cellStyle name="Normal 6 6 3 5 3" xfId="32620" xr:uid="{00000000-0005-0000-0000-0000A6AA0000}"/>
    <cellStyle name="Normal 6 6 3 5 4" xfId="23051" xr:uid="{00000000-0005-0000-0000-0000A7AA0000}"/>
    <cellStyle name="Normal 6 6 3 6" xfId="4374" xr:uid="{00000000-0005-0000-0000-0000A8AA0000}"/>
    <cellStyle name="Normal 6 6 3 6 2" xfId="52215" xr:uid="{00000000-0005-0000-0000-0000A9AA0000}"/>
    <cellStyle name="Normal 6 6 3 6 3" xfId="36115" xr:uid="{00000000-0005-0000-0000-0000AAAA0000}"/>
    <cellStyle name="Normal 6 6 3 6 4" xfId="16979" xr:uid="{00000000-0005-0000-0000-0000ABAA0000}"/>
    <cellStyle name="Normal 6 6 3 7" xfId="42648" xr:uid="{00000000-0005-0000-0000-0000ACAA0000}"/>
    <cellStyle name="Normal 6 6 3 8" xfId="26548" xr:uid="{00000000-0005-0000-0000-0000ADAA0000}"/>
    <cellStyle name="Normal 6 6 3 9" xfId="13484" xr:uid="{00000000-0005-0000-0000-0000AEAA0000}"/>
    <cellStyle name="Normal 6 6 4" xfId="2241" xr:uid="{00000000-0005-0000-0000-0000AFAA0000}"/>
    <cellStyle name="Normal 6 6 4 2" xfId="8775" xr:uid="{00000000-0005-0000-0000-0000B0AA0000}"/>
    <cellStyle name="Normal 6 6 4 2 2" xfId="40516" xr:uid="{00000000-0005-0000-0000-0000B1AA0000}"/>
    <cellStyle name="Normal 6 6 4 2 2 2" xfId="56616" xr:uid="{00000000-0005-0000-0000-0000B2AA0000}"/>
    <cellStyle name="Normal 6 6 4 2 3" xfId="47049" xr:uid="{00000000-0005-0000-0000-0000B3AA0000}"/>
    <cellStyle name="Normal 6 6 4 2 4" xfId="30949" xr:uid="{00000000-0005-0000-0000-0000B4AA0000}"/>
    <cellStyle name="Normal 6 6 4 2 5" xfId="21380" xr:uid="{00000000-0005-0000-0000-0000B5AA0000}"/>
    <cellStyle name="Normal 6 6 4 3" xfId="11811" xr:uid="{00000000-0005-0000-0000-0000B6AA0000}"/>
    <cellStyle name="Normal 6 6 4 3 2" xfId="50085" xr:uid="{00000000-0005-0000-0000-0000B7AA0000}"/>
    <cellStyle name="Normal 6 6 4 3 3" xfId="33985" xr:uid="{00000000-0005-0000-0000-0000B8AA0000}"/>
    <cellStyle name="Normal 6 6 4 3 4" xfId="24416" xr:uid="{00000000-0005-0000-0000-0000B9AA0000}"/>
    <cellStyle name="Normal 6 6 4 4" xfId="5739" xr:uid="{00000000-0005-0000-0000-0000BAAA0000}"/>
    <cellStyle name="Normal 6 6 4 4 2" xfId="53580" xr:uid="{00000000-0005-0000-0000-0000BBAA0000}"/>
    <cellStyle name="Normal 6 6 4 4 3" xfId="37480" xr:uid="{00000000-0005-0000-0000-0000BCAA0000}"/>
    <cellStyle name="Normal 6 6 4 4 4" xfId="18344" xr:uid="{00000000-0005-0000-0000-0000BDAA0000}"/>
    <cellStyle name="Normal 6 6 4 5" xfId="44013" xr:uid="{00000000-0005-0000-0000-0000BEAA0000}"/>
    <cellStyle name="Normal 6 6 4 6" xfId="27913" xr:uid="{00000000-0005-0000-0000-0000BFAA0000}"/>
    <cellStyle name="Normal 6 6 4 7" xfId="14849" xr:uid="{00000000-0005-0000-0000-0000C0AA0000}"/>
    <cellStyle name="Normal 6 6 5" xfId="1203" xr:uid="{00000000-0005-0000-0000-0000C1AA0000}"/>
    <cellStyle name="Normal 6 6 5 2" xfId="7737" xr:uid="{00000000-0005-0000-0000-0000C2AA0000}"/>
    <cellStyle name="Normal 6 6 5 2 2" xfId="39478" xr:uid="{00000000-0005-0000-0000-0000C3AA0000}"/>
    <cellStyle name="Normal 6 6 5 2 2 2" xfId="55578" xr:uid="{00000000-0005-0000-0000-0000C4AA0000}"/>
    <cellStyle name="Normal 6 6 5 2 3" xfId="46011" xr:uid="{00000000-0005-0000-0000-0000C5AA0000}"/>
    <cellStyle name="Normal 6 6 5 2 4" xfId="29911" xr:uid="{00000000-0005-0000-0000-0000C6AA0000}"/>
    <cellStyle name="Normal 6 6 5 2 5" xfId="20342" xr:uid="{00000000-0005-0000-0000-0000C7AA0000}"/>
    <cellStyle name="Normal 6 6 5 3" xfId="10773" xr:uid="{00000000-0005-0000-0000-0000C8AA0000}"/>
    <cellStyle name="Normal 6 6 5 3 2" xfId="49047" xr:uid="{00000000-0005-0000-0000-0000C9AA0000}"/>
    <cellStyle name="Normal 6 6 5 3 3" xfId="32947" xr:uid="{00000000-0005-0000-0000-0000CAAA0000}"/>
    <cellStyle name="Normal 6 6 5 3 4" xfId="23378" xr:uid="{00000000-0005-0000-0000-0000CBAA0000}"/>
    <cellStyle name="Normal 6 6 5 4" xfId="4701" xr:uid="{00000000-0005-0000-0000-0000CCAA0000}"/>
    <cellStyle name="Normal 6 6 5 4 2" xfId="52542" xr:uid="{00000000-0005-0000-0000-0000CDAA0000}"/>
    <cellStyle name="Normal 6 6 5 4 3" xfId="36442" xr:uid="{00000000-0005-0000-0000-0000CEAA0000}"/>
    <cellStyle name="Normal 6 6 5 4 4" xfId="17306" xr:uid="{00000000-0005-0000-0000-0000CFAA0000}"/>
    <cellStyle name="Normal 6 6 5 5" xfId="42975" xr:uid="{00000000-0005-0000-0000-0000D0AA0000}"/>
    <cellStyle name="Normal 6 6 5 6" xfId="26875" xr:uid="{00000000-0005-0000-0000-0000D1AA0000}"/>
    <cellStyle name="Normal 6 6 5 7" xfId="13811" xr:uid="{00000000-0005-0000-0000-0000D2AA0000}"/>
    <cellStyle name="Normal 6 6 6" xfId="3691" xr:uid="{00000000-0005-0000-0000-0000D3AA0000}"/>
    <cellStyle name="Normal 6 6 6 2" xfId="35432" xr:uid="{00000000-0005-0000-0000-0000D4AA0000}"/>
    <cellStyle name="Normal 6 6 6 2 2" xfId="51532" xr:uid="{00000000-0005-0000-0000-0000D5AA0000}"/>
    <cellStyle name="Normal 6 6 6 3" xfId="41965" xr:uid="{00000000-0005-0000-0000-0000D6AA0000}"/>
    <cellStyle name="Normal 6 6 6 4" xfId="25865" xr:uid="{00000000-0005-0000-0000-0000D7AA0000}"/>
    <cellStyle name="Normal 6 6 6 5" xfId="16296" xr:uid="{00000000-0005-0000-0000-0000D8AA0000}"/>
    <cellStyle name="Normal 6 6 7" xfId="6727" xr:uid="{00000000-0005-0000-0000-0000D9AA0000}"/>
    <cellStyle name="Normal 6 6 7 2" xfId="38468" xr:uid="{00000000-0005-0000-0000-0000DAAA0000}"/>
    <cellStyle name="Normal 6 6 7 2 2" xfId="54568" xr:uid="{00000000-0005-0000-0000-0000DBAA0000}"/>
    <cellStyle name="Normal 6 6 7 3" xfId="45001" xr:uid="{00000000-0005-0000-0000-0000DCAA0000}"/>
    <cellStyle name="Normal 6 6 7 4" xfId="28901" xr:uid="{00000000-0005-0000-0000-0000DDAA0000}"/>
    <cellStyle name="Normal 6 6 7 5" xfId="19332" xr:uid="{00000000-0005-0000-0000-0000DEAA0000}"/>
    <cellStyle name="Normal 6 6 8" xfId="9763" xr:uid="{00000000-0005-0000-0000-0000DFAA0000}"/>
    <cellStyle name="Normal 6 6 8 2" xfId="48037" xr:uid="{00000000-0005-0000-0000-0000E0AA0000}"/>
    <cellStyle name="Normal 6 6 8 3" xfId="31937" xr:uid="{00000000-0005-0000-0000-0000E1AA0000}"/>
    <cellStyle name="Normal 6 6 8 4" xfId="22368" xr:uid="{00000000-0005-0000-0000-0000E2AA0000}"/>
    <cellStyle name="Normal 6 6 9" xfId="3231" xr:uid="{00000000-0005-0000-0000-0000E3AA0000}"/>
    <cellStyle name="Normal 6 6 9 2" xfId="51073" xr:uid="{00000000-0005-0000-0000-0000E4AA0000}"/>
    <cellStyle name="Normal 6 6 9 3" xfId="34973" xr:uid="{00000000-0005-0000-0000-0000E5AA0000}"/>
    <cellStyle name="Normal 6 6 9 4" xfId="15837" xr:uid="{00000000-0005-0000-0000-0000E6AA0000}"/>
    <cellStyle name="Normal 6 7" xfId="39" xr:uid="{00000000-0005-0000-0000-0000E7AA0000}"/>
    <cellStyle name="Normal 6 7 10" xfId="41523" xr:uid="{00000000-0005-0000-0000-0000E8AA0000}"/>
    <cellStyle name="Normal 6 7 11" xfId="25423" xr:uid="{00000000-0005-0000-0000-0000E9AA0000}"/>
    <cellStyle name="Normal 6 7 12" xfId="12818" xr:uid="{00000000-0005-0000-0000-0000EAAA0000}"/>
    <cellStyle name="Normal 6 7 2" xfId="893" xr:uid="{00000000-0005-0000-0000-0000EBAA0000}"/>
    <cellStyle name="Normal 6 7 2 10" xfId="13501" xr:uid="{00000000-0005-0000-0000-0000ECAA0000}"/>
    <cellStyle name="Normal 6 7 2 2" xfId="2921" xr:uid="{00000000-0005-0000-0000-0000EDAA0000}"/>
    <cellStyle name="Normal 6 7 2 2 2" xfId="9453" xr:uid="{00000000-0005-0000-0000-0000EEAA0000}"/>
    <cellStyle name="Normal 6 7 2 2 2 2" xfId="41194" xr:uid="{00000000-0005-0000-0000-0000EFAA0000}"/>
    <cellStyle name="Normal 6 7 2 2 2 2 2" xfId="57294" xr:uid="{00000000-0005-0000-0000-0000F0AA0000}"/>
    <cellStyle name="Normal 6 7 2 2 2 3" xfId="47727" xr:uid="{00000000-0005-0000-0000-0000F1AA0000}"/>
    <cellStyle name="Normal 6 7 2 2 2 4" xfId="31627" xr:uid="{00000000-0005-0000-0000-0000F2AA0000}"/>
    <cellStyle name="Normal 6 7 2 2 2 5" xfId="22058" xr:uid="{00000000-0005-0000-0000-0000F3AA0000}"/>
    <cellStyle name="Normal 6 7 2 2 3" xfId="12489" xr:uid="{00000000-0005-0000-0000-0000F4AA0000}"/>
    <cellStyle name="Normal 6 7 2 2 3 2" xfId="50763" xr:uid="{00000000-0005-0000-0000-0000F5AA0000}"/>
    <cellStyle name="Normal 6 7 2 2 3 3" xfId="34663" xr:uid="{00000000-0005-0000-0000-0000F6AA0000}"/>
    <cellStyle name="Normal 6 7 2 2 3 4" xfId="25094" xr:uid="{00000000-0005-0000-0000-0000F7AA0000}"/>
    <cellStyle name="Normal 6 7 2 2 4" xfId="6417" xr:uid="{00000000-0005-0000-0000-0000F8AA0000}"/>
    <cellStyle name="Normal 6 7 2 2 4 2" xfId="54258" xr:uid="{00000000-0005-0000-0000-0000F9AA0000}"/>
    <cellStyle name="Normal 6 7 2 2 4 3" xfId="38158" xr:uid="{00000000-0005-0000-0000-0000FAAA0000}"/>
    <cellStyle name="Normal 6 7 2 2 4 4" xfId="19022" xr:uid="{00000000-0005-0000-0000-0000FBAA0000}"/>
    <cellStyle name="Normal 6 7 2 2 5" xfId="44691" xr:uid="{00000000-0005-0000-0000-0000FCAA0000}"/>
    <cellStyle name="Normal 6 7 2 2 6" xfId="28591" xr:uid="{00000000-0005-0000-0000-0000FDAA0000}"/>
    <cellStyle name="Normal 6 7 2 2 7" xfId="15527" xr:uid="{00000000-0005-0000-0000-0000FEAA0000}"/>
    <cellStyle name="Normal 6 7 2 3" xfId="1903" xr:uid="{00000000-0005-0000-0000-0000FFAA0000}"/>
    <cellStyle name="Normal 6 7 2 3 2" xfId="8437" xr:uid="{00000000-0005-0000-0000-000000AB0000}"/>
    <cellStyle name="Normal 6 7 2 3 2 2" xfId="40178" xr:uid="{00000000-0005-0000-0000-000001AB0000}"/>
    <cellStyle name="Normal 6 7 2 3 2 2 2" xfId="56278" xr:uid="{00000000-0005-0000-0000-000002AB0000}"/>
    <cellStyle name="Normal 6 7 2 3 2 3" xfId="46711" xr:uid="{00000000-0005-0000-0000-000003AB0000}"/>
    <cellStyle name="Normal 6 7 2 3 2 4" xfId="30611" xr:uid="{00000000-0005-0000-0000-000004AB0000}"/>
    <cellStyle name="Normal 6 7 2 3 2 5" xfId="21042" xr:uid="{00000000-0005-0000-0000-000005AB0000}"/>
    <cellStyle name="Normal 6 7 2 3 3" xfId="11473" xr:uid="{00000000-0005-0000-0000-000006AB0000}"/>
    <cellStyle name="Normal 6 7 2 3 3 2" xfId="49747" xr:uid="{00000000-0005-0000-0000-000007AB0000}"/>
    <cellStyle name="Normal 6 7 2 3 3 3" xfId="33647" xr:uid="{00000000-0005-0000-0000-000008AB0000}"/>
    <cellStyle name="Normal 6 7 2 3 3 4" xfId="24078" xr:uid="{00000000-0005-0000-0000-000009AB0000}"/>
    <cellStyle name="Normal 6 7 2 3 4" xfId="5401" xr:uid="{00000000-0005-0000-0000-00000AAB0000}"/>
    <cellStyle name="Normal 6 7 2 3 4 2" xfId="53242" xr:uid="{00000000-0005-0000-0000-00000BAB0000}"/>
    <cellStyle name="Normal 6 7 2 3 4 3" xfId="37142" xr:uid="{00000000-0005-0000-0000-00000CAB0000}"/>
    <cellStyle name="Normal 6 7 2 3 4 4" xfId="18006" xr:uid="{00000000-0005-0000-0000-00000DAB0000}"/>
    <cellStyle name="Normal 6 7 2 3 5" xfId="43675" xr:uid="{00000000-0005-0000-0000-00000EAB0000}"/>
    <cellStyle name="Normal 6 7 2 3 6" xfId="27575" xr:uid="{00000000-0005-0000-0000-00000FAB0000}"/>
    <cellStyle name="Normal 6 7 2 3 7" xfId="14511" xr:uid="{00000000-0005-0000-0000-000010AB0000}"/>
    <cellStyle name="Normal 6 7 2 4" xfId="4391" xr:uid="{00000000-0005-0000-0000-000011AB0000}"/>
    <cellStyle name="Normal 6 7 2 4 2" xfId="36132" xr:uid="{00000000-0005-0000-0000-000012AB0000}"/>
    <cellStyle name="Normal 6 7 2 4 2 2" xfId="52232" xr:uid="{00000000-0005-0000-0000-000013AB0000}"/>
    <cellStyle name="Normal 6 7 2 4 3" xfId="42665" xr:uid="{00000000-0005-0000-0000-000014AB0000}"/>
    <cellStyle name="Normal 6 7 2 4 4" xfId="26565" xr:uid="{00000000-0005-0000-0000-000015AB0000}"/>
    <cellStyle name="Normal 6 7 2 4 5" xfId="16996" xr:uid="{00000000-0005-0000-0000-000016AB0000}"/>
    <cellStyle name="Normal 6 7 2 5" xfId="7427" xr:uid="{00000000-0005-0000-0000-000017AB0000}"/>
    <cellStyle name="Normal 6 7 2 5 2" xfId="39168" xr:uid="{00000000-0005-0000-0000-000018AB0000}"/>
    <cellStyle name="Normal 6 7 2 5 2 2" xfId="55268" xr:uid="{00000000-0005-0000-0000-000019AB0000}"/>
    <cellStyle name="Normal 6 7 2 5 3" xfId="45701" xr:uid="{00000000-0005-0000-0000-00001AAB0000}"/>
    <cellStyle name="Normal 6 7 2 5 4" xfId="29601" xr:uid="{00000000-0005-0000-0000-00001BAB0000}"/>
    <cellStyle name="Normal 6 7 2 5 5" xfId="20032" xr:uid="{00000000-0005-0000-0000-00001CAB0000}"/>
    <cellStyle name="Normal 6 7 2 6" xfId="10463" xr:uid="{00000000-0005-0000-0000-00001DAB0000}"/>
    <cellStyle name="Normal 6 7 2 6 2" xfId="48737" xr:uid="{00000000-0005-0000-0000-00001EAB0000}"/>
    <cellStyle name="Normal 6 7 2 6 3" xfId="32637" xr:uid="{00000000-0005-0000-0000-00001FAB0000}"/>
    <cellStyle name="Normal 6 7 2 6 4" xfId="23068" xr:uid="{00000000-0005-0000-0000-000020AB0000}"/>
    <cellStyle name="Normal 6 7 2 7" xfId="3486" xr:uid="{00000000-0005-0000-0000-000021AB0000}"/>
    <cellStyle name="Normal 6 7 2 7 2" xfId="51327" xr:uid="{00000000-0005-0000-0000-000022AB0000}"/>
    <cellStyle name="Normal 6 7 2 7 3" xfId="35227" xr:uid="{00000000-0005-0000-0000-000023AB0000}"/>
    <cellStyle name="Normal 6 7 2 7 4" xfId="16091" xr:uid="{00000000-0005-0000-0000-000024AB0000}"/>
    <cellStyle name="Normal 6 7 2 8" xfId="41760" xr:uid="{00000000-0005-0000-0000-000025AB0000}"/>
    <cellStyle name="Normal 6 7 2 9" xfId="25660" xr:uid="{00000000-0005-0000-0000-000026AB0000}"/>
    <cellStyle name="Normal 6 7 3" xfId="671" xr:uid="{00000000-0005-0000-0000-000027AB0000}"/>
    <cellStyle name="Normal 6 7 3 2" xfId="2699" xr:uid="{00000000-0005-0000-0000-000028AB0000}"/>
    <cellStyle name="Normal 6 7 3 2 2" xfId="9231" xr:uid="{00000000-0005-0000-0000-000029AB0000}"/>
    <cellStyle name="Normal 6 7 3 2 2 2" xfId="40972" xr:uid="{00000000-0005-0000-0000-00002AAB0000}"/>
    <cellStyle name="Normal 6 7 3 2 2 2 2" xfId="57072" xr:uid="{00000000-0005-0000-0000-00002BAB0000}"/>
    <cellStyle name="Normal 6 7 3 2 2 3" xfId="47505" xr:uid="{00000000-0005-0000-0000-00002CAB0000}"/>
    <cellStyle name="Normal 6 7 3 2 2 4" xfId="31405" xr:uid="{00000000-0005-0000-0000-00002DAB0000}"/>
    <cellStyle name="Normal 6 7 3 2 2 5" xfId="21836" xr:uid="{00000000-0005-0000-0000-00002EAB0000}"/>
    <cellStyle name="Normal 6 7 3 2 3" xfId="12267" xr:uid="{00000000-0005-0000-0000-00002FAB0000}"/>
    <cellStyle name="Normal 6 7 3 2 3 2" xfId="50541" xr:uid="{00000000-0005-0000-0000-000030AB0000}"/>
    <cellStyle name="Normal 6 7 3 2 3 3" xfId="34441" xr:uid="{00000000-0005-0000-0000-000031AB0000}"/>
    <cellStyle name="Normal 6 7 3 2 3 4" xfId="24872" xr:uid="{00000000-0005-0000-0000-000032AB0000}"/>
    <cellStyle name="Normal 6 7 3 2 4" xfId="6195" xr:uid="{00000000-0005-0000-0000-000033AB0000}"/>
    <cellStyle name="Normal 6 7 3 2 4 2" xfId="54036" xr:uid="{00000000-0005-0000-0000-000034AB0000}"/>
    <cellStyle name="Normal 6 7 3 2 4 3" xfId="37936" xr:uid="{00000000-0005-0000-0000-000035AB0000}"/>
    <cellStyle name="Normal 6 7 3 2 4 4" xfId="18800" xr:uid="{00000000-0005-0000-0000-000036AB0000}"/>
    <cellStyle name="Normal 6 7 3 2 5" xfId="44469" xr:uid="{00000000-0005-0000-0000-000037AB0000}"/>
    <cellStyle name="Normal 6 7 3 2 6" xfId="28369" xr:uid="{00000000-0005-0000-0000-000038AB0000}"/>
    <cellStyle name="Normal 6 7 3 2 7" xfId="15305" xr:uid="{00000000-0005-0000-0000-000039AB0000}"/>
    <cellStyle name="Normal 6 7 3 3" xfId="1681" xr:uid="{00000000-0005-0000-0000-00003AAB0000}"/>
    <cellStyle name="Normal 6 7 3 3 2" xfId="8215" xr:uid="{00000000-0005-0000-0000-00003BAB0000}"/>
    <cellStyle name="Normal 6 7 3 3 2 2" xfId="39956" xr:uid="{00000000-0005-0000-0000-00003CAB0000}"/>
    <cellStyle name="Normal 6 7 3 3 2 2 2" xfId="56056" xr:uid="{00000000-0005-0000-0000-00003DAB0000}"/>
    <cellStyle name="Normal 6 7 3 3 2 3" xfId="46489" xr:uid="{00000000-0005-0000-0000-00003EAB0000}"/>
    <cellStyle name="Normal 6 7 3 3 2 4" xfId="30389" xr:uid="{00000000-0005-0000-0000-00003FAB0000}"/>
    <cellStyle name="Normal 6 7 3 3 2 5" xfId="20820" xr:uid="{00000000-0005-0000-0000-000040AB0000}"/>
    <cellStyle name="Normal 6 7 3 3 3" xfId="11251" xr:uid="{00000000-0005-0000-0000-000041AB0000}"/>
    <cellStyle name="Normal 6 7 3 3 3 2" xfId="49525" xr:uid="{00000000-0005-0000-0000-000042AB0000}"/>
    <cellStyle name="Normal 6 7 3 3 3 3" xfId="33425" xr:uid="{00000000-0005-0000-0000-000043AB0000}"/>
    <cellStyle name="Normal 6 7 3 3 3 4" xfId="23856" xr:uid="{00000000-0005-0000-0000-000044AB0000}"/>
    <cellStyle name="Normal 6 7 3 3 4" xfId="5179" xr:uid="{00000000-0005-0000-0000-000045AB0000}"/>
    <cellStyle name="Normal 6 7 3 3 4 2" xfId="53020" xr:uid="{00000000-0005-0000-0000-000046AB0000}"/>
    <cellStyle name="Normal 6 7 3 3 4 3" xfId="36920" xr:uid="{00000000-0005-0000-0000-000047AB0000}"/>
    <cellStyle name="Normal 6 7 3 3 4 4" xfId="17784" xr:uid="{00000000-0005-0000-0000-000048AB0000}"/>
    <cellStyle name="Normal 6 7 3 3 5" xfId="43453" xr:uid="{00000000-0005-0000-0000-000049AB0000}"/>
    <cellStyle name="Normal 6 7 3 3 6" xfId="27353" xr:uid="{00000000-0005-0000-0000-00004AAB0000}"/>
    <cellStyle name="Normal 6 7 3 3 7" xfId="14289" xr:uid="{00000000-0005-0000-0000-00004BAB0000}"/>
    <cellStyle name="Normal 6 7 3 4" xfId="7205" xr:uid="{00000000-0005-0000-0000-00004CAB0000}"/>
    <cellStyle name="Normal 6 7 3 4 2" xfId="38946" xr:uid="{00000000-0005-0000-0000-00004DAB0000}"/>
    <cellStyle name="Normal 6 7 3 4 2 2" xfId="55046" xr:uid="{00000000-0005-0000-0000-00004EAB0000}"/>
    <cellStyle name="Normal 6 7 3 4 3" xfId="45479" xr:uid="{00000000-0005-0000-0000-00004FAB0000}"/>
    <cellStyle name="Normal 6 7 3 4 4" xfId="29379" xr:uid="{00000000-0005-0000-0000-000050AB0000}"/>
    <cellStyle name="Normal 6 7 3 4 5" xfId="19810" xr:uid="{00000000-0005-0000-0000-000051AB0000}"/>
    <cellStyle name="Normal 6 7 3 5" xfId="10241" xr:uid="{00000000-0005-0000-0000-000052AB0000}"/>
    <cellStyle name="Normal 6 7 3 5 2" xfId="48515" xr:uid="{00000000-0005-0000-0000-000053AB0000}"/>
    <cellStyle name="Normal 6 7 3 5 3" xfId="32415" xr:uid="{00000000-0005-0000-0000-000054AB0000}"/>
    <cellStyle name="Normal 6 7 3 5 4" xfId="22846" xr:uid="{00000000-0005-0000-0000-000055AB0000}"/>
    <cellStyle name="Normal 6 7 3 6" xfId="4169" xr:uid="{00000000-0005-0000-0000-000056AB0000}"/>
    <cellStyle name="Normal 6 7 3 6 2" xfId="52010" xr:uid="{00000000-0005-0000-0000-000057AB0000}"/>
    <cellStyle name="Normal 6 7 3 6 3" xfId="35910" xr:uid="{00000000-0005-0000-0000-000058AB0000}"/>
    <cellStyle name="Normal 6 7 3 6 4" xfId="16774" xr:uid="{00000000-0005-0000-0000-000059AB0000}"/>
    <cellStyle name="Normal 6 7 3 7" xfId="42443" xr:uid="{00000000-0005-0000-0000-00005AAB0000}"/>
    <cellStyle name="Normal 6 7 3 8" xfId="26343" xr:uid="{00000000-0005-0000-0000-00005BAB0000}"/>
    <cellStyle name="Normal 6 7 3 9" xfId="13279" xr:uid="{00000000-0005-0000-0000-00005CAB0000}"/>
    <cellStyle name="Normal 6 7 4" xfId="2471" xr:uid="{00000000-0005-0000-0000-00005DAB0000}"/>
    <cellStyle name="Normal 6 7 4 2" xfId="9003" xr:uid="{00000000-0005-0000-0000-00005EAB0000}"/>
    <cellStyle name="Normal 6 7 4 2 2" xfId="40744" xr:uid="{00000000-0005-0000-0000-00005FAB0000}"/>
    <cellStyle name="Normal 6 7 4 2 2 2" xfId="56844" xr:uid="{00000000-0005-0000-0000-000060AB0000}"/>
    <cellStyle name="Normal 6 7 4 2 3" xfId="47277" xr:uid="{00000000-0005-0000-0000-000061AB0000}"/>
    <cellStyle name="Normal 6 7 4 2 4" xfId="31177" xr:uid="{00000000-0005-0000-0000-000062AB0000}"/>
    <cellStyle name="Normal 6 7 4 2 5" xfId="21608" xr:uid="{00000000-0005-0000-0000-000063AB0000}"/>
    <cellStyle name="Normal 6 7 4 3" xfId="12039" xr:uid="{00000000-0005-0000-0000-000064AB0000}"/>
    <cellStyle name="Normal 6 7 4 3 2" xfId="50313" xr:uid="{00000000-0005-0000-0000-000065AB0000}"/>
    <cellStyle name="Normal 6 7 4 3 3" xfId="34213" xr:uid="{00000000-0005-0000-0000-000066AB0000}"/>
    <cellStyle name="Normal 6 7 4 3 4" xfId="24644" xr:uid="{00000000-0005-0000-0000-000067AB0000}"/>
    <cellStyle name="Normal 6 7 4 4" xfId="5967" xr:uid="{00000000-0005-0000-0000-000068AB0000}"/>
    <cellStyle name="Normal 6 7 4 4 2" xfId="53808" xr:uid="{00000000-0005-0000-0000-000069AB0000}"/>
    <cellStyle name="Normal 6 7 4 4 3" xfId="37708" xr:uid="{00000000-0005-0000-0000-00006AAB0000}"/>
    <cellStyle name="Normal 6 7 4 4 4" xfId="18572" xr:uid="{00000000-0005-0000-0000-00006BAB0000}"/>
    <cellStyle name="Normal 6 7 4 5" xfId="44241" xr:uid="{00000000-0005-0000-0000-00006CAB0000}"/>
    <cellStyle name="Normal 6 7 4 6" xfId="28141" xr:uid="{00000000-0005-0000-0000-00006DAB0000}"/>
    <cellStyle name="Normal 6 7 4 7" xfId="15077" xr:uid="{00000000-0005-0000-0000-00006EAB0000}"/>
    <cellStyle name="Normal 6 7 5" xfId="1220" xr:uid="{00000000-0005-0000-0000-00006FAB0000}"/>
    <cellStyle name="Normal 6 7 5 2" xfId="7754" xr:uid="{00000000-0005-0000-0000-000070AB0000}"/>
    <cellStyle name="Normal 6 7 5 2 2" xfId="39495" xr:uid="{00000000-0005-0000-0000-000071AB0000}"/>
    <cellStyle name="Normal 6 7 5 2 2 2" xfId="55595" xr:uid="{00000000-0005-0000-0000-000072AB0000}"/>
    <cellStyle name="Normal 6 7 5 2 3" xfId="46028" xr:uid="{00000000-0005-0000-0000-000073AB0000}"/>
    <cellStyle name="Normal 6 7 5 2 4" xfId="29928" xr:uid="{00000000-0005-0000-0000-000074AB0000}"/>
    <cellStyle name="Normal 6 7 5 2 5" xfId="20359" xr:uid="{00000000-0005-0000-0000-000075AB0000}"/>
    <cellStyle name="Normal 6 7 5 3" xfId="10790" xr:uid="{00000000-0005-0000-0000-000076AB0000}"/>
    <cellStyle name="Normal 6 7 5 3 2" xfId="49064" xr:uid="{00000000-0005-0000-0000-000077AB0000}"/>
    <cellStyle name="Normal 6 7 5 3 3" xfId="32964" xr:uid="{00000000-0005-0000-0000-000078AB0000}"/>
    <cellStyle name="Normal 6 7 5 3 4" xfId="23395" xr:uid="{00000000-0005-0000-0000-000079AB0000}"/>
    <cellStyle name="Normal 6 7 5 4" xfId="4718" xr:uid="{00000000-0005-0000-0000-00007AAB0000}"/>
    <cellStyle name="Normal 6 7 5 4 2" xfId="52559" xr:uid="{00000000-0005-0000-0000-00007BAB0000}"/>
    <cellStyle name="Normal 6 7 5 4 3" xfId="36459" xr:uid="{00000000-0005-0000-0000-00007CAB0000}"/>
    <cellStyle name="Normal 6 7 5 4 4" xfId="17323" xr:uid="{00000000-0005-0000-0000-00007DAB0000}"/>
    <cellStyle name="Normal 6 7 5 5" xfId="42992" xr:uid="{00000000-0005-0000-0000-00007EAB0000}"/>
    <cellStyle name="Normal 6 7 5 6" xfId="26892" xr:uid="{00000000-0005-0000-0000-00007FAB0000}"/>
    <cellStyle name="Normal 6 7 5 7" xfId="13828" xr:uid="{00000000-0005-0000-0000-000080AB0000}"/>
    <cellStyle name="Normal 6 7 6" xfId="3708" xr:uid="{00000000-0005-0000-0000-000081AB0000}"/>
    <cellStyle name="Normal 6 7 6 2" xfId="35449" xr:uid="{00000000-0005-0000-0000-000082AB0000}"/>
    <cellStyle name="Normal 6 7 6 2 2" xfId="51549" xr:uid="{00000000-0005-0000-0000-000083AB0000}"/>
    <cellStyle name="Normal 6 7 6 3" xfId="41982" xr:uid="{00000000-0005-0000-0000-000084AB0000}"/>
    <cellStyle name="Normal 6 7 6 4" xfId="25882" xr:uid="{00000000-0005-0000-0000-000085AB0000}"/>
    <cellStyle name="Normal 6 7 6 5" xfId="16313" xr:uid="{00000000-0005-0000-0000-000086AB0000}"/>
    <cellStyle name="Normal 6 7 7" xfId="6744" xr:uid="{00000000-0005-0000-0000-000087AB0000}"/>
    <cellStyle name="Normal 6 7 7 2" xfId="38485" xr:uid="{00000000-0005-0000-0000-000088AB0000}"/>
    <cellStyle name="Normal 6 7 7 2 2" xfId="54585" xr:uid="{00000000-0005-0000-0000-000089AB0000}"/>
    <cellStyle name="Normal 6 7 7 3" xfId="45018" xr:uid="{00000000-0005-0000-0000-00008AAB0000}"/>
    <cellStyle name="Normal 6 7 7 4" xfId="28918" xr:uid="{00000000-0005-0000-0000-00008BAB0000}"/>
    <cellStyle name="Normal 6 7 7 5" xfId="19349" xr:uid="{00000000-0005-0000-0000-00008CAB0000}"/>
    <cellStyle name="Normal 6 7 8" xfId="9780" xr:uid="{00000000-0005-0000-0000-00008DAB0000}"/>
    <cellStyle name="Normal 6 7 8 2" xfId="48054" xr:uid="{00000000-0005-0000-0000-00008EAB0000}"/>
    <cellStyle name="Normal 6 7 8 3" xfId="31954" xr:uid="{00000000-0005-0000-0000-00008FAB0000}"/>
    <cellStyle name="Normal 6 7 8 4" xfId="22385" xr:uid="{00000000-0005-0000-0000-000090AB0000}"/>
    <cellStyle name="Normal 6 7 9" xfId="3248" xr:uid="{00000000-0005-0000-0000-000091AB0000}"/>
    <cellStyle name="Normal 6 7 9 2" xfId="51090" xr:uid="{00000000-0005-0000-0000-000092AB0000}"/>
    <cellStyle name="Normal 6 7 9 3" xfId="34990" xr:uid="{00000000-0005-0000-0000-000093AB0000}"/>
    <cellStyle name="Normal 6 7 9 4" xfId="15854" xr:uid="{00000000-0005-0000-0000-000094AB0000}"/>
    <cellStyle name="Normal 6 8" xfId="457" xr:uid="{00000000-0005-0000-0000-000095AB0000}"/>
    <cellStyle name="Normal 6 8 10" xfId="41540" xr:uid="{00000000-0005-0000-0000-000096AB0000}"/>
    <cellStyle name="Normal 6 8 11" xfId="25440" xr:uid="{00000000-0005-0000-0000-000097AB0000}"/>
    <cellStyle name="Normal 6 8 12" xfId="12835" xr:uid="{00000000-0005-0000-0000-000098AB0000}"/>
    <cellStyle name="Normal 6 8 2" xfId="910" xr:uid="{00000000-0005-0000-0000-000099AB0000}"/>
    <cellStyle name="Normal 6 8 2 10" xfId="13518" xr:uid="{00000000-0005-0000-0000-00009AAB0000}"/>
    <cellStyle name="Normal 6 8 2 2" xfId="2938" xr:uid="{00000000-0005-0000-0000-00009BAB0000}"/>
    <cellStyle name="Normal 6 8 2 2 2" xfId="9470" xr:uid="{00000000-0005-0000-0000-00009CAB0000}"/>
    <cellStyle name="Normal 6 8 2 2 2 2" xfId="41211" xr:uid="{00000000-0005-0000-0000-00009DAB0000}"/>
    <cellStyle name="Normal 6 8 2 2 2 2 2" xfId="57311" xr:uid="{00000000-0005-0000-0000-00009EAB0000}"/>
    <cellStyle name="Normal 6 8 2 2 2 3" xfId="47744" xr:uid="{00000000-0005-0000-0000-00009FAB0000}"/>
    <cellStyle name="Normal 6 8 2 2 2 4" xfId="31644" xr:uid="{00000000-0005-0000-0000-0000A0AB0000}"/>
    <cellStyle name="Normal 6 8 2 2 2 5" xfId="22075" xr:uid="{00000000-0005-0000-0000-0000A1AB0000}"/>
    <cellStyle name="Normal 6 8 2 2 3" xfId="12506" xr:uid="{00000000-0005-0000-0000-0000A2AB0000}"/>
    <cellStyle name="Normal 6 8 2 2 3 2" xfId="50780" xr:uid="{00000000-0005-0000-0000-0000A3AB0000}"/>
    <cellStyle name="Normal 6 8 2 2 3 3" xfId="34680" xr:uid="{00000000-0005-0000-0000-0000A4AB0000}"/>
    <cellStyle name="Normal 6 8 2 2 3 4" xfId="25111" xr:uid="{00000000-0005-0000-0000-0000A5AB0000}"/>
    <cellStyle name="Normal 6 8 2 2 4" xfId="6434" xr:uid="{00000000-0005-0000-0000-0000A6AB0000}"/>
    <cellStyle name="Normal 6 8 2 2 4 2" xfId="54275" xr:uid="{00000000-0005-0000-0000-0000A7AB0000}"/>
    <cellStyle name="Normal 6 8 2 2 4 3" xfId="38175" xr:uid="{00000000-0005-0000-0000-0000A8AB0000}"/>
    <cellStyle name="Normal 6 8 2 2 4 4" xfId="19039" xr:uid="{00000000-0005-0000-0000-0000A9AB0000}"/>
    <cellStyle name="Normal 6 8 2 2 5" xfId="44708" xr:uid="{00000000-0005-0000-0000-0000AAAB0000}"/>
    <cellStyle name="Normal 6 8 2 2 6" xfId="28608" xr:uid="{00000000-0005-0000-0000-0000ABAB0000}"/>
    <cellStyle name="Normal 6 8 2 2 7" xfId="15544" xr:uid="{00000000-0005-0000-0000-0000ACAB0000}"/>
    <cellStyle name="Normal 6 8 2 3" xfId="1920" xr:uid="{00000000-0005-0000-0000-0000ADAB0000}"/>
    <cellStyle name="Normal 6 8 2 3 2" xfId="8454" xr:uid="{00000000-0005-0000-0000-0000AEAB0000}"/>
    <cellStyle name="Normal 6 8 2 3 2 2" xfId="40195" xr:uid="{00000000-0005-0000-0000-0000AFAB0000}"/>
    <cellStyle name="Normal 6 8 2 3 2 2 2" xfId="56295" xr:uid="{00000000-0005-0000-0000-0000B0AB0000}"/>
    <cellStyle name="Normal 6 8 2 3 2 3" xfId="46728" xr:uid="{00000000-0005-0000-0000-0000B1AB0000}"/>
    <cellStyle name="Normal 6 8 2 3 2 4" xfId="30628" xr:uid="{00000000-0005-0000-0000-0000B2AB0000}"/>
    <cellStyle name="Normal 6 8 2 3 2 5" xfId="21059" xr:uid="{00000000-0005-0000-0000-0000B3AB0000}"/>
    <cellStyle name="Normal 6 8 2 3 3" xfId="11490" xr:uid="{00000000-0005-0000-0000-0000B4AB0000}"/>
    <cellStyle name="Normal 6 8 2 3 3 2" xfId="49764" xr:uid="{00000000-0005-0000-0000-0000B5AB0000}"/>
    <cellStyle name="Normal 6 8 2 3 3 3" xfId="33664" xr:uid="{00000000-0005-0000-0000-0000B6AB0000}"/>
    <cellStyle name="Normal 6 8 2 3 3 4" xfId="24095" xr:uid="{00000000-0005-0000-0000-0000B7AB0000}"/>
    <cellStyle name="Normal 6 8 2 3 4" xfId="5418" xr:uid="{00000000-0005-0000-0000-0000B8AB0000}"/>
    <cellStyle name="Normal 6 8 2 3 4 2" xfId="53259" xr:uid="{00000000-0005-0000-0000-0000B9AB0000}"/>
    <cellStyle name="Normal 6 8 2 3 4 3" xfId="37159" xr:uid="{00000000-0005-0000-0000-0000BAAB0000}"/>
    <cellStyle name="Normal 6 8 2 3 4 4" xfId="18023" xr:uid="{00000000-0005-0000-0000-0000BBAB0000}"/>
    <cellStyle name="Normal 6 8 2 3 5" xfId="43692" xr:uid="{00000000-0005-0000-0000-0000BCAB0000}"/>
    <cellStyle name="Normal 6 8 2 3 6" xfId="27592" xr:uid="{00000000-0005-0000-0000-0000BDAB0000}"/>
    <cellStyle name="Normal 6 8 2 3 7" xfId="14528" xr:uid="{00000000-0005-0000-0000-0000BEAB0000}"/>
    <cellStyle name="Normal 6 8 2 4" xfId="4408" xr:uid="{00000000-0005-0000-0000-0000BFAB0000}"/>
    <cellStyle name="Normal 6 8 2 4 2" xfId="36149" xr:uid="{00000000-0005-0000-0000-0000C0AB0000}"/>
    <cellStyle name="Normal 6 8 2 4 2 2" xfId="52249" xr:uid="{00000000-0005-0000-0000-0000C1AB0000}"/>
    <cellStyle name="Normal 6 8 2 4 3" xfId="42682" xr:uid="{00000000-0005-0000-0000-0000C2AB0000}"/>
    <cellStyle name="Normal 6 8 2 4 4" xfId="26582" xr:uid="{00000000-0005-0000-0000-0000C3AB0000}"/>
    <cellStyle name="Normal 6 8 2 4 5" xfId="17013" xr:uid="{00000000-0005-0000-0000-0000C4AB0000}"/>
    <cellStyle name="Normal 6 8 2 5" xfId="7444" xr:uid="{00000000-0005-0000-0000-0000C5AB0000}"/>
    <cellStyle name="Normal 6 8 2 5 2" xfId="39185" xr:uid="{00000000-0005-0000-0000-0000C6AB0000}"/>
    <cellStyle name="Normal 6 8 2 5 2 2" xfId="55285" xr:uid="{00000000-0005-0000-0000-0000C7AB0000}"/>
    <cellStyle name="Normal 6 8 2 5 3" xfId="45718" xr:uid="{00000000-0005-0000-0000-0000C8AB0000}"/>
    <cellStyle name="Normal 6 8 2 5 4" xfId="29618" xr:uid="{00000000-0005-0000-0000-0000C9AB0000}"/>
    <cellStyle name="Normal 6 8 2 5 5" xfId="20049" xr:uid="{00000000-0005-0000-0000-0000CAAB0000}"/>
    <cellStyle name="Normal 6 8 2 6" xfId="10480" xr:uid="{00000000-0005-0000-0000-0000CBAB0000}"/>
    <cellStyle name="Normal 6 8 2 6 2" xfId="48754" xr:uid="{00000000-0005-0000-0000-0000CCAB0000}"/>
    <cellStyle name="Normal 6 8 2 6 3" xfId="32654" xr:uid="{00000000-0005-0000-0000-0000CDAB0000}"/>
    <cellStyle name="Normal 6 8 2 6 4" xfId="23085" xr:uid="{00000000-0005-0000-0000-0000CEAB0000}"/>
    <cellStyle name="Normal 6 8 2 7" xfId="3503" xr:uid="{00000000-0005-0000-0000-0000CFAB0000}"/>
    <cellStyle name="Normal 6 8 2 7 2" xfId="51344" xr:uid="{00000000-0005-0000-0000-0000D0AB0000}"/>
    <cellStyle name="Normal 6 8 2 7 3" xfId="35244" xr:uid="{00000000-0005-0000-0000-0000D1AB0000}"/>
    <cellStyle name="Normal 6 8 2 7 4" xfId="16108" xr:uid="{00000000-0005-0000-0000-0000D2AB0000}"/>
    <cellStyle name="Normal 6 8 2 8" xfId="41777" xr:uid="{00000000-0005-0000-0000-0000D3AB0000}"/>
    <cellStyle name="Normal 6 8 2 9" xfId="25677" xr:uid="{00000000-0005-0000-0000-0000D4AB0000}"/>
    <cellStyle name="Normal 6 8 3" xfId="688" xr:uid="{00000000-0005-0000-0000-0000D5AB0000}"/>
    <cellStyle name="Normal 6 8 3 2" xfId="2716" xr:uid="{00000000-0005-0000-0000-0000D6AB0000}"/>
    <cellStyle name="Normal 6 8 3 2 2" xfId="9248" xr:uid="{00000000-0005-0000-0000-0000D7AB0000}"/>
    <cellStyle name="Normal 6 8 3 2 2 2" xfId="40989" xr:uid="{00000000-0005-0000-0000-0000D8AB0000}"/>
    <cellStyle name="Normal 6 8 3 2 2 2 2" xfId="57089" xr:uid="{00000000-0005-0000-0000-0000D9AB0000}"/>
    <cellStyle name="Normal 6 8 3 2 2 3" xfId="47522" xr:uid="{00000000-0005-0000-0000-0000DAAB0000}"/>
    <cellStyle name="Normal 6 8 3 2 2 4" xfId="31422" xr:uid="{00000000-0005-0000-0000-0000DBAB0000}"/>
    <cellStyle name="Normal 6 8 3 2 2 5" xfId="21853" xr:uid="{00000000-0005-0000-0000-0000DCAB0000}"/>
    <cellStyle name="Normal 6 8 3 2 3" xfId="12284" xr:uid="{00000000-0005-0000-0000-0000DDAB0000}"/>
    <cellStyle name="Normal 6 8 3 2 3 2" xfId="50558" xr:uid="{00000000-0005-0000-0000-0000DEAB0000}"/>
    <cellStyle name="Normal 6 8 3 2 3 3" xfId="34458" xr:uid="{00000000-0005-0000-0000-0000DFAB0000}"/>
    <cellStyle name="Normal 6 8 3 2 3 4" xfId="24889" xr:uid="{00000000-0005-0000-0000-0000E0AB0000}"/>
    <cellStyle name="Normal 6 8 3 2 4" xfId="6212" xr:uid="{00000000-0005-0000-0000-0000E1AB0000}"/>
    <cellStyle name="Normal 6 8 3 2 4 2" xfId="54053" xr:uid="{00000000-0005-0000-0000-0000E2AB0000}"/>
    <cellStyle name="Normal 6 8 3 2 4 3" xfId="37953" xr:uid="{00000000-0005-0000-0000-0000E3AB0000}"/>
    <cellStyle name="Normal 6 8 3 2 4 4" xfId="18817" xr:uid="{00000000-0005-0000-0000-0000E4AB0000}"/>
    <cellStyle name="Normal 6 8 3 2 5" xfId="44486" xr:uid="{00000000-0005-0000-0000-0000E5AB0000}"/>
    <cellStyle name="Normal 6 8 3 2 6" xfId="28386" xr:uid="{00000000-0005-0000-0000-0000E6AB0000}"/>
    <cellStyle name="Normal 6 8 3 2 7" xfId="15322" xr:uid="{00000000-0005-0000-0000-0000E7AB0000}"/>
    <cellStyle name="Normal 6 8 3 3" xfId="1698" xr:uid="{00000000-0005-0000-0000-0000E8AB0000}"/>
    <cellStyle name="Normal 6 8 3 3 2" xfId="8232" xr:uid="{00000000-0005-0000-0000-0000E9AB0000}"/>
    <cellStyle name="Normal 6 8 3 3 2 2" xfId="39973" xr:uid="{00000000-0005-0000-0000-0000EAAB0000}"/>
    <cellStyle name="Normal 6 8 3 3 2 2 2" xfId="56073" xr:uid="{00000000-0005-0000-0000-0000EBAB0000}"/>
    <cellStyle name="Normal 6 8 3 3 2 3" xfId="46506" xr:uid="{00000000-0005-0000-0000-0000ECAB0000}"/>
    <cellStyle name="Normal 6 8 3 3 2 4" xfId="30406" xr:uid="{00000000-0005-0000-0000-0000EDAB0000}"/>
    <cellStyle name="Normal 6 8 3 3 2 5" xfId="20837" xr:uid="{00000000-0005-0000-0000-0000EEAB0000}"/>
    <cellStyle name="Normal 6 8 3 3 3" xfId="11268" xr:uid="{00000000-0005-0000-0000-0000EFAB0000}"/>
    <cellStyle name="Normal 6 8 3 3 3 2" xfId="49542" xr:uid="{00000000-0005-0000-0000-0000F0AB0000}"/>
    <cellStyle name="Normal 6 8 3 3 3 3" xfId="33442" xr:uid="{00000000-0005-0000-0000-0000F1AB0000}"/>
    <cellStyle name="Normal 6 8 3 3 3 4" xfId="23873" xr:uid="{00000000-0005-0000-0000-0000F2AB0000}"/>
    <cellStyle name="Normal 6 8 3 3 4" xfId="5196" xr:uid="{00000000-0005-0000-0000-0000F3AB0000}"/>
    <cellStyle name="Normal 6 8 3 3 4 2" xfId="53037" xr:uid="{00000000-0005-0000-0000-0000F4AB0000}"/>
    <cellStyle name="Normal 6 8 3 3 4 3" xfId="36937" xr:uid="{00000000-0005-0000-0000-0000F5AB0000}"/>
    <cellStyle name="Normal 6 8 3 3 4 4" xfId="17801" xr:uid="{00000000-0005-0000-0000-0000F6AB0000}"/>
    <cellStyle name="Normal 6 8 3 3 5" xfId="43470" xr:uid="{00000000-0005-0000-0000-0000F7AB0000}"/>
    <cellStyle name="Normal 6 8 3 3 6" xfId="27370" xr:uid="{00000000-0005-0000-0000-0000F8AB0000}"/>
    <cellStyle name="Normal 6 8 3 3 7" xfId="14306" xr:uid="{00000000-0005-0000-0000-0000F9AB0000}"/>
    <cellStyle name="Normal 6 8 3 4" xfId="7222" xr:uid="{00000000-0005-0000-0000-0000FAAB0000}"/>
    <cellStyle name="Normal 6 8 3 4 2" xfId="38963" xr:uid="{00000000-0005-0000-0000-0000FBAB0000}"/>
    <cellStyle name="Normal 6 8 3 4 2 2" xfId="55063" xr:uid="{00000000-0005-0000-0000-0000FCAB0000}"/>
    <cellStyle name="Normal 6 8 3 4 3" xfId="45496" xr:uid="{00000000-0005-0000-0000-0000FDAB0000}"/>
    <cellStyle name="Normal 6 8 3 4 4" xfId="29396" xr:uid="{00000000-0005-0000-0000-0000FEAB0000}"/>
    <cellStyle name="Normal 6 8 3 4 5" xfId="19827" xr:uid="{00000000-0005-0000-0000-0000FFAB0000}"/>
    <cellStyle name="Normal 6 8 3 5" xfId="10258" xr:uid="{00000000-0005-0000-0000-000000AC0000}"/>
    <cellStyle name="Normal 6 8 3 5 2" xfId="48532" xr:uid="{00000000-0005-0000-0000-000001AC0000}"/>
    <cellStyle name="Normal 6 8 3 5 3" xfId="32432" xr:uid="{00000000-0005-0000-0000-000002AC0000}"/>
    <cellStyle name="Normal 6 8 3 5 4" xfId="22863" xr:uid="{00000000-0005-0000-0000-000003AC0000}"/>
    <cellStyle name="Normal 6 8 3 6" xfId="4186" xr:uid="{00000000-0005-0000-0000-000004AC0000}"/>
    <cellStyle name="Normal 6 8 3 6 2" xfId="52027" xr:uid="{00000000-0005-0000-0000-000005AC0000}"/>
    <cellStyle name="Normal 6 8 3 6 3" xfId="35927" xr:uid="{00000000-0005-0000-0000-000006AC0000}"/>
    <cellStyle name="Normal 6 8 3 6 4" xfId="16791" xr:uid="{00000000-0005-0000-0000-000007AC0000}"/>
    <cellStyle name="Normal 6 8 3 7" xfId="42460" xr:uid="{00000000-0005-0000-0000-000008AC0000}"/>
    <cellStyle name="Normal 6 8 3 8" xfId="26360" xr:uid="{00000000-0005-0000-0000-000009AC0000}"/>
    <cellStyle name="Normal 6 8 3 9" xfId="13296" xr:uid="{00000000-0005-0000-0000-00000AAC0000}"/>
    <cellStyle name="Normal 6 8 4" xfId="2488" xr:uid="{00000000-0005-0000-0000-00000BAC0000}"/>
    <cellStyle name="Normal 6 8 4 2" xfId="9020" xr:uid="{00000000-0005-0000-0000-00000CAC0000}"/>
    <cellStyle name="Normal 6 8 4 2 2" xfId="40761" xr:uid="{00000000-0005-0000-0000-00000DAC0000}"/>
    <cellStyle name="Normal 6 8 4 2 2 2" xfId="56861" xr:uid="{00000000-0005-0000-0000-00000EAC0000}"/>
    <cellStyle name="Normal 6 8 4 2 3" xfId="47294" xr:uid="{00000000-0005-0000-0000-00000FAC0000}"/>
    <cellStyle name="Normal 6 8 4 2 4" xfId="31194" xr:uid="{00000000-0005-0000-0000-000010AC0000}"/>
    <cellStyle name="Normal 6 8 4 2 5" xfId="21625" xr:uid="{00000000-0005-0000-0000-000011AC0000}"/>
    <cellStyle name="Normal 6 8 4 3" xfId="12056" xr:uid="{00000000-0005-0000-0000-000012AC0000}"/>
    <cellStyle name="Normal 6 8 4 3 2" xfId="50330" xr:uid="{00000000-0005-0000-0000-000013AC0000}"/>
    <cellStyle name="Normal 6 8 4 3 3" xfId="34230" xr:uid="{00000000-0005-0000-0000-000014AC0000}"/>
    <cellStyle name="Normal 6 8 4 3 4" xfId="24661" xr:uid="{00000000-0005-0000-0000-000015AC0000}"/>
    <cellStyle name="Normal 6 8 4 4" xfId="5984" xr:uid="{00000000-0005-0000-0000-000016AC0000}"/>
    <cellStyle name="Normal 6 8 4 4 2" xfId="53825" xr:uid="{00000000-0005-0000-0000-000017AC0000}"/>
    <cellStyle name="Normal 6 8 4 4 3" xfId="37725" xr:uid="{00000000-0005-0000-0000-000018AC0000}"/>
    <cellStyle name="Normal 6 8 4 4 4" xfId="18589" xr:uid="{00000000-0005-0000-0000-000019AC0000}"/>
    <cellStyle name="Normal 6 8 4 5" xfId="44258" xr:uid="{00000000-0005-0000-0000-00001AAC0000}"/>
    <cellStyle name="Normal 6 8 4 6" xfId="28158" xr:uid="{00000000-0005-0000-0000-00001BAC0000}"/>
    <cellStyle name="Normal 6 8 4 7" xfId="15094" xr:uid="{00000000-0005-0000-0000-00001CAC0000}"/>
    <cellStyle name="Normal 6 8 5" xfId="1237" xr:uid="{00000000-0005-0000-0000-00001DAC0000}"/>
    <cellStyle name="Normal 6 8 5 2" xfId="7771" xr:uid="{00000000-0005-0000-0000-00001EAC0000}"/>
    <cellStyle name="Normal 6 8 5 2 2" xfId="39512" xr:uid="{00000000-0005-0000-0000-00001FAC0000}"/>
    <cellStyle name="Normal 6 8 5 2 2 2" xfId="55612" xr:uid="{00000000-0005-0000-0000-000020AC0000}"/>
    <cellStyle name="Normal 6 8 5 2 3" xfId="46045" xr:uid="{00000000-0005-0000-0000-000021AC0000}"/>
    <cellStyle name="Normal 6 8 5 2 4" xfId="29945" xr:uid="{00000000-0005-0000-0000-000022AC0000}"/>
    <cellStyle name="Normal 6 8 5 2 5" xfId="20376" xr:uid="{00000000-0005-0000-0000-000023AC0000}"/>
    <cellStyle name="Normal 6 8 5 3" xfId="10807" xr:uid="{00000000-0005-0000-0000-000024AC0000}"/>
    <cellStyle name="Normal 6 8 5 3 2" xfId="49081" xr:uid="{00000000-0005-0000-0000-000025AC0000}"/>
    <cellStyle name="Normal 6 8 5 3 3" xfId="32981" xr:uid="{00000000-0005-0000-0000-000026AC0000}"/>
    <cellStyle name="Normal 6 8 5 3 4" xfId="23412" xr:uid="{00000000-0005-0000-0000-000027AC0000}"/>
    <cellStyle name="Normal 6 8 5 4" xfId="4735" xr:uid="{00000000-0005-0000-0000-000028AC0000}"/>
    <cellStyle name="Normal 6 8 5 4 2" xfId="52576" xr:uid="{00000000-0005-0000-0000-000029AC0000}"/>
    <cellStyle name="Normal 6 8 5 4 3" xfId="36476" xr:uid="{00000000-0005-0000-0000-00002AAC0000}"/>
    <cellStyle name="Normal 6 8 5 4 4" xfId="17340" xr:uid="{00000000-0005-0000-0000-00002BAC0000}"/>
    <cellStyle name="Normal 6 8 5 5" xfId="43009" xr:uid="{00000000-0005-0000-0000-00002CAC0000}"/>
    <cellStyle name="Normal 6 8 5 6" xfId="26909" xr:uid="{00000000-0005-0000-0000-00002DAC0000}"/>
    <cellStyle name="Normal 6 8 5 7" xfId="13845" xr:uid="{00000000-0005-0000-0000-00002EAC0000}"/>
    <cellStyle name="Normal 6 8 6" xfId="3725" xr:uid="{00000000-0005-0000-0000-00002FAC0000}"/>
    <cellStyle name="Normal 6 8 6 2" xfId="35466" xr:uid="{00000000-0005-0000-0000-000030AC0000}"/>
    <cellStyle name="Normal 6 8 6 2 2" xfId="51566" xr:uid="{00000000-0005-0000-0000-000031AC0000}"/>
    <cellStyle name="Normal 6 8 6 3" xfId="41999" xr:uid="{00000000-0005-0000-0000-000032AC0000}"/>
    <cellStyle name="Normal 6 8 6 4" xfId="25899" xr:uid="{00000000-0005-0000-0000-000033AC0000}"/>
    <cellStyle name="Normal 6 8 6 5" xfId="16330" xr:uid="{00000000-0005-0000-0000-000034AC0000}"/>
    <cellStyle name="Normal 6 8 7" xfId="6761" xr:uid="{00000000-0005-0000-0000-000035AC0000}"/>
    <cellStyle name="Normal 6 8 7 2" xfId="38502" xr:uid="{00000000-0005-0000-0000-000036AC0000}"/>
    <cellStyle name="Normal 6 8 7 2 2" xfId="54602" xr:uid="{00000000-0005-0000-0000-000037AC0000}"/>
    <cellStyle name="Normal 6 8 7 3" xfId="45035" xr:uid="{00000000-0005-0000-0000-000038AC0000}"/>
    <cellStyle name="Normal 6 8 7 4" xfId="28935" xr:uid="{00000000-0005-0000-0000-000039AC0000}"/>
    <cellStyle name="Normal 6 8 7 5" xfId="19366" xr:uid="{00000000-0005-0000-0000-00003AAC0000}"/>
    <cellStyle name="Normal 6 8 8" xfId="9797" xr:uid="{00000000-0005-0000-0000-00003BAC0000}"/>
    <cellStyle name="Normal 6 8 8 2" xfId="48071" xr:uid="{00000000-0005-0000-0000-00003CAC0000}"/>
    <cellStyle name="Normal 6 8 8 3" xfId="31971" xr:uid="{00000000-0005-0000-0000-00003DAC0000}"/>
    <cellStyle name="Normal 6 8 8 4" xfId="22402" xr:uid="{00000000-0005-0000-0000-00003EAC0000}"/>
    <cellStyle name="Normal 6 8 9" xfId="3265" xr:uid="{00000000-0005-0000-0000-00003FAC0000}"/>
    <cellStyle name="Normal 6 8 9 2" xfId="51107" xr:uid="{00000000-0005-0000-0000-000040AC0000}"/>
    <cellStyle name="Normal 6 8 9 3" xfId="35007" xr:uid="{00000000-0005-0000-0000-000041AC0000}"/>
    <cellStyle name="Normal 6 8 9 4" xfId="15871" xr:uid="{00000000-0005-0000-0000-000042AC0000}"/>
    <cellStyle name="Normal 6 9" xfId="474" xr:uid="{00000000-0005-0000-0000-000043AC0000}"/>
    <cellStyle name="Normal 6 9 10" xfId="41557" xr:uid="{00000000-0005-0000-0000-000044AC0000}"/>
    <cellStyle name="Normal 6 9 11" xfId="25457" xr:uid="{00000000-0005-0000-0000-000045AC0000}"/>
    <cellStyle name="Normal 6 9 12" xfId="12852" xr:uid="{00000000-0005-0000-0000-000046AC0000}"/>
    <cellStyle name="Normal 6 9 2" xfId="927" xr:uid="{00000000-0005-0000-0000-000047AC0000}"/>
    <cellStyle name="Normal 6 9 2 10" xfId="13535" xr:uid="{00000000-0005-0000-0000-000048AC0000}"/>
    <cellStyle name="Normal 6 9 2 2" xfId="2955" xr:uid="{00000000-0005-0000-0000-000049AC0000}"/>
    <cellStyle name="Normal 6 9 2 2 2" xfId="9487" xr:uid="{00000000-0005-0000-0000-00004AAC0000}"/>
    <cellStyle name="Normal 6 9 2 2 2 2" xfId="41228" xr:uid="{00000000-0005-0000-0000-00004BAC0000}"/>
    <cellStyle name="Normal 6 9 2 2 2 2 2" xfId="57328" xr:uid="{00000000-0005-0000-0000-00004CAC0000}"/>
    <cellStyle name="Normal 6 9 2 2 2 3" xfId="47761" xr:uid="{00000000-0005-0000-0000-00004DAC0000}"/>
    <cellStyle name="Normal 6 9 2 2 2 4" xfId="31661" xr:uid="{00000000-0005-0000-0000-00004EAC0000}"/>
    <cellStyle name="Normal 6 9 2 2 2 5" xfId="22092" xr:uid="{00000000-0005-0000-0000-00004FAC0000}"/>
    <cellStyle name="Normal 6 9 2 2 3" xfId="12523" xr:uid="{00000000-0005-0000-0000-000050AC0000}"/>
    <cellStyle name="Normal 6 9 2 2 3 2" xfId="50797" xr:uid="{00000000-0005-0000-0000-000051AC0000}"/>
    <cellStyle name="Normal 6 9 2 2 3 3" xfId="34697" xr:uid="{00000000-0005-0000-0000-000052AC0000}"/>
    <cellStyle name="Normal 6 9 2 2 3 4" xfId="25128" xr:uid="{00000000-0005-0000-0000-000053AC0000}"/>
    <cellStyle name="Normal 6 9 2 2 4" xfId="6451" xr:uid="{00000000-0005-0000-0000-000054AC0000}"/>
    <cellStyle name="Normal 6 9 2 2 4 2" xfId="54292" xr:uid="{00000000-0005-0000-0000-000055AC0000}"/>
    <cellStyle name="Normal 6 9 2 2 4 3" xfId="38192" xr:uid="{00000000-0005-0000-0000-000056AC0000}"/>
    <cellStyle name="Normal 6 9 2 2 4 4" xfId="19056" xr:uid="{00000000-0005-0000-0000-000057AC0000}"/>
    <cellStyle name="Normal 6 9 2 2 5" xfId="44725" xr:uid="{00000000-0005-0000-0000-000058AC0000}"/>
    <cellStyle name="Normal 6 9 2 2 6" xfId="28625" xr:uid="{00000000-0005-0000-0000-000059AC0000}"/>
    <cellStyle name="Normal 6 9 2 2 7" xfId="15561" xr:uid="{00000000-0005-0000-0000-00005AAC0000}"/>
    <cellStyle name="Normal 6 9 2 3" xfId="1937" xr:uid="{00000000-0005-0000-0000-00005BAC0000}"/>
    <cellStyle name="Normal 6 9 2 3 2" xfId="8471" xr:uid="{00000000-0005-0000-0000-00005CAC0000}"/>
    <cellStyle name="Normal 6 9 2 3 2 2" xfId="40212" xr:uid="{00000000-0005-0000-0000-00005DAC0000}"/>
    <cellStyle name="Normal 6 9 2 3 2 2 2" xfId="56312" xr:uid="{00000000-0005-0000-0000-00005EAC0000}"/>
    <cellStyle name="Normal 6 9 2 3 2 3" xfId="46745" xr:uid="{00000000-0005-0000-0000-00005FAC0000}"/>
    <cellStyle name="Normal 6 9 2 3 2 4" xfId="30645" xr:uid="{00000000-0005-0000-0000-000060AC0000}"/>
    <cellStyle name="Normal 6 9 2 3 2 5" xfId="21076" xr:uid="{00000000-0005-0000-0000-000061AC0000}"/>
    <cellStyle name="Normal 6 9 2 3 3" xfId="11507" xr:uid="{00000000-0005-0000-0000-000062AC0000}"/>
    <cellStyle name="Normal 6 9 2 3 3 2" xfId="49781" xr:uid="{00000000-0005-0000-0000-000063AC0000}"/>
    <cellStyle name="Normal 6 9 2 3 3 3" xfId="33681" xr:uid="{00000000-0005-0000-0000-000064AC0000}"/>
    <cellStyle name="Normal 6 9 2 3 3 4" xfId="24112" xr:uid="{00000000-0005-0000-0000-000065AC0000}"/>
    <cellStyle name="Normal 6 9 2 3 4" xfId="5435" xr:uid="{00000000-0005-0000-0000-000066AC0000}"/>
    <cellStyle name="Normal 6 9 2 3 4 2" xfId="53276" xr:uid="{00000000-0005-0000-0000-000067AC0000}"/>
    <cellStyle name="Normal 6 9 2 3 4 3" xfId="37176" xr:uid="{00000000-0005-0000-0000-000068AC0000}"/>
    <cellStyle name="Normal 6 9 2 3 4 4" xfId="18040" xr:uid="{00000000-0005-0000-0000-000069AC0000}"/>
    <cellStyle name="Normal 6 9 2 3 5" xfId="43709" xr:uid="{00000000-0005-0000-0000-00006AAC0000}"/>
    <cellStyle name="Normal 6 9 2 3 6" xfId="27609" xr:uid="{00000000-0005-0000-0000-00006BAC0000}"/>
    <cellStyle name="Normal 6 9 2 3 7" xfId="14545" xr:uid="{00000000-0005-0000-0000-00006CAC0000}"/>
    <cellStyle name="Normal 6 9 2 4" xfId="4425" xr:uid="{00000000-0005-0000-0000-00006DAC0000}"/>
    <cellStyle name="Normal 6 9 2 4 2" xfId="36166" xr:uid="{00000000-0005-0000-0000-00006EAC0000}"/>
    <cellStyle name="Normal 6 9 2 4 2 2" xfId="52266" xr:uid="{00000000-0005-0000-0000-00006FAC0000}"/>
    <cellStyle name="Normal 6 9 2 4 3" xfId="42699" xr:uid="{00000000-0005-0000-0000-000070AC0000}"/>
    <cellStyle name="Normal 6 9 2 4 4" xfId="26599" xr:uid="{00000000-0005-0000-0000-000071AC0000}"/>
    <cellStyle name="Normal 6 9 2 4 5" xfId="17030" xr:uid="{00000000-0005-0000-0000-000072AC0000}"/>
    <cellStyle name="Normal 6 9 2 5" xfId="7461" xr:uid="{00000000-0005-0000-0000-000073AC0000}"/>
    <cellStyle name="Normal 6 9 2 5 2" xfId="39202" xr:uid="{00000000-0005-0000-0000-000074AC0000}"/>
    <cellStyle name="Normal 6 9 2 5 2 2" xfId="55302" xr:uid="{00000000-0005-0000-0000-000075AC0000}"/>
    <cellStyle name="Normal 6 9 2 5 3" xfId="45735" xr:uid="{00000000-0005-0000-0000-000076AC0000}"/>
    <cellStyle name="Normal 6 9 2 5 4" xfId="29635" xr:uid="{00000000-0005-0000-0000-000077AC0000}"/>
    <cellStyle name="Normal 6 9 2 5 5" xfId="20066" xr:uid="{00000000-0005-0000-0000-000078AC0000}"/>
    <cellStyle name="Normal 6 9 2 6" xfId="10497" xr:uid="{00000000-0005-0000-0000-000079AC0000}"/>
    <cellStyle name="Normal 6 9 2 6 2" xfId="48771" xr:uid="{00000000-0005-0000-0000-00007AAC0000}"/>
    <cellStyle name="Normal 6 9 2 6 3" xfId="32671" xr:uid="{00000000-0005-0000-0000-00007BAC0000}"/>
    <cellStyle name="Normal 6 9 2 6 4" xfId="23102" xr:uid="{00000000-0005-0000-0000-00007CAC0000}"/>
    <cellStyle name="Normal 6 9 2 7" xfId="3520" xr:uid="{00000000-0005-0000-0000-00007DAC0000}"/>
    <cellStyle name="Normal 6 9 2 7 2" xfId="51361" xr:uid="{00000000-0005-0000-0000-00007EAC0000}"/>
    <cellStyle name="Normal 6 9 2 7 3" xfId="35261" xr:uid="{00000000-0005-0000-0000-00007FAC0000}"/>
    <cellStyle name="Normal 6 9 2 7 4" xfId="16125" xr:uid="{00000000-0005-0000-0000-000080AC0000}"/>
    <cellStyle name="Normal 6 9 2 8" xfId="41794" xr:uid="{00000000-0005-0000-0000-000081AC0000}"/>
    <cellStyle name="Normal 6 9 2 9" xfId="25694" xr:uid="{00000000-0005-0000-0000-000082AC0000}"/>
    <cellStyle name="Normal 6 9 3" xfId="705" xr:uid="{00000000-0005-0000-0000-000083AC0000}"/>
    <cellStyle name="Normal 6 9 3 2" xfId="2733" xr:uid="{00000000-0005-0000-0000-000084AC0000}"/>
    <cellStyle name="Normal 6 9 3 2 2" xfId="9265" xr:uid="{00000000-0005-0000-0000-000085AC0000}"/>
    <cellStyle name="Normal 6 9 3 2 2 2" xfId="41006" xr:uid="{00000000-0005-0000-0000-000086AC0000}"/>
    <cellStyle name="Normal 6 9 3 2 2 2 2" xfId="57106" xr:uid="{00000000-0005-0000-0000-000087AC0000}"/>
    <cellStyle name="Normal 6 9 3 2 2 3" xfId="47539" xr:uid="{00000000-0005-0000-0000-000088AC0000}"/>
    <cellStyle name="Normal 6 9 3 2 2 4" xfId="31439" xr:uid="{00000000-0005-0000-0000-000089AC0000}"/>
    <cellStyle name="Normal 6 9 3 2 2 5" xfId="21870" xr:uid="{00000000-0005-0000-0000-00008AAC0000}"/>
    <cellStyle name="Normal 6 9 3 2 3" xfId="12301" xr:uid="{00000000-0005-0000-0000-00008BAC0000}"/>
    <cellStyle name="Normal 6 9 3 2 3 2" xfId="50575" xr:uid="{00000000-0005-0000-0000-00008CAC0000}"/>
    <cellStyle name="Normal 6 9 3 2 3 3" xfId="34475" xr:uid="{00000000-0005-0000-0000-00008DAC0000}"/>
    <cellStyle name="Normal 6 9 3 2 3 4" xfId="24906" xr:uid="{00000000-0005-0000-0000-00008EAC0000}"/>
    <cellStyle name="Normal 6 9 3 2 4" xfId="6229" xr:uid="{00000000-0005-0000-0000-00008FAC0000}"/>
    <cellStyle name="Normal 6 9 3 2 4 2" xfId="54070" xr:uid="{00000000-0005-0000-0000-000090AC0000}"/>
    <cellStyle name="Normal 6 9 3 2 4 3" xfId="37970" xr:uid="{00000000-0005-0000-0000-000091AC0000}"/>
    <cellStyle name="Normal 6 9 3 2 4 4" xfId="18834" xr:uid="{00000000-0005-0000-0000-000092AC0000}"/>
    <cellStyle name="Normal 6 9 3 2 5" xfId="44503" xr:uid="{00000000-0005-0000-0000-000093AC0000}"/>
    <cellStyle name="Normal 6 9 3 2 6" xfId="28403" xr:uid="{00000000-0005-0000-0000-000094AC0000}"/>
    <cellStyle name="Normal 6 9 3 2 7" xfId="15339" xr:uid="{00000000-0005-0000-0000-000095AC0000}"/>
    <cellStyle name="Normal 6 9 3 3" xfId="1715" xr:uid="{00000000-0005-0000-0000-000096AC0000}"/>
    <cellStyle name="Normal 6 9 3 3 2" xfId="8249" xr:uid="{00000000-0005-0000-0000-000097AC0000}"/>
    <cellStyle name="Normal 6 9 3 3 2 2" xfId="39990" xr:uid="{00000000-0005-0000-0000-000098AC0000}"/>
    <cellStyle name="Normal 6 9 3 3 2 2 2" xfId="56090" xr:uid="{00000000-0005-0000-0000-000099AC0000}"/>
    <cellStyle name="Normal 6 9 3 3 2 3" xfId="46523" xr:uid="{00000000-0005-0000-0000-00009AAC0000}"/>
    <cellStyle name="Normal 6 9 3 3 2 4" xfId="30423" xr:uid="{00000000-0005-0000-0000-00009BAC0000}"/>
    <cellStyle name="Normal 6 9 3 3 2 5" xfId="20854" xr:uid="{00000000-0005-0000-0000-00009CAC0000}"/>
    <cellStyle name="Normal 6 9 3 3 3" xfId="11285" xr:uid="{00000000-0005-0000-0000-00009DAC0000}"/>
    <cellStyle name="Normal 6 9 3 3 3 2" xfId="49559" xr:uid="{00000000-0005-0000-0000-00009EAC0000}"/>
    <cellStyle name="Normal 6 9 3 3 3 3" xfId="33459" xr:uid="{00000000-0005-0000-0000-00009FAC0000}"/>
    <cellStyle name="Normal 6 9 3 3 3 4" xfId="23890" xr:uid="{00000000-0005-0000-0000-0000A0AC0000}"/>
    <cellStyle name="Normal 6 9 3 3 4" xfId="5213" xr:uid="{00000000-0005-0000-0000-0000A1AC0000}"/>
    <cellStyle name="Normal 6 9 3 3 4 2" xfId="53054" xr:uid="{00000000-0005-0000-0000-0000A2AC0000}"/>
    <cellStyle name="Normal 6 9 3 3 4 3" xfId="36954" xr:uid="{00000000-0005-0000-0000-0000A3AC0000}"/>
    <cellStyle name="Normal 6 9 3 3 4 4" xfId="17818" xr:uid="{00000000-0005-0000-0000-0000A4AC0000}"/>
    <cellStyle name="Normal 6 9 3 3 5" xfId="43487" xr:uid="{00000000-0005-0000-0000-0000A5AC0000}"/>
    <cellStyle name="Normal 6 9 3 3 6" xfId="27387" xr:uid="{00000000-0005-0000-0000-0000A6AC0000}"/>
    <cellStyle name="Normal 6 9 3 3 7" xfId="14323" xr:uid="{00000000-0005-0000-0000-0000A7AC0000}"/>
    <cellStyle name="Normal 6 9 3 4" xfId="7239" xr:uid="{00000000-0005-0000-0000-0000A8AC0000}"/>
    <cellStyle name="Normal 6 9 3 4 2" xfId="38980" xr:uid="{00000000-0005-0000-0000-0000A9AC0000}"/>
    <cellStyle name="Normal 6 9 3 4 2 2" xfId="55080" xr:uid="{00000000-0005-0000-0000-0000AAAC0000}"/>
    <cellStyle name="Normal 6 9 3 4 3" xfId="45513" xr:uid="{00000000-0005-0000-0000-0000ABAC0000}"/>
    <cellStyle name="Normal 6 9 3 4 4" xfId="29413" xr:uid="{00000000-0005-0000-0000-0000ACAC0000}"/>
    <cellStyle name="Normal 6 9 3 4 5" xfId="19844" xr:uid="{00000000-0005-0000-0000-0000ADAC0000}"/>
    <cellStyle name="Normal 6 9 3 5" xfId="10275" xr:uid="{00000000-0005-0000-0000-0000AEAC0000}"/>
    <cellStyle name="Normal 6 9 3 5 2" xfId="48549" xr:uid="{00000000-0005-0000-0000-0000AFAC0000}"/>
    <cellStyle name="Normal 6 9 3 5 3" xfId="32449" xr:uid="{00000000-0005-0000-0000-0000B0AC0000}"/>
    <cellStyle name="Normal 6 9 3 5 4" xfId="22880" xr:uid="{00000000-0005-0000-0000-0000B1AC0000}"/>
    <cellStyle name="Normal 6 9 3 6" xfId="4203" xr:uid="{00000000-0005-0000-0000-0000B2AC0000}"/>
    <cellStyle name="Normal 6 9 3 6 2" xfId="52044" xr:uid="{00000000-0005-0000-0000-0000B3AC0000}"/>
    <cellStyle name="Normal 6 9 3 6 3" xfId="35944" xr:uid="{00000000-0005-0000-0000-0000B4AC0000}"/>
    <cellStyle name="Normal 6 9 3 6 4" xfId="16808" xr:uid="{00000000-0005-0000-0000-0000B5AC0000}"/>
    <cellStyle name="Normal 6 9 3 7" xfId="42477" xr:uid="{00000000-0005-0000-0000-0000B6AC0000}"/>
    <cellStyle name="Normal 6 9 3 8" xfId="26377" xr:uid="{00000000-0005-0000-0000-0000B7AC0000}"/>
    <cellStyle name="Normal 6 9 3 9" xfId="13313" xr:uid="{00000000-0005-0000-0000-0000B8AC0000}"/>
    <cellStyle name="Normal 6 9 4" xfId="2505" xr:uid="{00000000-0005-0000-0000-0000B9AC0000}"/>
    <cellStyle name="Normal 6 9 4 2" xfId="9037" xr:uid="{00000000-0005-0000-0000-0000BAAC0000}"/>
    <cellStyle name="Normal 6 9 4 2 2" xfId="40778" xr:uid="{00000000-0005-0000-0000-0000BBAC0000}"/>
    <cellStyle name="Normal 6 9 4 2 2 2" xfId="56878" xr:uid="{00000000-0005-0000-0000-0000BCAC0000}"/>
    <cellStyle name="Normal 6 9 4 2 3" xfId="47311" xr:uid="{00000000-0005-0000-0000-0000BDAC0000}"/>
    <cellStyle name="Normal 6 9 4 2 4" xfId="31211" xr:uid="{00000000-0005-0000-0000-0000BEAC0000}"/>
    <cellStyle name="Normal 6 9 4 2 5" xfId="21642" xr:uid="{00000000-0005-0000-0000-0000BFAC0000}"/>
    <cellStyle name="Normal 6 9 4 3" xfId="12073" xr:uid="{00000000-0005-0000-0000-0000C0AC0000}"/>
    <cellStyle name="Normal 6 9 4 3 2" xfId="50347" xr:uid="{00000000-0005-0000-0000-0000C1AC0000}"/>
    <cellStyle name="Normal 6 9 4 3 3" xfId="34247" xr:uid="{00000000-0005-0000-0000-0000C2AC0000}"/>
    <cellStyle name="Normal 6 9 4 3 4" xfId="24678" xr:uid="{00000000-0005-0000-0000-0000C3AC0000}"/>
    <cellStyle name="Normal 6 9 4 4" xfId="6001" xr:uid="{00000000-0005-0000-0000-0000C4AC0000}"/>
    <cellStyle name="Normal 6 9 4 4 2" xfId="53842" xr:uid="{00000000-0005-0000-0000-0000C5AC0000}"/>
    <cellStyle name="Normal 6 9 4 4 3" xfId="37742" xr:uid="{00000000-0005-0000-0000-0000C6AC0000}"/>
    <cellStyle name="Normal 6 9 4 4 4" xfId="18606" xr:uid="{00000000-0005-0000-0000-0000C7AC0000}"/>
    <cellStyle name="Normal 6 9 4 5" xfId="44275" xr:uid="{00000000-0005-0000-0000-0000C8AC0000}"/>
    <cellStyle name="Normal 6 9 4 6" xfId="28175" xr:uid="{00000000-0005-0000-0000-0000C9AC0000}"/>
    <cellStyle name="Normal 6 9 4 7" xfId="15111" xr:uid="{00000000-0005-0000-0000-0000CAAC0000}"/>
    <cellStyle name="Normal 6 9 5" xfId="1254" xr:uid="{00000000-0005-0000-0000-0000CBAC0000}"/>
    <cellStyle name="Normal 6 9 5 2" xfId="7788" xr:uid="{00000000-0005-0000-0000-0000CCAC0000}"/>
    <cellStyle name="Normal 6 9 5 2 2" xfId="39529" xr:uid="{00000000-0005-0000-0000-0000CDAC0000}"/>
    <cellStyle name="Normal 6 9 5 2 2 2" xfId="55629" xr:uid="{00000000-0005-0000-0000-0000CEAC0000}"/>
    <cellStyle name="Normal 6 9 5 2 3" xfId="46062" xr:uid="{00000000-0005-0000-0000-0000CFAC0000}"/>
    <cellStyle name="Normal 6 9 5 2 4" xfId="29962" xr:uid="{00000000-0005-0000-0000-0000D0AC0000}"/>
    <cellStyle name="Normal 6 9 5 2 5" xfId="20393" xr:uid="{00000000-0005-0000-0000-0000D1AC0000}"/>
    <cellStyle name="Normal 6 9 5 3" xfId="10824" xr:uid="{00000000-0005-0000-0000-0000D2AC0000}"/>
    <cellStyle name="Normal 6 9 5 3 2" xfId="49098" xr:uid="{00000000-0005-0000-0000-0000D3AC0000}"/>
    <cellStyle name="Normal 6 9 5 3 3" xfId="32998" xr:uid="{00000000-0005-0000-0000-0000D4AC0000}"/>
    <cellStyle name="Normal 6 9 5 3 4" xfId="23429" xr:uid="{00000000-0005-0000-0000-0000D5AC0000}"/>
    <cellStyle name="Normal 6 9 5 4" xfId="4752" xr:uid="{00000000-0005-0000-0000-0000D6AC0000}"/>
    <cellStyle name="Normal 6 9 5 4 2" xfId="52593" xr:uid="{00000000-0005-0000-0000-0000D7AC0000}"/>
    <cellStyle name="Normal 6 9 5 4 3" xfId="36493" xr:uid="{00000000-0005-0000-0000-0000D8AC0000}"/>
    <cellStyle name="Normal 6 9 5 4 4" xfId="17357" xr:uid="{00000000-0005-0000-0000-0000D9AC0000}"/>
    <cellStyle name="Normal 6 9 5 5" xfId="43026" xr:uid="{00000000-0005-0000-0000-0000DAAC0000}"/>
    <cellStyle name="Normal 6 9 5 6" xfId="26926" xr:uid="{00000000-0005-0000-0000-0000DBAC0000}"/>
    <cellStyle name="Normal 6 9 5 7" xfId="13862" xr:uid="{00000000-0005-0000-0000-0000DCAC0000}"/>
    <cellStyle name="Normal 6 9 6" xfId="3742" xr:uid="{00000000-0005-0000-0000-0000DDAC0000}"/>
    <cellStyle name="Normal 6 9 6 2" xfId="35483" xr:uid="{00000000-0005-0000-0000-0000DEAC0000}"/>
    <cellStyle name="Normal 6 9 6 2 2" xfId="51583" xr:uid="{00000000-0005-0000-0000-0000DFAC0000}"/>
    <cellStyle name="Normal 6 9 6 3" xfId="42016" xr:uid="{00000000-0005-0000-0000-0000E0AC0000}"/>
    <cellStyle name="Normal 6 9 6 4" xfId="25916" xr:uid="{00000000-0005-0000-0000-0000E1AC0000}"/>
    <cellStyle name="Normal 6 9 6 5" xfId="16347" xr:uid="{00000000-0005-0000-0000-0000E2AC0000}"/>
    <cellStyle name="Normal 6 9 7" xfId="6778" xr:uid="{00000000-0005-0000-0000-0000E3AC0000}"/>
    <cellStyle name="Normal 6 9 7 2" xfId="38519" xr:uid="{00000000-0005-0000-0000-0000E4AC0000}"/>
    <cellStyle name="Normal 6 9 7 2 2" xfId="54619" xr:uid="{00000000-0005-0000-0000-0000E5AC0000}"/>
    <cellStyle name="Normal 6 9 7 3" xfId="45052" xr:uid="{00000000-0005-0000-0000-0000E6AC0000}"/>
    <cellStyle name="Normal 6 9 7 4" xfId="28952" xr:uid="{00000000-0005-0000-0000-0000E7AC0000}"/>
    <cellStyle name="Normal 6 9 7 5" xfId="19383" xr:uid="{00000000-0005-0000-0000-0000E8AC0000}"/>
    <cellStyle name="Normal 6 9 8" xfId="9814" xr:uid="{00000000-0005-0000-0000-0000E9AC0000}"/>
    <cellStyle name="Normal 6 9 8 2" xfId="48088" xr:uid="{00000000-0005-0000-0000-0000EAAC0000}"/>
    <cellStyle name="Normal 6 9 8 3" xfId="31988" xr:uid="{00000000-0005-0000-0000-0000EBAC0000}"/>
    <cellStyle name="Normal 6 9 8 4" xfId="22419" xr:uid="{00000000-0005-0000-0000-0000ECAC0000}"/>
    <cellStyle name="Normal 6 9 9" xfId="3282" xr:uid="{00000000-0005-0000-0000-0000EDAC0000}"/>
    <cellStyle name="Normal 6 9 9 2" xfId="51124" xr:uid="{00000000-0005-0000-0000-0000EEAC0000}"/>
    <cellStyle name="Normal 6 9 9 3" xfId="35024" xr:uid="{00000000-0005-0000-0000-0000EFAC0000}"/>
    <cellStyle name="Normal 6 9 9 4" xfId="15888" xr:uid="{00000000-0005-0000-0000-0000F0AC0000}"/>
    <cellStyle name="Normal 7" xfId="14" xr:uid="{00000000-0005-0000-0000-0000F1AC0000}"/>
    <cellStyle name="Normal 7 10" xfId="492" xr:uid="{00000000-0005-0000-0000-0000F2AC0000}"/>
    <cellStyle name="Normal 7 10 10" xfId="41575" xr:uid="{00000000-0005-0000-0000-0000F3AC0000}"/>
    <cellStyle name="Normal 7 10 11" xfId="25475" xr:uid="{00000000-0005-0000-0000-0000F4AC0000}"/>
    <cellStyle name="Normal 7 10 12" xfId="12870" xr:uid="{00000000-0005-0000-0000-0000F5AC0000}"/>
    <cellStyle name="Normal 7 10 2" xfId="945" xr:uid="{00000000-0005-0000-0000-0000F6AC0000}"/>
    <cellStyle name="Normal 7 10 2 10" xfId="13553" xr:uid="{00000000-0005-0000-0000-0000F7AC0000}"/>
    <cellStyle name="Normal 7 10 2 2" xfId="2973" xr:uid="{00000000-0005-0000-0000-0000F8AC0000}"/>
    <cellStyle name="Normal 7 10 2 2 2" xfId="9505" xr:uid="{00000000-0005-0000-0000-0000F9AC0000}"/>
    <cellStyle name="Normal 7 10 2 2 2 2" xfId="41246" xr:uid="{00000000-0005-0000-0000-0000FAAC0000}"/>
    <cellStyle name="Normal 7 10 2 2 2 2 2" xfId="57346" xr:uid="{00000000-0005-0000-0000-0000FBAC0000}"/>
    <cellStyle name="Normal 7 10 2 2 2 3" xfId="47779" xr:uid="{00000000-0005-0000-0000-0000FCAC0000}"/>
    <cellStyle name="Normal 7 10 2 2 2 4" xfId="31679" xr:uid="{00000000-0005-0000-0000-0000FDAC0000}"/>
    <cellStyle name="Normal 7 10 2 2 2 5" xfId="22110" xr:uid="{00000000-0005-0000-0000-0000FEAC0000}"/>
    <cellStyle name="Normal 7 10 2 2 3" xfId="12541" xr:uid="{00000000-0005-0000-0000-0000FFAC0000}"/>
    <cellStyle name="Normal 7 10 2 2 3 2" xfId="50815" xr:uid="{00000000-0005-0000-0000-000000AD0000}"/>
    <cellStyle name="Normal 7 10 2 2 3 3" xfId="34715" xr:uid="{00000000-0005-0000-0000-000001AD0000}"/>
    <cellStyle name="Normal 7 10 2 2 3 4" xfId="25146" xr:uid="{00000000-0005-0000-0000-000002AD0000}"/>
    <cellStyle name="Normal 7 10 2 2 4" xfId="6469" xr:uid="{00000000-0005-0000-0000-000003AD0000}"/>
    <cellStyle name="Normal 7 10 2 2 4 2" xfId="54310" xr:uid="{00000000-0005-0000-0000-000004AD0000}"/>
    <cellStyle name="Normal 7 10 2 2 4 3" xfId="38210" xr:uid="{00000000-0005-0000-0000-000005AD0000}"/>
    <cellStyle name="Normal 7 10 2 2 4 4" xfId="19074" xr:uid="{00000000-0005-0000-0000-000006AD0000}"/>
    <cellStyle name="Normal 7 10 2 2 5" xfId="44743" xr:uid="{00000000-0005-0000-0000-000007AD0000}"/>
    <cellStyle name="Normal 7 10 2 2 6" xfId="28643" xr:uid="{00000000-0005-0000-0000-000008AD0000}"/>
    <cellStyle name="Normal 7 10 2 2 7" xfId="15579" xr:uid="{00000000-0005-0000-0000-000009AD0000}"/>
    <cellStyle name="Normal 7 10 2 3" xfId="1955" xr:uid="{00000000-0005-0000-0000-00000AAD0000}"/>
    <cellStyle name="Normal 7 10 2 3 2" xfId="8489" xr:uid="{00000000-0005-0000-0000-00000BAD0000}"/>
    <cellStyle name="Normal 7 10 2 3 2 2" xfId="40230" xr:uid="{00000000-0005-0000-0000-00000CAD0000}"/>
    <cellStyle name="Normal 7 10 2 3 2 2 2" xfId="56330" xr:uid="{00000000-0005-0000-0000-00000DAD0000}"/>
    <cellStyle name="Normal 7 10 2 3 2 3" xfId="46763" xr:uid="{00000000-0005-0000-0000-00000EAD0000}"/>
    <cellStyle name="Normal 7 10 2 3 2 4" xfId="30663" xr:uid="{00000000-0005-0000-0000-00000FAD0000}"/>
    <cellStyle name="Normal 7 10 2 3 2 5" xfId="21094" xr:uid="{00000000-0005-0000-0000-000010AD0000}"/>
    <cellStyle name="Normal 7 10 2 3 3" xfId="11525" xr:uid="{00000000-0005-0000-0000-000011AD0000}"/>
    <cellStyle name="Normal 7 10 2 3 3 2" xfId="49799" xr:uid="{00000000-0005-0000-0000-000012AD0000}"/>
    <cellStyle name="Normal 7 10 2 3 3 3" xfId="33699" xr:uid="{00000000-0005-0000-0000-000013AD0000}"/>
    <cellStyle name="Normal 7 10 2 3 3 4" xfId="24130" xr:uid="{00000000-0005-0000-0000-000014AD0000}"/>
    <cellStyle name="Normal 7 10 2 3 4" xfId="5453" xr:uid="{00000000-0005-0000-0000-000015AD0000}"/>
    <cellStyle name="Normal 7 10 2 3 4 2" xfId="53294" xr:uid="{00000000-0005-0000-0000-000016AD0000}"/>
    <cellStyle name="Normal 7 10 2 3 4 3" xfId="37194" xr:uid="{00000000-0005-0000-0000-000017AD0000}"/>
    <cellStyle name="Normal 7 10 2 3 4 4" xfId="18058" xr:uid="{00000000-0005-0000-0000-000018AD0000}"/>
    <cellStyle name="Normal 7 10 2 3 5" xfId="43727" xr:uid="{00000000-0005-0000-0000-000019AD0000}"/>
    <cellStyle name="Normal 7 10 2 3 6" xfId="27627" xr:uid="{00000000-0005-0000-0000-00001AAD0000}"/>
    <cellStyle name="Normal 7 10 2 3 7" xfId="14563" xr:uid="{00000000-0005-0000-0000-00001BAD0000}"/>
    <cellStyle name="Normal 7 10 2 4" xfId="4443" xr:uid="{00000000-0005-0000-0000-00001CAD0000}"/>
    <cellStyle name="Normal 7 10 2 4 2" xfId="36184" xr:uid="{00000000-0005-0000-0000-00001DAD0000}"/>
    <cellStyle name="Normal 7 10 2 4 2 2" xfId="52284" xr:uid="{00000000-0005-0000-0000-00001EAD0000}"/>
    <cellStyle name="Normal 7 10 2 4 3" xfId="42717" xr:uid="{00000000-0005-0000-0000-00001FAD0000}"/>
    <cellStyle name="Normal 7 10 2 4 4" xfId="26617" xr:uid="{00000000-0005-0000-0000-000020AD0000}"/>
    <cellStyle name="Normal 7 10 2 4 5" xfId="17048" xr:uid="{00000000-0005-0000-0000-000021AD0000}"/>
    <cellStyle name="Normal 7 10 2 5" xfId="7479" xr:uid="{00000000-0005-0000-0000-000022AD0000}"/>
    <cellStyle name="Normal 7 10 2 5 2" xfId="39220" xr:uid="{00000000-0005-0000-0000-000023AD0000}"/>
    <cellStyle name="Normal 7 10 2 5 2 2" xfId="55320" xr:uid="{00000000-0005-0000-0000-000024AD0000}"/>
    <cellStyle name="Normal 7 10 2 5 3" xfId="45753" xr:uid="{00000000-0005-0000-0000-000025AD0000}"/>
    <cellStyle name="Normal 7 10 2 5 4" xfId="29653" xr:uid="{00000000-0005-0000-0000-000026AD0000}"/>
    <cellStyle name="Normal 7 10 2 5 5" xfId="20084" xr:uid="{00000000-0005-0000-0000-000027AD0000}"/>
    <cellStyle name="Normal 7 10 2 6" xfId="10515" xr:uid="{00000000-0005-0000-0000-000028AD0000}"/>
    <cellStyle name="Normal 7 10 2 6 2" xfId="48789" xr:uid="{00000000-0005-0000-0000-000029AD0000}"/>
    <cellStyle name="Normal 7 10 2 6 3" xfId="32689" xr:uid="{00000000-0005-0000-0000-00002AAD0000}"/>
    <cellStyle name="Normal 7 10 2 6 4" xfId="23120" xr:uid="{00000000-0005-0000-0000-00002BAD0000}"/>
    <cellStyle name="Normal 7 10 2 7" xfId="3538" xr:uid="{00000000-0005-0000-0000-00002CAD0000}"/>
    <cellStyle name="Normal 7 10 2 7 2" xfId="51379" xr:uid="{00000000-0005-0000-0000-00002DAD0000}"/>
    <cellStyle name="Normal 7 10 2 7 3" xfId="35279" xr:uid="{00000000-0005-0000-0000-00002EAD0000}"/>
    <cellStyle name="Normal 7 10 2 7 4" xfId="16143" xr:uid="{00000000-0005-0000-0000-00002FAD0000}"/>
    <cellStyle name="Normal 7 10 2 8" xfId="41812" xr:uid="{00000000-0005-0000-0000-000030AD0000}"/>
    <cellStyle name="Normal 7 10 2 9" xfId="25712" xr:uid="{00000000-0005-0000-0000-000031AD0000}"/>
    <cellStyle name="Normal 7 10 3" xfId="723" xr:uid="{00000000-0005-0000-0000-000032AD0000}"/>
    <cellStyle name="Normal 7 10 3 2" xfId="2751" xr:uid="{00000000-0005-0000-0000-000033AD0000}"/>
    <cellStyle name="Normal 7 10 3 2 2" xfId="9283" xr:uid="{00000000-0005-0000-0000-000034AD0000}"/>
    <cellStyle name="Normal 7 10 3 2 2 2" xfId="41024" xr:uid="{00000000-0005-0000-0000-000035AD0000}"/>
    <cellStyle name="Normal 7 10 3 2 2 2 2" xfId="57124" xr:uid="{00000000-0005-0000-0000-000036AD0000}"/>
    <cellStyle name="Normal 7 10 3 2 2 3" xfId="47557" xr:uid="{00000000-0005-0000-0000-000037AD0000}"/>
    <cellStyle name="Normal 7 10 3 2 2 4" xfId="31457" xr:uid="{00000000-0005-0000-0000-000038AD0000}"/>
    <cellStyle name="Normal 7 10 3 2 2 5" xfId="21888" xr:uid="{00000000-0005-0000-0000-000039AD0000}"/>
    <cellStyle name="Normal 7 10 3 2 3" xfId="12319" xr:uid="{00000000-0005-0000-0000-00003AAD0000}"/>
    <cellStyle name="Normal 7 10 3 2 3 2" xfId="50593" xr:uid="{00000000-0005-0000-0000-00003BAD0000}"/>
    <cellStyle name="Normal 7 10 3 2 3 3" xfId="34493" xr:uid="{00000000-0005-0000-0000-00003CAD0000}"/>
    <cellStyle name="Normal 7 10 3 2 3 4" xfId="24924" xr:uid="{00000000-0005-0000-0000-00003DAD0000}"/>
    <cellStyle name="Normal 7 10 3 2 4" xfId="6247" xr:uid="{00000000-0005-0000-0000-00003EAD0000}"/>
    <cellStyle name="Normal 7 10 3 2 4 2" xfId="54088" xr:uid="{00000000-0005-0000-0000-00003FAD0000}"/>
    <cellStyle name="Normal 7 10 3 2 4 3" xfId="37988" xr:uid="{00000000-0005-0000-0000-000040AD0000}"/>
    <cellStyle name="Normal 7 10 3 2 4 4" xfId="18852" xr:uid="{00000000-0005-0000-0000-000041AD0000}"/>
    <cellStyle name="Normal 7 10 3 2 5" xfId="44521" xr:uid="{00000000-0005-0000-0000-000042AD0000}"/>
    <cellStyle name="Normal 7 10 3 2 6" xfId="28421" xr:uid="{00000000-0005-0000-0000-000043AD0000}"/>
    <cellStyle name="Normal 7 10 3 2 7" xfId="15357" xr:uid="{00000000-0005-0000-0000-000044AD0000}"/>
    <cellStyle name="Normal 7 10 3 3" xfId="1733" xr:uid="{00000000-0005-0000-0000-000045AD0000}"/>
    <cellStyle name="Normal 7 10 3 3 2" xfId="8267" xr:uid="{00000000-0005-0000-0000-000046AD0000}"/>
    <cellStyle name="Normal 7 10 3 3 2 2" xfId="40008" xr:uid="{00000000-0005-0000-0000-000047AD0000}"/>
    <cellStyle name="Normal 7 10 3 3 2 2 2" xfId="56108" xr:uid="{00000000-0005-0000-0000-000048AD0000}"/>
    <cellStyle name="Normal 7 10 3 3 2 3" xfId="46541" xr:uid="{00000000-0005-0000-0000-000049AD0000}"/>
    <cellStyle name="Normal 7 10 3 3 2 4" xfId="30441" xr:uid="{00000000-0005-0000-0000-00004AAD0000}"/>
    <cellStyle name="Normal 7 10 3 3 2 5" xfId="20872" xr:uid="{00000000-0005-0000-0000-00004BAD0000}"/>
    <cellStyle name="Normal 7 10 3 3 3" xfId="11303" xr:uid="{00000000-0005-0000-0000-00004CAD0000}"/>
    <cellStyle name="Normal 7 10 3 3 3 2" xfId="49577" xr:uid="{00000000-0005-0000-0000-00004DAD0000}"/>
    <cellStyle name="Normal 7 10 3 3 3 3" xfId="33477" xr:uid="{00000000-0005-0000-0000-00004EAD0000}"/>
    <cellStyle name="Normal 7 10 3 3 3 4" xfId="23908" xr:uid="{00000000-0005-0000-0000-00004FAD0000}"/>
    <cellStyle name="Normal 7 10 3 3 4" xfId="5231" xr:uid="{00000000-0005-0000-0000-000050AD0000}"/>
    <cellStyle name="Normal 7 10 3 3 4 2" xfId="53072" xr:uid="{00000000-0005-0000-0000-000051AD0000}"/>
    <cellStyle name="Normal 7 10 3 3 4 3" xfId="36972" xr:uid="{00000000-0005-0000-0000-000052AD0000}"/>
    <cellStyle name="Normal 7 10 3 3 4 4" xfId="17836" xr:uid="{00000000-0005-0000-0000-000053AD0000}"/>
    <cellStyle name="Normal 7 10 3 3 5" xfId="43505" xr:uid="{00000000-0005-0000-0000-000054AD0000}"/>
    <cellStyle name="Normal 7 10 3 3 6" xfId="27405" xr:uid="{00000000-0005-0000-0000-000055AD0000}"/>
    <cellStyle name="Normal 7 10 3 3 7" xfId="14341" xr:uid="{00000000-0005-0000-0000-000056AD0000}"/>
    <cellStyle name="Normal 7 10 3 4" xfId="7257" xr:uid="{00000000-0005-0000-0000-000057AD0000}"/>
    <cellStyle name="Normal 7 10 3 4 2" xfId="38998" xr:uid="{00000000-0005-0000-0000-000058AD0000}"/>
    <cellStyle name="Normal 7 10 3 4 2 2" xfId="55098" xr:uid="{00000000-0005-0000-0000-000059AD0000}"/>
    <cellStyle name="Normal 7 10 3 4 3" xfId="45531" xr:uid="{00000000-0005-0000-0000-00005AAD0000}"/>
    <cellStyle name="Normal 7 10 3 4 4" xfId="29431" xr:uid="{00000000-0005-0000-0000-00005BAD0000}"/>
    <cellStyle name="Normal 7 10 3 4 5" xfId="19862" xr:uid="{00000000-0005-0000-0000-00005CAD0000}"/>
    <cellStyle name="Normal 7 10 3 5" xfId="10293" xr:uid="{00000000-0005-0000-0000-00005DAD0000}"/>
    <cellStyle name="Normal 7 10 3 5 2" xfId="48567" xr:uid="{00000000-0005-0000-0000-00005EAD0000}"/>
    <cellStyle name="Normal 7 10 3 5 3" xfId="32467" xr:uid="{00000000-0005-0000-0000-00005FAD0000}"/>
    <cellStyle name="Normal 7 10 3 5 4" xfId="22898" xr:uid="{00000000-0005-0000-0000-000060AD0000}"/>
    <cellStyle name="Normal 7 10 3 6" xfId="4221" xr:uid="{00000000-0005-0000-0000-000061AD0000}"/>
    <cellStyle name="Normal 7 10 3 6 2" xfId="52062" xr:uid="{00000000-0005-0000-0000-000062AD0000}"/>
    <cellStyle name="Normal 7 10 3 6 3" xfId="35962" xr:uid="{00000000-0005-0000-0000-000063AD0000}"/>
    <cellStyle name="Normal 7 10 3 6 4" xfId="16826" xr:uid="{00000000-0005-0000-0000-000064AD0000}"/>
    <cellStyle name="Normal 7 10 3 7" xfId="42495" xr:uid="{00000000-0005-0000-0000-000065AD0000}"/>
    <cellStyle name="Normal 7 10 3 8" xfId="26395" xr:uid="{00000000-0005-0000-0000-000066AD0000}"/>
    <cellStyle name="Normal 7 10 3 9" xfId="13331" xr:uid="{00000000-0005-0000-0000-000067AD0000}"/>
    <cellStyle name="Normal 7 10 4" xfId="2523" xr:uid="{00000000-0005-0000-0000-000068AD0000}"/>
    <cellStyle name="Normal 7 10 4 2" xfId="9055" xr:uid="{00000000-0005-0000-0000-000069AD0000}"/>
    <cellStyle name="Normal 7 10 4 2 2" xfId="40796" xr:uid="{00000000-0005-0000-0000-00006AAD0000}"/>
    <cellStyle name="Normal 7 10 4 2 2 2" xfId="56896" xr:uid="{00000000-0005-0000-0000-00006BAD0000}"/>
    <cellStyle name="Normal 7 10 4 2 3" xfId="47329" xr:uid="{00000000-0005-0000-0000-00006CAD0000}"/>
    <cellStyle name="Normal 7 10 4 2 4" xfId="31229" xr:uid="{00000000-0005-0000-0000-00006DAD0000}"/>
    <cellStyle name="Normal 7 10 4 2 5" xfId="21660" xr:uid="{00000000-0005-0000-0000-00006EAD0000}"/>
    <cellStyle name="Normal 7 10 4 3" xfId="12091" xr:uid="{00000000-0005-0000-0000-00006FAD0000}"/>
    <cellStyle name="Normal 7 10 4 3 2" xfId="50365" xr:uid="{00000000-0005-0000-0000-000070AD0000}"/>
    <cellStyle name="Normal 7 10 4 3 3" xfId="34265" xr:uid="{00000000-0005-0000-0000-000071AD0000}"/>
    <cellStyle name="Normal 7 10 4 3 4" xfId="24696" xr:uid="{00000000-0005-0000-0000-000072AD0000}"/>
    <cellStyle name="Normal 7 10 4 4" xfId="6019" xr:uid="{00000000-0005-0000-0000-000073AD0000}"/>
    <cellStyle name="Normal 7 10 4 4 2" xfId="53860" xr:uid="{00000000-0005-0000-0000-000074AD0000}"/>
    <cellStyle name="Normal 7 10 4 4 3" xfId="37760" xr:uid="{00000000-0005-0000-0000-000075AD0000}"/>
    <cellStyle name="Normal 7 10 4 4 4" xfId="18624" xr:uid="{00000000-0005-0000-0000-000076AD0000}"/>
    <cellStyle name="Normal 7 10 4 5" xfId="44293" xr:uid="{00000000-0005-0000-0000-000077AD0000}"/>
    <cellStyle name="Normal 7 10 4 6" xfId="28193" xr:uid="{00000000-0005-0000-0000-000078AD0000}"/>
    <cellStyle name="Normal 7 10 4 7" xfId="15129" xr:uid="{00000000-0005-0000-0000-000079AD0000}"/>
    <cellStyle name="Normal 7 10 5" xfId="1272" xr:uid="{00000000-0005-0000-0000-00007AAD0000}"/>
    <cellStyle name="Normal 7 10 5 2" xfId="7806" xr:uid="{00000000-0005-0000-0000-00007BAD0000}"/>
    <cellStyle name="Normal 7 10 5 2 2" xfId="39547" xr:uid="{00000000-0005-0000-0000-00007CAD0000}"/>
    <cellStyle name="Normal 7 10 5 2 2 2" xfId="55647" xr:uid="{00000000-0005-0000-0000-00007DAD0000}"/>
    <cellStyle name="Normal 7 10 5 2 3" xfId="46080" xr:uid="{00000000-0005-0000-0000-00007EAD0000}"/>
    <cellStyle name="Normal 7 10 5 2 4" xfId="29980" xr:uid="{00000000-0005-0000-0000-00007FAD0000}"/>
    <cellStyle name="Normal 7 10 5 2 5" xfId="20411" xr:uid="{00000000-0005-0000-0000-000080AD0000}"/>
    <cellStyle name="Normal 7 10 5 3" xfId="10842" xr:uid="{00000000-0005-0000-0000-000081AD0000}"/>
    <cellStyle name="Normal 7 10 5 3 2" xfId="49116" xr:uid="{00000000-0005-0000-0000-000082AD0000}"/>
    <cellStyle name="Normal 7 10 5 3 3" xfId="33016" xr:uid="{00000000-0005-0000-0000-000083AD0000}"/>
    <cellStyle name="Normal 7 10 5 3 4" xfId="23447" xr:uid="{00000000-0005-0000-0000-000084AD0000}"/>
    <cellStyle name="Normal 7 10 5 4" xfId="4770" xr:uid="{00000000-0005-0000-0000-000085AD0000}"/>
    <cellStyle name="Normal 7 10 5 4 2" xfId="52611" xr:uid="{00000000-0005-0000-0000-000086AD0000}"/>
    <cellStyle name="Normal 7 10 5 4 3" xfId="36511" xr:uid="{00000000-0005-0000-0000-000087AD0000}"/>
    <cellStyle name="Normal 7 10 5 4 4" xfId="17375" xr:uid="{00000000-0005-0000-0000-000088AD0000}"/>
    <cellStyle name="Normal 7 10 5 5" xfId="43044" xr:uid="{00000000-0005-0000-0000-000089AD0000}"/>
    <cellStyle name="Normal 7 10 5 6" xfId="26944" xr:uid="{00000000-0005-0000-0000-00008AAD0000}"/>
    <cellStyle name="Normal 7 10 5 7" xfId="13880" xr:uid="{00000000-0005-0000-0000-00008BAD0000}"/>
    <cellStyle name="Normal 7 10 6" xfId="3760" xr:uid="{00000000-0005-0000-0000-00008CAD0000}"/>
    <cellStyle name="Normal 7 10 6 2" xfId="35501" xr:uid="{00000000-0005-0000-0000-00008DAD0000}"/>
    <cellStyle name="Normal 7 10 6 2 2" xfId="51601" xr:uid="{00000000-0005-0000-0000-00008EAD0000}"/>
    <cellStyle name="Normal 7 10 6 3" xfId="42034" xr:uid="{00000000-0005-0000-0000-00008FAD0000}"/>
    <cellStyle name="Normal 7 10 6 4" xfId="25934" xr:uid="{00000000-0005-0000-0000-000090AD0000}"/>
    <cellStyle name="Normal 7 10 6 5" xfId="16365" xr:uid="{00000000-0005-0000-0000-000091AD0000}"/>
    <cellStyle name="Normal 7 10 7" xfId="6796" xr:uid="{00000000-0005-0000-0000-000092AD0000}"/>
    <cellStyle name="Normal 7 10 7 2" xfId="38537" xr:uid="{00000000-0005-0000-0000-000093AD0000}"/>
    <cellStyle name="Normal 7 10 7 2 2" xfId="54637" xr:uid="{00000000-0005-0000-0000-000094AD0000}"/>
    <cellStyle name="Normal 7 10 7 3" xfId="45070" xr:uid="{00000000-0005-0000-0000-000095AD0000}"/>
    <cellStyle name="Normal 7 10 7 4" xfId="28970" xr:uid="{00000000-0005-0000-0000-000096AD0000}"/>
    <cellStyle name="Normal 7 10 7 5" xfId="19401" xr:uid="{00000000-0005-0000-0000-000097AD0000}"/>
    <cellStyle name="Normal 7 10 8" xfId="9832" xr:uid="{00000000-0005-0000-0000-000098AD0000}"/>
    <cellStyle name="Normal 7 10 8 2" xfId="48106" xr:uid="{00000000-0005-0000-0000-000099AD0000}"/>
    <cellStyle name="Normal 7 10 8 3" xfId="32006" xr:uid="{00000000-0005-0000-0000-00009AAD0000}"/>
    <cellStyle name="Normal 7 10 8 4" xfId="22437" xr:uid="{00000000-0005-0000-0000-00009BAD0000}"/>
    <cellStyle name="Normal 7 10 9" xfId="3300" xr:uid="{00000000-0005-0000-0000-00009CAD0000}"/>
    <cellStyle name="Normal 7 10 9 2" xfId="51142" xr:uid="{00000000-0005-0000-0000-00009DAD0000}"/>
    <cellStyle name="Normal 7 10 9 3" xfId="35042" xr:uid="{00000000-0005-0000-0000-00009EAD0000}"/>
    <cellStyle name="Normal 7 10 9 4" xfId="15906" xr:uid="{00000000-0005-0000-0000-00009FAD0000}"/>
    <cellStyle name="Normal 7 11" xfId="435" xr:uid="{00000000-0005-0000-0000-0000A0AD0000}"/>
    <cellStyle name="Normal 7 11 10" xfId="41422" xr:uid="{00000000-0005-0000-0000-0000A1AD0000}"/>
    <cellStyle name="Normal 7 11 11" xfId="25322" xr:uid="{00000000-0005-0000-0000-0000A2AD0000}"/>
    <cellStyle name="Normal 7 11 12" xfId="12717" xr:uid="{00000000-0005-0000-0000-0000A3AD0000}"/>
    <cellStyle name="Normal 7 11 2" xfId="792" xr:uid="{00000000-0005-0000-0000-0000A4AD0000}"/>
    <cellStyle name="Normal 7 11 2 10" xfId="13400" xr:uid="{00000000-0005-0000-0000-0000A5AD0000}"/>
    <cellStyle name="Normal 7 11 2 2" xfId="2820" xr:uid="{00000000-0005-0000-0000-0000A6AD0000}"/>
    <cellStyle name="Normal 7 11 2 2 2" xfId="9352" xr:uid="{00000000-0005-0000-0000-0000A7AD0000}"/>
    <cellStyle name="Normal 7 11 2 2 2 2" xfId="41093" xr:uid="{00000000-0005-0000-0000-0000A8AD0000}"/>
    <cellStyle name="Normal 7 11 2 2 2 2 2" xfId="57193" xr:uid="{00000000-0005-0000-0000-0000A9AD0000}"/>
    <cellStyle name="Normal 7 11 2 2 2 3" xfId="47626" xr:uid="{00000000-0005-0000-0000-0000AAAD0000}"/>
    <cellStyle name="Normal 7 11 2 2 2 4" xfId="31526" xr:uid="{00000000-0005-0000-0000-0000ABAD0000}"/>
    <cellStyle name="Normal 7 11 2 2 2 5" xfId="21957" xr:uid="{00000000-0005-0000-0000-0000ACAD0000}"/>
    <cellStyle name="Normal 7 11 2 2 3" xfId="12388" xr:uid="{00000000-0005-0000-0000-0000ADAD0000}"/>
    <cellStyle name="Normal 7 11 2 2 3 2" xfId="50662" xr:uid="{00000000-0005-0000-0000-0000AEAD0000}"/>
    <cellStyle name="Normal 7 11 2 2 3 3" xfId="34562" xr:uid="{00000000-0005-0000-0000-0000AFAD0000}"/>
    <cellStyle name="Normal 7 11 2 2 3 4" xfId="24993" xr:uid="{00000000-0005-0000-0000-0000B0AD0000}"/>
    <cellStyle name="Normal 7 11 2 2 4" xfId="6316" xr:uid="{00000000-0005-0000-0000-0000B1AD0000}"/>
    <cellStyle name="Normal 7 11 2 2 4 2" xfId="54157" xr:uid="{00000000-0005-0000-0000-0000B2AD0000}"/>
    <cellStyle name="Normal 7 11 2 2 4 3" xfId="38057" xr:uid="{00000000-0005-0000-0000-0000B3AD0000}"/>
    <cellStyle name="Normal 7 11 2 2 4 4" xfId="18921" xr:uid="{00000000-0005-0000-0000-0000B4AD0000}"/>
    <cellStyle name="Normal 7 11 2 2 5" xfId="44590" xr:uid="{00000000-0005-0000-0000-0000B5AD0000}"/>
    <cellStyle name="Normal 7 11 2 2 6" xfId="28490" xr:uid="{00000000-0005-0000-0000-0000B6AD0000}"/>
    <cellStyle name="Normal 7 11 2 2 7" xfId="15426" xr:uid="{00000000-0005-0000-0000-0000B7AD0000}"/>
    <cellStyle name="Normal 7 11 2 3" xfId="1802" xr:uid="{00000000-0005-0000-0000-0000B8AD0000}"/>
    <cellStyle name="Normal 7 11 2 3 2" xfId="8336" xr:uid="{00000000-0005-0000-0000-0000B9AD0000}"/>
    <cellStyle name="Normal 7 11 2 3 2 2" xfId="40077" xr:uid="{00000000-0005-0000-0000-0000BAAD0000}"/>
    <cellStyle name="Normal 7 11 2 3 2 2 2" xfId="56177" xr:uid="{00000000-0005-0000-0000-0000BBAD0000}"/>
    <cellStyle name="Normal 7 11 2 3 2 3" xfId="46610" xr:uid="{00000000-0005-0000-0000-0000BCAD0000}"/>
    <cellStyle name="Normal 7 11 2 3 2 4" xfId="30510" xr:uid="{00000000-0005-0000-0000-0000BDAD0000}"/>
    <cellStyle name="Normal 7 11 2 3 2 5" xfId="20941" xr:uid="{00000000-0005-0000-0000-0000BEAD0000}"/>
    <cellStyle name="Normal 7 11 2 3 3" xfId="11372" xr:uid="{00000000-0005-0000-0000-0000BFAD0000}"/>
    <cellStyle name="Normal 7 11 2 3 3 2" xfId="49646" xr:uid="{00000000-0005-0000-0000-0000C0AD0000}"/>
    <cellStyle name="Normal 7 11 2 3 3 3" xfId="33546" xr:uid="{00000000-0005-0000-0000-0000C1AD0000}"/>
    <cellStyle name="Normal 7 11 2 3 3 4" xfId="23977" xr:uid="{00000000-0005-0000-0000-0000C2AD0000}"/>
    <cellStyle name="Normal 7 11 2 3 4" xfId="5300" xr:uid="{00000000-0005-0000-0000-0000C3AD0000}"/>
    <cellStyle name="Normal 7 11 2 3 4 2" xfId="53141" xr:uid="{00000000-0005-0000-0000-0000C4AD0000}"/>
    <cellStyle name="Normal 7 11 2 3 4 3" xfId="37041" xr:uid="{00000000-0005-0000-0000-0000C5AD0000}"/>
    <cellStyle name="Normal 7 11 2 3 4 4" xfId="17905" xr:uid="{00000000-0005-0000-0000-0000C6AD0000}"/>
    <cellStyle name="Normal 7 11 2 3 5" xfId="43574" xr:uid="{00000000-0005-0000-0000-0000C7AD0000}"/>
    <cellStyle name="Normal 7 11 2 3 6" xfId="27474" xr:uid="{00000000-0005-0000-0000-0000C8AD0000}"/>
    <cellStyle name="Normal 7 11 2 3 7" xfId="14410" xr:uid="{00000000-0005-0000-0000-0000C9AD0000}"/>
    <cellStyle name="Normal 7 11 2 4" xfId="4290" xr:uid="{00000000-0005-0000-0000-0000CAAD0000}"/>
    <cellStyle name="Normal 7 11 2 4 2" xfId="36031" xr:uid="{00000000-0005-0000-0000-0000CBAD0000}"/>
    <cellStyle name="Normal 7 11 2 4 2 2" xfId="52131" xr:uid="{00000000-0005-0000-0000-0000CCAD0000}"/>
    <cellStyle name="Normal 7 11 2 4 3" xfId="42564" xr:uid="{00000000-0005-0000-0000-0000CDAD0000}"/>
    <cellStyle name="Normal 7 11 2 4 4" xfId="26464" xr:uid="{00000000-0005-0000-0000-0000CEAD0000}"/>
    <cellStyle name="Normal 7 11 2 4 5" xfId="16895" xr:uid="{00000000-0005-0000-0000-0000CFAD0000}"/>
    <cellStyle name="Normal 7 11 2 5" xfId="7326" xr:uid="{00000000-0005-0000-0000-0000D0AD0000}"/>
    <cellStyle name="Normal 7 11 2 5 2" xfId="39067" xr:uid="{00000000-0005-0000-0000-0000D1AD0000}"/>
    <cellStyle name="Normal 7 11 2 5 2 2" xfId="55167" xr:uid="{00000000-0005-0000-0000-0000D2AD0000}"/>
    <cellStyle name="Normal 7 11 2 5 3" xfId="45600" xr:uid="{00000000-0005-0000-0000-0000D3AD0000}"/>
    <cellStyle name="Normal 7 11 2 5 4" xfId="29500" xr:uid="{00000000-0005-0000-0000-0000D4AD0000}"/>
    <cellStyle name="Normal 7 11 2 5 5" xfId="19931" xr:uid="{00000000-0005-0000-0000-0000D5AD0000}"/>
    <cellStyle name="Normal 7 11 2 6" xfId="10362" xr:uid="{00000000-0005-0000-0000-0000D6AD0000}"/>
    <cellStyle name="Normal 7 11 2 6 2" xfId="48636" xr:uid="{00000000-0005-0000-0000-0000D7AD0000}"/>
    <cellStyle name="Normal 7 11 2 6 3" xfId="32536" xr:uid="{00000000-0005-0000-0000-0000D8AD0000}"/>
    <cellStyle name="Normal 7 11 2 6 4" xfId="22967" xr:uid="{00000000-0005-0000-0000-0000D9AD0000}"/>
    <cellStyle name="Normal 7 11 2 7" xfId="3385" xr:uid="{00000000-0005-0000-0000-0000DAAD0000}"/>
    <cellStyle name="Normal 7 11 2 7 2" xfId="51226" xr:uid="{00000000-0005-0000-0000-0000DBAD0000}"/>
    <cellStyle name="Normal 7 11 2 7 3" xfId="35126" xr:uid="{00000000-0005-0000-0000-0000DCAD0000}"/>
    <cellStyle name="Normal 7 11 2 7 4" xfId="15990" xr:uid="{00000000-0005-0000-0000-0000DDAD0000}"/>
    <cellStyle name="Normal 7 11 2 8" xfId="41659" xr:uid="{00000000-0005-0000-0000-0000DEAD0000}"/>
    <cellStyle name="Normal 7 11 2 9" xfId="25559" xr:uid="{00000000-0005-0000-0000-0000DFAD0000}"/>
    <cellStyle name="Normal 7 11 3" xfId="650" xr:uid="{00000000-0005-0000-0000-0000E0AD0000}"/>
    <cellStyle name="Normal 7 11 3 2" xfId="2678" xr:uid="{00000000-0005-0000-0000-0000E1AD0000}"/>
    <cellStyle name="Normal 7 11 3 2 2" xfId="9210" xr:uid="{00000000-0005-0000-0000-0000E2AD0000}"/>
    <cellStyle name="Normal 7 11 3 2 2 2" xfId="40951" xr:uid="{00000000-0005-0000-0000-0000E3AD0000}"/>
    <cellStyle name="Normal 7 11 3 2 2 2 2" xfId="57051" xr:uid="{00000000-0005-0000-0000-0000E4AD0000}"/>
    <cellStyle name="Normal 7 11 3 2 2 3" xfId="47484" xr:uid="{00000000-0005-0000-0000-0000E5AD0000}"/>
    <cellStyle name="Normal 7 11 3 2 2 4" xfId="31384" xr:uid="{00000000-0005-0000-0000-0000E6AD0000}"/>
    <cellStyle name="Normal 7 11 3 2 2 5" xfId="21815" xr:uid="{00000000-0005-0000-0000-0000E7AD0000}"/>
    <cellStyle name="Normal 7 11 3 2 3" xfId="12246" xr:uid="{00000000-0005-0000-0000-0000E8AD0000}"/>
    <cellStyle name="Normal 7 11 3 2 3 2" xfId="50520" xr:uid="{00000000-0005-0000-0000-0000E9AD0000}"/>
    <cellStyle name="Normal 7 11 3 2 3 3" xfId="34420" xr:uid="{00000000-0005-0000-0000-0000EAAD0000}"/>
    <cellStyle name="Normal 7 11 3 2 3 4" xfId="24851" xr:uid="{00000000-0005-0000-0000-0000EBAD0000}"/>
    <cellStyle name="Normal 7 11 3 2 4" xfId="6174" xr:uid="{00000000-0005-0000-0000-0000ECAD0000}"/>
    <cellStyle name="Normal 7 11 3 2 4 2" xfId="54015" xr:uid="{00000000-0005-0000-0000-0000EDAD0000}"/>
    <cellStyle name="Normal 7 11 3 2 4 3" xfId="37915" xr:uid="{00000000-0005-0000-0000-0000EEAD0000}"/>
    <cellStyle name="Normal 7 11 3 2 4 4" xfId="18779" xr:uid="{00000000-0005-0000-0000-0000EFAD0000}"/>
    <cellStyle name="Normal 7 11 3 2 5" xfId="44448" xr:uid="{00000000-0005-0000-0000-0000F0AD0000}"/>
    <cellStyle name="Normal 7 11 3 2 6" xfId="28348" xr:uid="{00000000-0005-0000-0000-0000F1AD0000}"/>
    <cellStyle name="Normal 7 11 3 2 7" xfId="15284" xr:uid="{00000000-0005-0000-0000-0000F2AD0000}"/>
    <cellStyle name="Normal 7 11 3 3" xfId="1660" xr:uid="{00000000-0005-0000-0000-0000F3AD0000}"/>
    <cellStyle name="Normal 7 11 3 3 2" xfId="8194" xr:uid="{00000000-0005-0000-0000-0000F4AD0000}"/>
    <cellStyle name="Normal 7 11 3 3 2 2" xfId="39935" xr:uid="{00000000-0005-0000-0000-0000F5AD0000}"/>
    <cellStyle name="Normal 7 11 3 3 2 2 2" xfId="56035" xr:uid="{00000000-0005-0000-0000-0000F6AD0000}"/>
    <cellStyle name="Normal 7 11 3 3 2 3" xfId="46468" xr:uid="{00000000-0005-0000-0000-0000F7AD0000}"/>
    <cellStyle name="Normal 7 11 3 3 2 4" xfId="30368" xr:uid="{00000000-0005-0000-0000-0000F8AD0000}"/>
    <cellStyle name="Normal 7 11 3 3 2 5" xfId="20799" xr:uid="{00000000-0005-0000-0000-0000F9AD0000}"/>
    <cellStyle name="Normal 7 11 3 3 3" xfId="11230" xr:uid="{00000000-0005-0000-0000-0000FAAD0000}"/>
    <cellStyle name="Normal 7 11 3 3 3 2" xfId="49504" xr:uid="{00000000-0005-0000-0000-0000FBAD0000}"/>
    <cellStyle name="Normal 7 11 3 3 3 3" xfId="33404" xr:uid="{00000000-0005-0000-0000-0000FCAD0000}"/>
    <cellStyle name="Normal 7 11 3 3 3 4" xfId="23835" xr:uid="{00000000-0005-0000-0000-0000FDAD0000}"/>
    <cellStyle name="Normal 7 11 3 3 4" xfId="5158" xr:uid="{00000000-0005-0000-0000-0000FEAD0000}"/>
    <cellStyle name="Normal 7 11 3 3 4 2" xfId="52999" xr:uid="{00000000-0005-0000-0000-0000FFAD0000}"/>
    <cellStyle name="Normal 7 11 3 3 4 3" xfId="36899" xr:uid="{00000000-0005-0000-0000-000000AE0000}"/>
    <cellStyle name="Normal 7 11 3 3 4 4" xfId="17763" xr:uid="{00000000-0005-0000-0000-000001AE0000}"/>
    <cellStyle name="Normal 7 11 3 3 5" xfId="43432" xr:uid="{00000000-0005-0000-0000-000002AE0000}"/>
    <cellStyle name="Normal 7 11 3 3 6" xfId="27332" xr:uid="{00000000-0005-0000-0000-000003AE0000}"/>
    <cellStyle name="Normal 7 11 3 3 7" xfId="14268" xr:uid="{00000000-0005-0000-0000-000004AE0000}"/>
    <cellStyle name="Normal 7 11 3 4" xfId="7184" xr:uid="{00000000-0005-0000-0000-000005AE0000}"/>
    <cellStyle name="Normal 7 11 3 4 2" xfId="38925" xr:uid="{00000000-0005-0000-0000-000006AE0000}"/>
    <cellStyle name="Normal 7 11 3 4 2 2" xfId="55025" xr:uid="{00000000-0005-0000-0000-000007AE0000}"/>
    <cellStyle name="Normal 7 11 3 4 3" xfId="45458" xr:uid="{00000000-0005-0000-0000-000008AE0000}"/>
    <cellStyle name="Normal 7 11 3 4 4" xfId="29358" xr:uid="{00000000-0005-0000-0000-000009AE0000}"/>
    <cellStyle name="Normal 7 11 3 4 5" xfId="19789" xr:uid="{00000000-0005-0000-0000-00000AAE0000}"/>
    <cellStyle name="Normal 7 11 3 5" xfId="10220" xr:uid="{00000000-0005-0000-0000-00000BAE0000}"/>
    <cellStyle name="Normal 7 11 3 5 2" xfId="48494" xr:uid="{00000000-0005-0000-0000-00000CAE0000}"/>
    <cellStyle name="Normal 7 11 3 5 3" xfId="32394" xr:uid="{00000000-0005-0000-0000-00000DAE0000}"/>
    <cellStyle name="Normal 7 11 3 5 4" xfId="22825" xr:uid="{00000000-0005-0000-0000-00000EAE0000}"/>
    <cellStyle name="Normal 7 11 3 6" xfId="4148" xr:uid="{00000000-0005-0000-0000-00000FAE0000}"/>
    <cellStyle name="Normal 7 11 3 6 2" xfId="51989" xr:uid="{00000000-0005-0000-0000-000010AE0000}"/>
    <cellStyle name="Normal 7 11 3 6 3" xfId="35889" xr:uid="{00000000-0005-0000-0000-000011AE0000}"/>
    <cellStyle name="Normal 7 11 3 6 4" xfId="16753" xr:uid="{00000000-0005-0000-0000-000012AE0000}"/>
    <cellStyle name="Normal 7 11 3 7" xfId="42422" xr:uid="{00000000-0005-0000-0000-000013AE0000}"/>
    <cellStyle name="Normal 7 11 3 8" xfId="26322" xr:uid="{00000000-0005-0000-0000-000014AE0000}"/>
    <cellStyle name="Normal 7 11 3 9" xfId="13258" xr:uid="{00000000-0005-0000-0000-000015AE0000}"/>
    <cellStyle name="Normal 7 11 4" xfId="2450" xr:uid="{00000000-0005-0000-0000-000016AE0000}"/>
    <cellStyle name="Normal 7 11 4 2" xfId="8982" xr:uid="{00000000-0005-0000-0000-000017AE0000}"/>
    <cellStyle name="Normal 7 11 4 2 2" xfId="40723" xr:uid="{00000000-0005-0000-0000-000018AE0000}"/>
    <cellStyle name="Normal 7 11 4 2 2 2" xfId="56823" xr:uid="{00000000-0005-0000-0000-000019AE0000}"/>
    <cellStyle name="Normal 7 11 4 2 3" xfId="47256" xr:uid="{00000000-0005-0000-0000-00001AAE0000}"/>
    <cellStyle name="Normal 7 11 4 2 4" xfId="31156" xr:uid="{00000000-0005-0000-0000-00001BAE0000}"/>
    <cellStyle name="Normal 7 11 4 2 5" xfId="21587" xr:uid="{00000000-0005-0000-0000-00001CAE0000}"/>
    <cellStyle name="Normal 7 11 4 3" xfId="12018" xr:uid="{00000000-0005-0000-0000-00001DAE0000}"/>
    <cellStyle name="Normal 7 11 4 3 2" xfId="50292" xr:uid="{00000000-0005-0000-0000-00001EAE0000}"/>
    <cellStyle name="Normal 7 11 4 3 3" xfId="34192" xr:uid="{00000000-0005-0000-0000-00001FAE0000}"/>
    <cellStyle name="Normal 7 11 4 3 4" xfId="24623" xr:uid="{00000000-0005-0000-0000-000020AE0000}"/>
    <cellStyle name="Normal 7 11 4 4" xfId="5946" xr:uid="{00000000-0005-0000-0000-000021AE0000}"/>
    <cellStyle name="Normal 7 11 4 4 2" xfId="53787" xr:uid="{00000000-0005-0000-0000-000022AE0000}"/>
    <cellStyle name="Normal 7 11 4 4 3" xfId="37687" xr:uid="{00000000-0005-0000-0000-000023AE0000}"/>
    <cellStyle name="Normal 7 11 4 4 4" xfId="18551" xr:uid="{00000000-0005-0000-0000-000024AE0000}"/>
    <cellStyle name="Normal 7 11 4 5" xfId="44220" xr:uid="{00000000-0005-0000-0000-000025AE0000}"/>
    <cellStyle name="Normal 7 11 4 6" xfId="28120" xr:uid="{00000000-0005-0000-0000-000026AE0000}"/>
    <cellStyle name="Normal 7 11 4 7" xfId="15056" xr:uid="{00000000-0005-0000-0000-000027AE0000}"/>
    <cellStyle name="Normal 7 11 5" xfId="1119" xr:uid="{00000000-0005-0000-0000-000028AE0000}"/>
    <cellStyle name="Normal 7 11 5 2" xfId="7653" xr:uid="{00000000-0005-0000-0000-000029AE0000}"/>
    <cellStyle name="Normal 7 11 5 2 2" xfId="39394" xr:uid="{00000000-0005-0000-0000-00002AAE0000}"/>
    <cellStyle name="Normal 7 11 5 2 2 2" xfId="55494" xr:uid="{00000000-0005-0000-0000-00002BAE0000}"/>
    <cellStyle name="Normal 7 11 5 2 3" xfId="45927" xr:uid="{00000000-0005-0000-0000-00002CAE0000}"/>
    <cellStyle name="Normal 7 11 5 2 4" xfId="29827" xr:uid="{00000000-0005-0000-0000-00002DAE0000}"/>
    <cellStyle name="Normal 7 11 5 2 5" xfId="20258" xr:uid="{00000000-0005-0000-0000-00002EAE0000}"/>
    <cellStyle name="Normal 7 11 5 3" xfId="10689" xr:uid="{00000000-0005-0000-0000-00002FAE0000}"/>
    <cellStyle name="Normal 7 11 5 3 2" xfId="48963" xr:uid="{00000000-0005-0000-0000-000030AE0000}"/>
    <cellStyle name="Normal 7 11 5 3 3" xfId="32863" xr:uid="{00000000-0005-0000-0000-000031AE0000}"/>
    <cellStyle name="Normal 7 11 5 3 4" xfId="23294" xr:uid="{00000000-0005-0000-0000-000032AE0000}"/>
    <cellStyle name="Normal 7 11 5 4" xfId="4617" xr:uid="{00000000-0005-0000-0000-000033AE0000}"/>
    <cellStyle name="Normal 7 11 5 4 2" xfId="52458" xr:uid="{00000000-0005-0000-0000-000034AE0000}"/>
    <cellStyle name="Normal 7 11 5 4 3" xfId="36358" xr:uid="{00000000-0005-0000-0000-000035AE0000}"/>
    <cellStyle name="Normal 7 11 5 4 4" xfId="17222" xr:uid="{00000000-0005-0000-0000-000036AE0000}"/>
    <cellStyle name="Normal 7 11 5 5" xfId="42891" xr:uid="{00000000-0005-0000-0000-000037AE0000}"/>
    <cellStyle name="Normal 7 11 5 6" xfId="26791" xr:uid="{00000000-0005-0000-0000-000038AE0000}"/>
    <cellStyle name="Normal 7 11 5 7" xfId="13727" xr:uid="{00000000-0005-0000-0000-000039AE0000}"/>
    <cellStyle name="Normal 7 11 6" xfId="3607" xr:uid="{00000000-0005-0000-0000-00003AAE0000}"/>
    <cellStyle name="Normal 7 11 6 2" xfId="35348" xr:uid="{00000000-0005-0000-0000-00003BAE0000}"/>
    <cellStyle name="Normal 7 11 6 2 2" xfId="51448" xr:uid="{00000000-0005-0000-0000-00003CAE0000}"/>
    <cellStyle name="Normal 7 11 6 3" xfId="41881" xr:uid="{00000000-0005-0000-0000-00003DAE0000}"/>
    <cellStyle name="Normal 7 11 6 4" xfId="25781" xr:uid="{00000000-0005-0000-0000-00003EAE0000}"/>
    <cellStyle name="Normal 7 11 6 5" xfId="16212" xr:uid="{00000000-0005-0000-0000-00003FAE0000}"/>
    <cellStyle name="Normal 7 11 7" xfId="6643" xr:uid="{00000000-0005-0000-0000-000040AE0000}"/>
    <cellStyle name="Normal 7 11 7 2" xfId="38384" xr:uid="{00000000-0005-0000-0000-000041AE0000}"/>
    <cellStyle name="Normal 7 11 7 2 2" xfId="54484" xr:uid="{00000000-0005-0000-0000-000042AE0000}"/>
    <cellStyle name="Normal 7 11 7 3" xfId="44917" xr:uid="{00000000-0005-0000-0000-000043AE0000}"/>
    <cellStyle name="Normal 7 11 7 4" xfId="28817" xr:uid="{00000000-0005-0000-0000-000044AE0000}"/>
    <cellStyle name="Normal 7 11 7 5" xfId="19248" xr:uid="{00000000-0005-0000-0000-000045AE0000}"/>
    <cellStyle name="Normal 7 11 8" xfId="9679" xr:uid="{00000000-0005-0000-0000-000046AE0000}"/>
    <cellStyle name="Normal 7 11 8 2" xfId="47953" xr:uid="{00000000-0005-0000-0000-000047AE0000}"/>
    <cellStyle name="Normal 7 11 8 3" xfId="31853" xr:uid="{00000000-0005-0000-0000-000048AE0000}"/>
    <cellStyle name="Normal 7 11 8 4" xfId="22284" xr:uid="{00000000-0005-0000-0000-000049AE0000}"/>
    <cellStyle name="Normal 7 11 9" xfId="3147" xr:uid="{00000000-0005-0000-0000-00004AAE0000}"/>
    <cellStyle name="Normal 7 11 9 2" xfId="50989" xr:uid="{00000000-0005-0000-0000-00004BAE0000}"/>
    <cellStyle name="Normal 7 11 9 3" xfId="34889" xr:uid="{00000000-0005-0000-0000-00004CAE0000}"/>
    <cellStyle name="Normal 7 11 9 4" xfId="15753" xr:uid="{00000000-0005-0000-0000-00004DAE0000}"/>
    <cellStyle name="Normal 7 12" xfId="416" xr:uid="{00000000-0005-0000-0000-00004EAE0000}"/>
    <cellStyle name="Normal 7 12 10" xfId="41405" xr:uid="{00000000-0005-0000-0000-00004FAE0000}"/>
    <cellStyle name="Normal 7 12 11" xfId="25305" xr:uid="{00000000-0005-0000-0000-000050AE0000}"/>
    <cellStyle name="Normal 7 12 12" xfId="12700" xr:uid="{00000000-0005-0000-0000-000051AE0000}"/>
    <cellStyle name="Normal 7 12 2" xfId="775" xr:uid="{00000000-0005-0000-0000-000052AE0000}"/>
    <cellStyle name="Normal 7 12 2 10" xfId="13383" xr:uid="{00000000-0005-0000-0000-000053AE0000}"/>
    <cellStyle name="Normal 7 12 2 2" xfId="2803" xr:uid="{00000000-0005-0000-0000-000054AE0000}"/>
    <cellStyle name="Normal 7 12 2 2 2" xfId="9335" xr:uid="{00000000-0005-0000-0000-000055AE0000}"/>
    <cellStyle name="Normal 7 12 2 2 2 2" xfId="41076" xr:uid="{00000000-0005-0000-0000-000056AE0000}"/>
    <cellStyle name="Normal 7 12 2 2 2 2 2" xfId="57176" xr:uid="{00000000-0005-0000-0000-000057AE0000}"/>
    <cellStyle name="Normal 7 12 2 2 2 3" xfId="47609" xr:uid="{00000000-0005-0000-0000-000058AE0000}"/>
    <cellStyle name="Normal 7 12 2 2 2 4" xfId="31509" xr:uid="{00000000-0005-0000-0000-000059AE0000}"/>
    <cellStyle name="Normal 7 12 2 2 2 5" xfId="21940" xr:uid="{00000000-0005-0000-0000-00005AAE0000}"/>
    <cellStyle name="Normal 7 12 2 2 3" xfId="12371" xr:uid="{00000000-0005-0000-0000-00005BAE0000}"/>
    <cellStyle name="Normal 7 12 2 2 3 2" xfId="50645" xr:uid="{00000000-0005-0000-0000-00005CAE0000}"/>
    <cellStyle name="Normal 7 12 2 2 3 3" xfId="34545" xr:uid="{00000000-0005-0000-0000-00005DAE0000}"/>
    <cellStyle name="Normal 7 12 2 2 3 4" xfId="24976" xr:uid="{00000000-0005-0000-0000-00005EAE0000}"/>
    <cellStyle name="Normal 7 12 2 2 4" xfId="6299" xr:uid="{00000000-0005-0000-0000-00005FAE0000}"/>
    <cellStyle name="Normal 7 12 2 2 4 2" xfId="54140" xr:uid="{00000000-0005-0000-0000-000060AE0000}"/>
    <cellStyle name="Normal 7 12 2 2 4 3" xfId="38040" xr:uid="{00000000-0005-0000-0000-000061AE0000}"/>
    <cellStyle name="Normal 7 12 2 2 4 4" xfId="18904" xr:uid="{00000000-0005-0000-0000-000062AE0000}"/>
    <cellStyle name="Normal 7 12 2 2 5" xfId="44573" xr:uid="{00000000-0005-0000-0000-000063AE0000}"/>
    <cellStyle name="Normal 7 12 2 2 6" xfId="28473" xr:uid="{00000000-0005-0000-0000-000064AE0000}"/>
    <cellStyle name="Normal 7 12 2 2 7" xfId="15409" xr:uid="{00000000-0005-0000-0000-000065AE0000}"/>
    <cellStyle name="Normal 7 12 2 3" xfId="1785" xr:uid="{00000000-0005-0000-0000-000066AE0000}"/>
    <cellStyle name="Normal 7 12 2 3 2" xfId="8319" xr:uid="{00000000-0005-0000-0000-000067AE0000}"/>
    <cellStyle name="Normal 7 12 2 3 2 2" xfId="40060" xr:uid="{00000000-0005-0000-0000-000068AE0000}"/>
    <cellStyle name="Normal 7 12 2 3 2 2 2" xfId="56160" xr:uid="{00000000-0005-0000-0000-000069AE0000}"/>
    <cellStyle name="Normal 7 12 2 3 2 3" xfId="46593" xr:uid="{00000000-0005-0000-0000-00006AAE0000}"/>
    <cellStyle name="Normal 7 12 2 3 2 4" xfId="30493" xr:uid="{00000000-0005-0000-0000-00006BAE0000}"/>
    <cellStyle name="Normal 7 12 2 3 2 5" xfId="20924" xr:uid="{00000000-0005-0000-0000-00006CAE0000}"/>
    <cellStyle name="Normal 7 12 2 3 3" xfId="11355" xr:uid="{00000000-0005-0000-0000-00006DAE0000}"/>
    <cellStyle name="Normal 7 12 2 3 3 2" xfId="49629" xr:uid="{00000000-0005-0000-0000-00006EAE0000}"/>
    <cellStyle name="Normal 7 12 2 3 3 3" xfId="33529" xr:uid="{00000000-0005-0000-0000-00006FAE0000}"/>
    <cellStyle name="Normal 7 12 2 3 3 4" xfId="23960" xr:uid="{00000000-0005-0000-0000-000070AE0000}"/>
    <cellStyle name="Normal 7 12 2 3 4" xfId="5283" xr:uid="{00000000-0005-0000-0000-000071AE0000}"/>
    <cellStyle name="Normal 7 12 2 3 4 2" xfId="53124" xr:uid="{00000000-0005-0000-0000-000072AE0000}"/>
    <cellStyle name="Normal 7 12 2 3 4 3" xfId="37024" xr:uid="{00000000-0005-0000-0000-000073AE0000}"/>
    <cellStyle name="Normal 7 12 2 3 4 4" xfId="17888" xr:uid="{00000000-0005-0000-0000-000074AE0000}"/>
    <cellStyle name="Normal 7 12 2 3 5" xfId="43557" xr:uid="{00000000-0005-0000-0000-000075AE0000}"/>
    <cellStyle name="Normal 7 12 2 3 6" xfId="27457" xr:uid="{00000000-0005-0000-0000-000076AE0000}"/>
    <cellStyle name="Normal 7 12 2 3 7" xfId="14393" xr:uid="{00000000-0005-0000-0000-000077AE0000}"/>
    <cellStyle name="Normal 7 12 2 4" xfId="4273" xr:uid="{00000000-0005-0000-0000-000078AE0000}"/>
    <cellStyle name="Normal 7 12 2 4 2" xfId="36014" xr:uid="{00000000-0005-0000-0000-000079AE0000}"/>
    <cellStyle name="Normal 7 12 2 4 2 2" xfId="52114" xr:uid="{00000000-0005-0000-0000-00007AAE0000}"/>
    <cellStyle name="Normal 7 12 2 4 3" xfId="42547" xr:uid="{00000000-0005-0000-0000-00007BAE0000}"/>
    <cellStyle name="Normal 7 12 2 4 4" xfId="26447" xr:uid="{00000000-0005-0000-0000-00007CAE0000}"/>
    <cellStyle name="Normal 7 12 2 4 5" xfId="16878" xr:uid="{00000000-0005-0000-0000-00007DAE0000}"/>
    <cellStyle name="Normal 7 12 2 5" xfId="7309" xr:uid="{00000000-0005-0000-0000-00007EAE0000}"/>
    <cellStyle name="Normal 7 12 2 5 2" xfId="39050" xr:uid="{00000000-0005-0000-0000-00007FAE0000}"/>
    <cellStyle name="Normal 7 12 2 5 2 2" xfId="55150" xr:uid="{00000000-0005-0000-0000-000080AE0000}"/>
    <cellStyle name="Normal 7 12 2 5 3" xfId="45583" xr:uid="{00000000-0005-0000-0000-000081AE0000}"/>
    <cellStyle name="Normal 7 12 2 5 4" xfId="29483" xr:uid="{00000000-0005-0000-0000-000082AE0000}"/>
    <cellStyle name="Normal 7 12 2 5 5" xfId="19914" xr:uid="{00000000-0005-0000-0000-000083AE0000}"/>
    <cellStyle name="Normal 7 12 2 6" xfId="10345" xr:uid="{00000000-0005-0000-0000-000084AE0000}"/>
    <cellStyle name="Normal 7 12 2 6 2" xfId="48619" xr:uid="{00000000-0005-0000-0000-000085AE0000}"/>
    <cellStyle name="Normal 7 12 2 6 3" xfId="32519" xr:uid="{00000000-0005-0000-0000-000086AE0000}"/>
    <cellStyle name="Normal 7 12 2 6 4" xfId="22950" xr:uid="{00000000-0005-0000-0000-000087AE0000}"/>
    <cellStyle name="Normal 7 12 2 7" xfId="3368" xr:uid="{00000000-0005-0000-0000-000088AE0000}"/>
    <cellStyle name="Normal 7 12 2 7 2" xfId="51209" xr:uid="{00000000-0005-0000-0000-000089AE0000}"/>
    <cellStyle name="Normal 7 12 2 7 3" xfId="35109" xr:uid="{00000000-0005-0000-0000-00008AAE0000}"/>
    <cellStyle name="Normal 7 12 2 7 4" xfId="15973" xr:uid="{00000000-0005-0000-0000-00008BAE0000}"/>
    <cellStyle name="Normal 7 12 2 8" xfId="41642" xr:uid="{00000000-0005-0000-0000-00008CAE0000}"/>
    <cellStyle name="Normal 7 12 2 9" xfId="25542" xr:uid="{00000000-0005-0000-0000-00008DAE0000}"/>
    <cellStyle name="Normal 7 12 3" xfId="633" xr:uid="{00000000-0005-0000-0000-00008EAE0000}"/>
    <cellStyle name="Normal 7 12 3 2" xfId="2661" xr:uid="{00000000-0005-0000-0000-00008FAE0000}"/>
    <cellStyle name="Normal 7 12 3 2 2" xfId="9193" xr:uid="{00000000-0005-0000-0000-000090AE0000}"/>
    <cellStyle name="Normal 7 12 3 2 2 2" xfId="40934" xr:uid="{00000000-0005-0000-0000-000091AE0000}"/>
    <cellStyle name="Normal 7 12 3 2 2 2 2" xfId="57034" xr:uid="{00000000-0005-0000-0000-000092AE0000}"/>
    <cellStyle name="Normal 7 12 3 2 2 3" xfId="47467" xr:uid="{00000000-0005-0000-0000-000093AE0000}"/>
    <cellStyle name="Normal 7 12 3 2 2 4" xfId="31367" xr:uid="{00000000-0005-0000-0000-000094AE0000}"/>
    <cellStyle name="Normal 7 12 3 2 2 5" xfId="21798" xr:uid="{00000000-0005-0000-0000-000095AE0000}"/>
    <cellStyle name="Normal 7 12 3 2 3" xfId="12229" xr:uid="{00000000-0005-0000-0000-000096AE0000}"/>
    <cellStyle name="Normal 7 12 3 2 3 2" xfId="50503" xr:uid="{00000000-0005-0000-0000-000097AE0000}"/>
    <cellStyle name="Normal 7 12 3 2 3 3" xfId="34403" xr:uid="{00000000-0005-0000-0000-000098AE0000}"/>
    <cellStyle name="Normal 7 12 3 2 3 4" xfId="24834" xr:uid="{00000000-0005-0000-0000-000099AE0000}"/>
    <cellStyle name="Normal 7 12 3 2 4" xfId="6157" xr:uid="{00000000-0005-0000-0000-00009AAE0000}"/>
    <cellStyle name="Normal 7 12 3 2 4 2" xfId="53998" xr:uid="{00000000-0005-0000-0000-00009BAE0000}"/>
    <cellStyle name="Normal 7 12 3 2 4 3" xfId="37898" xr:uid="{00000000-0005-0000-0000-00009CAE0000}"/>
    <cellStyle name="Normal 7 12 3 2 4 4" xfId="18762" xr:uid="{00000000-0005-0000-0000-00009DAE0000}"/>
    <cellStyle name="Normal 7 12 3 2 5" xfId="44431" xr:uid="{00000000-0005-0000-0000-00009EAE0000}"/>
    <cellStyle name="Normal 7 12 3 2 6" xfId="28331" xr:uid="{00000000-0005-0000-0000-00009FAE0000}"/>
    <cellStyle name="Normal 7 12 3 2 7" xfId="15267" xr:uid="{00000000-0005-0000-0000-0000A0AE0000}"/>
    <cellStyle name="Normal 7 12 3 3" xfId="1643" xr:uid="{00000000-0005-0000-0000-0000A1AE0000}"/>
    <cellStyle name="Normal 7 12 3 3 2" xfId="8177" xr:uid="{00000000-0005-0000-0000-0000A2AE0000}"/>
    <cellStyle name="Normal 7 12 3 3 2 2" xfId="39918" xr:uid="{00000000-0005-0000-0000-0000A3AE0000}"/>
    <cellStyle name="Normal 7 12 3 3 2 2 2" xfId="56018" xr:uid="{00000000-0005-0000-0000-0000A4AE0000}"/>
    <cellStyle name="Normal 7 12 3 3 2 3" xfId="46451" xr:uid="{00000000-0005-0000-0000-0000A5AE0000}"/>
    <cellStyle name="Normal 7 12 3 3 2 4" xfId="30351" xr:uid="{00000000-0005-0000-0000-0000A6AE0000}"/>
    <cellStyle name="Normal 7 12 3 3 2 5" xfId="20782" xr:uid="{00000000-0005-0000-0000-0000A7AE0000}"/>
    <cellStyle name="Normal 7 12 3 3 3" xfId="11213" xr:uid="{00000000-0005-0000-0000-0000A8AE0000}"/>
    <cellStyle name="Normal 7 12 3 3 3 2" xfId="49487" xr:uid="{00000000-0005-0000-0000-0000A9AE0000}"/>
    <cellStyle name="Normal 7 12 3 3 3 3" xfId="33387" xr:uid="{00000000-0005-0000-0000-0000AAAE0000}"/>
    <cellStyle name="Normal 7 12 3 3 3 4" xfId="23818" xr:uid="{00000000-0005-0000-0000-0000ABAE0000}"/>
    <cellStyle name="Normal 7 12 3 3 4" xfId="5141" xr:uid="{00000000-0005-0000-0000-0000ACAE0000}"/>
    <cellStyle name="Normal 7 12 3 3 4 2" xfId="52982" xr:uid="{00000000-0005-0000-0000-0000ADAE0000}"/>
    <cellStyle name="Normal 7 12 3 3 4 3" xfId="36882" xr:uid="{00000000-0005-0000-0000-0000AEAE0000}"/>
    <cellStyle name="Normal 7 12 3 3 4 4" xfId="17746" xr:uid="{00000000-0005-0000-0000-0000AFAE0000}"/>
    <cellStyle name="Normal 7 12 3 3 5" xfId="43415" xr:uid="{00000000-0005-0000-0000-0000B0AE0000}"/>
    <cellStyle name="Normal 7 12 3 3 6" xfId="27315" xr:uid="{00000000-0005-0000-0000-0000B1AE0000}"/>
    <cellStyle name="Normal 7 12 3 3 7" xfId="14251" xr:uid="{00000000-0005-0000-0000-0000B2AE0000}"/>
    <cellStyle name="Normal 7 12 3 4" xfId="7167" xr:uid="{00000000-0005-0000-0000-0000B3AE0000}"/>
    <cellStyle name="Normal 7 12 3 4 2" xfId="38908" xr:uid="{00000000-0005-0000-0000-0000B4AE0000}"/>
    <cellStyle name="Normal 7 12 3 4 2 2" xfId="55008" xr:uid="{00000000-0005-0000-0000-0000B5AE0000}"/>
    <cellStyle name="Normal 7 12 3 4 3" xfId="45441" xr:uid="{00000000-0005-0000-0000-0000B6AE0000}"/>
    <cellStyle name="Normal 7 12 3 4 4" xfId="29341" xr:uid="{00000000-0005-0000-0000-0000B7AE0000}"/>
    <cellStyle name="Normal 7 12 3 4 5" xfId="19772" xr:uid="{00000000-0005-0000-0000-0000B8AE0000}"/>
    <cellStyle name="Normal 7 12 3 5" xfId="10203" xr:uid="{00000000-0005-0000-0000-0000B9AE0000}"/>
    <cellStyle name="Normal 7 12 3 5 2" xfId="48477" xr:uid="{00000000-0005-0000-0000-0000BAAE0000}"/>
    <cellStyle name="Normal 7 12 3 5 3" xfId="32377" xr:uid="{00000000-0005-0000-0000-0000BBAE0000}"/>
    <cellStyle name="Normal 7 12 3 5 4" xfId="22808" xr:uid="{00000000-0005-0000-0000-0000BCAE0000}"/>
    <cellStyle name="Normal 7 12 3 6" xfId="4131" xr:uid="{00000000-0005-0000-0000-0000BDAE0000}"/>
    <cellStyle name="Normal 7 12 3 6 2" xfId="51972" xr:uid="{00000000-0005-0000-0000-0000BEAE0000}"/>
    <cellStyle name="Normal 7 12 3 6 3" xfId="35872" xr:uid="{00000000-0005-0000-0000-0000BFAE0000}"/>
    <cellStyle name="Normal 7 12 3 6 4" xfId="16736" xr:uid="{00000000-0005-0000-0000-0000C0AE0000}"/>
    <cellStyle name="Normal 7 12 3 7" xfId="42405" xr:uid="{00000000-0005-0000-0000-0000C1AE0000}"/>
    <cellStyle name="Normal 7 12 3 8" xfId="26305" xr:uid="{00000000-0005-0000-0000-0000C2AE0000}"/>
    <cellStyle name="Normal 7 12 3 9" xfId="13241" xr:uid="{00000000-0005-0000-0000-0000C3AE0000}"/>
    <cellStyle name="Normal 7 12 4" xfId="2433" xr:uid="{00000000-0005-0000-0000-0000C4AE0000}"/>
    <cellStyle name="Normal 7 12 4 2" xfId="8965" xr:uid="{00000000-0005-0000-0000-0000C5AE0000}"/>
    <cellStyle name="Normal 7 12 4 2 2" xfId="40706" xr:uid="{00000000-0005-0000-0000-0000C6AE0000}"/>
    <cellStyle name="Normal 7 12 4 2 2 2" xfId="56806" xr:uid="{00000000-0005-0000-0000-0000C7AE0000}"/>
    <cellStyle name="Normal 7 12 4 2 3" xfId="47239" xr:uid="{00000000-0005-0000-0000-0000C8AE0000}"/>
    <cellStyle name="Normal 7 12 4 2 4" xfId="31139" xr:uid="{00000000-0005-0000-0000-0000C9AE0000}"/>
    <cellStyle name="Normal 7 12 4 2 5" xfId="21570" xr:uid="{00000000-0005-0000-0000-0000CAAE0000}"/>
    <cellStyle name="Normal 7 12 4 3" xfId="12001" xr:uid="{00000000-0005-0000-0000-0000CBAE0000}"/>
    <cellStyle name="Normal 7 12 4 3 2" xfId="50275" xr:uid="{00000000-0005-0000-0000-0000CCAE0000}"/>
    <cellStyle name="Normal 7 12 4 3 3" xfId="34175" xr:uid="{00000000-0005-0000-0000-0000CDAE0000}"/>
    <cellStyle name="Normal 7 12 4 3 4" xfId="24606" xr:uid="{00000000-0005-0000-0000-0000CEAE0000}"/>
    <cellStyle name="Normal 7 12 4 4" xfId="5929" xr:uid="{00000000-0005-0000-0000-0000CFAE0000}"/>
    <cellStyle name="Normal 7 12 4 4 2" xfId="53770" xr:uid="{00000000-0005-0000-0000-0000D0AE0000}"/>
    <cellStyle name="Normal 7 12 4 4 3" xfId="37670" xr:uid="{00000000-0005-0000-0000-0000D1AE0000}"/>
    <cellStyle name="Normal 7 12 4 4 4" xfId="18534" xr:uid="{00000000-0005-0000-0000-0000D2AE0000}"/>
    <cellStyle name="Normal 7 12 4 5" xfId="44203" xr:uid="{00000000-0005-0000-0000-0000D3AE0000}"/>
    <cellStyle name="Normal 7 12 4 6" xfId="28103" xr:uid="{00000000-0005-0000-0000-0000D4AE0000}"/>
    <cellStyle name="Normal 7 12 4 7" xfId="15039" xr:uid="{00000000-0005-0000-0000-0000D5AE0000}"/>
    <cellStyle name="Normal 7 12 5" xfId="1102" xr:uid="{00000000-0005-0000-0000-0000D6AE0000}"/>
    <cellStyle name="Normal 7 12 5 2" xfId="7636" xr:uid="{00000000-0005-0000-0000-0000D7AE0000}"/>
    <cellStyle name="Normal 7 12 5 2 2" xfId="39377" xr:uid="{00000000-0005-0000-0000-0000D8AE0000}"/>
    <cellStyle name="Normal 7 12 5 2 2 2" xfId="55477" xr:uid="{00000000-0005-0000-0000-0000D9AE0000}"/>
    <cellStyle name="Normal 7 12 5 2 3" xfId="45910" xr:uid="{00000000-0005-0000-0000-0000DAAE0000}"/>
    <cellStyle name="Normal 7 12 5 2 4" xfId="29810" xr:uid="{00000000-0005-0000-0000-0000DBAE0000}"/>
    <cellStyle name="Normal 7 12 5 2 5" xfId="20241" xr:uid="{00000000-0005-0000-0000-0000DCAE0000}"/>
    <cellStyle name="Normal 7 12 5 3" xfId="10672" xr:uid="{00000000-0005-0000-0000-0000DDAE0000}"/>
    <cellStyle name="Normal 7 12 5 3 2" xfId="48946" xr:uid="{00000000-0005-0000-0000-0000DEAE0000}"/>
    <cellStyle name="Normal 7 12 5 3 3" xfId="32846" xr:uid="{00000000-0005-0000-0000-0000DFAE0000}"/>
    <cellStyle name="Normal 7 12 5 3 4" xfId="23277" xr:uid="{00000000-0005-0000-0000-0000E0AE0000}"/>
    <cellStyle name="Normal 7 12 5 4" xfId="4600" xr:uid="{00000000-0005-0000-0000-0000E1AE0000}"/>
    <cellStyle name="Normal 7 12 5 4 2" xfId="52441" xr:uid="{00000000-0005-0000-0000-0000E2AE0000}"/>
    <cellStyle name="Normal 7 12 5 4 3" xfId="36341" xr:uid="{00000000-0005-0000-0000-0000E3AE0000}"/>
    <cellStyle name="Normal 7 12 5 4 4" xfId="17205" xr:uid="{00000000-0005-0000-0000-0000E4AE0000}"/>
    <cellStyle name="Normal 7 12 5 5" xfId="42874" xr:uid="{00000000-0005-0000-0000-0000E5AE0000}"/>
    <cellStyle name="Normal 7 12 5 6" xfId="26774" xr:uid="{00000000-0005-0000-0000-0000E6AE0000}"/>
    <cellStyle name="Normal 7 12 5 7" xfId="13710" xr:uid="{00000000-0005-0000-0000-0000E7AE0000}"/>
    <cellStyle name="Normal 7 12 6" xfId="3590" xr:uid="{00000000-0005-0000-0000-0000E8AE0000}"/>
    <cellStyle name="Normal 7 12 6 2" xfId="35331" xr:uid="{00000000-0005-0000-0000-0000E9AE0000}"/>
    <cellStyle name="Normal 7 12 6 2 2" xfId="51431" xr:uid="{00000000-0005-0000-0000-0000EAAE0000}"/>
    <cellStyle name="Normal 7 12 6 3" xfId="41864" xr:uid="{00000000-0005-0000-0000-0000EBAE0000}"/>
    <cellStyle name="Normal 7 12 6 4" xfId="25764" xr:uid="{00000000-0005-0000-0000-0000ECAE0000}"/>
    <cellStyle name="Normal 7 12 6 5" xfId="16195" xr:uid="{00000000-0005-0000-0000-0000EDAE0000}"/>
    <cellStyle name="Normal 7 12 7" xfId="6626" xr:uid="{00000000-0005-0000-0000-0000EEAE0000}"/>
    <cellStyle name="Normal 7 12 7 2" xfId="38367" xr:uid="{00000000-0005-0000-0000-0000EFAE0000}"/>
    <cellStyle name="Normal 7 12 7 2 2" xfId="54467" xr:uid="{00000000-0005-0000-0000-0000F0AE0000}"/>
    <cellStyle name="Normal 7 12 7 3" xfId="44900" xr:uid="{00000000-0005-0000-0000-0000F1AE0000}"/>
    <cellStyle name="Normal 7 12 7 4" xfId="28800" xr:uid="{00000000-0005-0000-0000-0000F2AE0000}"/>
    <cellStyle name="Normal 7 12 7 5" xfId="19231" xr:uid="{00000000-0005-0000-0000-0000F3AE0000}"/>
    <cellStyle name="Normal 7 12 8" xfId="9662" xr:uid="{00000000-0005-0000-0000-0000F4AE0000}"/>
    <cellStyle name="Normal 7 12 8 2" xfId="47936" xr:uid="{00000000-0005-0000-0000-0000F5AE0000}"/>
    <cellStyle name="Normal 7 12 8 3" xfId="31836" xr:uid="{00000000-0005-0000-0000-0000F6AE0000}"/>
    <cellStyle name="Normal 7 12 8 4" xfId="22267" xr:uid="{00000000-0005-0000-0000-0000F7AE0000}"/>
    <cellStyle name="Normal 7 12 9" xfId="3130" xr:uid="{00000000-0005-0000-0000-0000F8AE0000}"/>
    <cellStyle name="Normal 7 12 9 2" xfId="50972" xr:uid="{00000000-0005-0000-0000-0000F9AE0000}"/>
    <cellStyle name="Normal 7 12 9 3" xfId="34872" xr:uid="{00000000-0005-0000-0000-0000FAAE0000}"/>
    <cellStyle name="Normal 7 12 9 4" xfId="15736" xr:uid="{00000000-0005-0000-0000-0000FBAE0000}"/>
    <cellStyle name="Normal 7 13" xfId="499" xr:uid="{00000000-0005-0000-0000-0000FCAE0000}"/>
    <cellStyle name="Normal 7 13 10" xfId="25482" xr:uid="{00000000-0005-0000-0000-0000FDAE0000}"/>
    <cellStyle name="Normal 7 13 11" xfId="12876" xr:uid="{00000000-0005-0000-0000-0000FEAE0000}"/>
    <cellStyle name="Normal 7 13 2" xfId="951" xr:uid="{00000000-0005-0000-0000-0000FFAE0000}"/>
    <cellStyle name="Normal 7 13 2 2" xfId="2979" xr:uid="{00000000-0005-0000-0000-000000AF0000}"/>
    <cellStyle name="Normal 7 13 2 2 2" xfId="9511" xr:uid="{00000000-0005-0000-0000-000001AF0000}"/>
    <cellStyle name="Normal 7 13 2 2 2 2" xfId="41252" xr:uid="{00000000-0005-0000-0000-000002AF0000}"/>
    <cellStyle name="Normal 7 13 2 2 2 2 2" xfId="57352" xr:uid="{00000000-0005-0000-0000-000003AF0000}"/>
    <cellStyle name="Normal 7 13 2 2 2 3" xfId="47785" xr:uid="{00000000-0005-0000-0000-000004AF0000}"/>
    <cellStyle name="Normal 7 13 2 2 2 4" xfId="31685" xr:uid="{00000000-0005-0000-0000-000005AF0000}"/>
    <cellStyle name="Normal 7 13 2 2 2 5" xfId="22116" xr:uid="{00000000-0005-0000-0000-000006AF0000}"/>
    <cellStyle name="Normal 7 13 2 2 3" xfId="12547" xr:uid="{00000000-0005-0000-0000-000007AF0000}"/>
    <cellStyle name="Normal 7 13 2 2 3 2" xfId="50821" xr:uid="{00000000-0005-0000-0000-000008AF0000}"/>
    <cellStyle name="Normal 7 13 2 2 3 3" xfId="34721" xr:uid="{00000000-0005-0000-0000-000009AF0000}"/>
    <cellStyle name="Normal 7 13 2 2 3 4" xfId="25152" xr:uid="{00000000-0005-0000-0000-00000AAF0000}"/>
    <cellStyle name="Normal 7 13 2 2 4" xfId="6475" xr:uid="{00000000-0005-0000-0000-00000BAF0000}"/>
    <cellStyle name="Normal 7 13 2 2 4 2" xfId="54316" xr:uid="{00000000-0005-0000-0000-00000CAF0000}"/>
    <cellStyle name="Normal 7 13 2 2 4 3" xfId="38216" xr:uid="{00000000-0005-0000-0000-00000DAF0000}"/>
    <cellStyle name="Normal 7 13 2 2 4 4" xfId="19080" xr:uid="{00000000-0005-0000-0000-00000EAF0000}"/>
    <cellStyle name="Normal 7 13 2 2 5" xfId="44749" xr:uid="{00000000-0005-0000-0000-00000FAF0000}"/>
    <cellStyle name="Normal 7 13 2 2 6" xfId="28649" xr:uid="{00000000-0005-0000-0000-000010AF0000}"/>
    <cellStyle name="Normal 7 13 2 2 7" xfId="15585" xr:uid="{00000000-0005-0000-0000-000011AF0000}"/>
    <cellStyle name="Normal 7 13 2 3" xfId="1961" xr:uid="{00000000-0005-0000-0000-000012AF0000}"/>
    <cellStyle name="Normal 7 13 2 3 2" xfId="8495" xr:uid="{00000000-0005-0000-0000-000013AF0000}"/>
    <cellStyle name="Normal 7 13 2 3 2 2" xfId="40236" xr:uid="{00000000-0005-0000-0000-000014AF0000}"/>
    <cellStyle name="Normal 7 13 2 3 2 2 2" xfId="56336" xr:uid="{00000000-0005-0000-0000-000015AF0000}"/>
    <cellStyle name="Normal 7 13 2 3 2 3" xfId="46769" xr:uid="{00000000-0005-0000-0000-000016AF0000}"/>
    <cellStyle name="Normal 7 13 2 3 2 4" xfId="30669" xr:uid="{00000000-0005-0000-0000-000017AF0000}"/>
    <cellStyle name="Normal 7 13 2 3 2 5" xfId="21100" xr:uid="{00000000-0005-0000-0000-000018AF0000}"/>
    <cellStyle name="Normal 7 13 2 3 3" xfId="11531" xr:uid="{00000000-0005-0000-0000-000019AF0000}"/>
    <cellStyle name="Normal 7 13 2 3 3 2" xfId="49805" xr:uid="{00000000-0005-0000-0000-00001AAF0000}"/>
    <cellStyle name="Normal 7 13 2 3 3 3" xfId="33705" xr:uid="{00000000-0005-0000-0000-00001BAF0000}"/>
    <cellStyle name="Normal 7 13 2 3 3 4" xfId="24136" xr:uid="{00000000-0005-0000-0000-00001CAF0000}"/>
    <cellStyle name="Normal 7 13 2 3 4" xfId="5459" xr:uid="{00000000-0005-0000-0000-00001DAF0000}"/>
    <cellStyle name="Normal 7 13 2 3 4 2" xfId="53300" xr:uid="{00000000-0005-0000-0000-00001EAF0000}"/>
    <cellStyle name="Normal 7 13 2 3 4 3" xfId="37200" xr:uid="{00000000-0005-0000-0000-00001FAF0000}"/>
    <cellStyle name="Normal 7 13 2 3 4 4" xfId="18064" xr:uid="{00000000-0005-0000-0000-000020AF0000}"/>
    <cellStyle name="Normal 7 13 2 3 5" xfId="43733" xr:uid="{00000000-0005-0000-0000-000021AF0000}"/>
    <cellStyle name="Normal 7 13 2 3 6" xfId="27633" xr:uid="{00000000-0005-0000-0000-000022AF0000}"/>
    <cellStyle name="Normal 7 13 2 3 7" xfId="14569" xr:uid="{00000000-0005-0000-0000-000023AF0000}"/>
    <cellStyle name="Normal 7 13 2 4" xfId="7485" xr:uid="{00000000-0005-0000-0000-000024AF0000}"/>
    <cellStyle name="Normal 7 13 2 4 2" xfId="39226" xr:uid="{00000000-0005-0000-0000-000025AF0000}"/>
    <cellStyle name="Normal 7 13 2 4 2 2" xfId="55326" xr:uid="{00000000-0005-0000-0000-000026AF0000}"/>
    <cellStyle name="Normal 7 13 2 4 3" xfId="45759" xr:uid="{00000000-0005-0000-0000-000027AF0000}"/>
    <cellStyle name="Normal 7 13 2 4 4" xfId="29659" xr:uid="{00000000-0005-0000-0000-000028AF0000}"/>
    <cellStyle name="Normal 7 13 2 4 5" xfId="20090" xr:uid="{00000000-0005-0000-0000-000029AF0000}"/>
    <cellStyle name="Normal 7 13 2 5" xfId="10521" xr:uid="{00000000-0005-0000-0000-00002AAF0000}"/>
    <cellStyle name="Normal 7 13 2 5 2" xfId="48795" xr:uid="{00000000-0005-0000-0000-00002BAF0000}"/>
    <cellStyle name="Normal 7 13 2 5 3" xfId="32695" xr:uid="{00000000-0005-0000-0000-00002CAF0000}"/>
    <cellStyle name="Normal 7 13 2 5 4" xfId="23126" xr:uid="{00000000-0005-0000-0000-00002DAF0000}"/>
    <cellStyle name="Normal 7 13 2 6" xfId="4449" xr:uid="{00000000-0005-0000-0000-00002EAF0000}"/>
    <cellStyle name="Normal 7 13 2 6 2" xfId="52290" xr:uid="{00000000-0005-0000-0000-00002FAF0000}"/>
    <cellStyle name="Normal 7 13 2 6 3" xfId="36190" xr:uid="{00000000-0005-0000-0000-000030AF0000}"/>
    <cellStyle name="Normal 7 13 2 6 4" xfId="17054" xr:uid="{00000000-0005-0000-0000-000031AF0000}"/>
    <cellStyle name="Normal 7 13 2 7" xfId="42723" xr:uid="{00000000-0005-0000-0000-000032AF0000}"/>
    <cellStyle name="Normal 7 13 2 8" xfId="26623" xr:uid="{00000000-0005-0000-0000-000033AF0000}"/>
    <cellStyle name="Normal 7 13 2 9" xfId="13559" xr:uid="{00000000-0005-0000-0000-000034AF0000}"/>
    <cellStyle name="Normal 7 13 3" xfId="2529" xr:uid="{00000000-0005-0000-0000-000035AF0000}"/>
    <cellStyle name="Normal 7 13 3 2" xfId="9061" xr:uid="{00000000-0005-0000-0000-000036AF0000}"/>
    <cellStyle name="Normal 7 13 3 2 2" xfId="40802" xr:uid="{00000000-0005-0000-0000-000037AF0000}"/>
    <cellStyle name="Normal 7 13 3 2 2 2" xfId="56902" xr:uid="{00000000-0005-0000-0000-000038AF0000}"/>
    <cellStyle name="Normal 7 13 3 2 3" xfId="47335" xr:uid="{00000000-0005-0000-0000-000039AF0000}"/>
    <cellStyle name="Normal 7 13 3 2 4" xfId="31235" xr:uid="{00000000-0005-0000-0000-00003AAF0000}"/>
    <cellStyle name="Normal 7 13 3 2 5" xfId="21666" xr:uid="{00000000-0005-0000-0000-00003BAF0000}"/>
    <cellStyle name="Normal 7 13 3 3" xfId="12097" xr:uid="{00000000-0005-0000-0000-00003CAF0000}"/>
    <cellStyle name="Normal 7 13 3 3 2" xfId="50371" xr:uid="{00000000-0005-0000-0000-00003DAF0000}"/>
    <cellStyle name="Normal 7 13 3 3 3" xfId="34271" xr:uid="{00000000-0005-0000-0000-00003EAF0000}"/>
    <cellStyle name="Normal 7 13 3 3 4" xfId="24702" xr:uid="{00000000-0005-0000-0000-00003FAF0000}"/>
    <cellStyle name="Normal 7 13 3 4" xfId="6025" xr:uid="{00000000-0005-0000-0000-000040AF0000}"/>
    <cellStyle name="Normal 7 13 3 4 2" xfId="53866" xr:uid="{00000000-0005-0000-0000-000041AF0000}"/>
    <cellStyle name="Normal 7 13 3 4 3" xfId="37766" xr:uid="{00000000-0005-0000-0000-000042AF0000}"/>
    <cellStyle name="Normal 7 13 3 4 4" xfId="18630" xr:uid="{00000000-0005-0000-0000-000043AF0000}"/>
    <cellStyle name="Normal 7 13 3 5" xfId="44299" xr:uid="{00000000-0005-0000-0000-000044AF0000}"/>
    <cellStyle name="Normal 7 13 3 6" xfId="28199" xr:uid="{00000000-0005-0000-0000-000045AF0000}"/>
    <cellStyle name="Normal 7 13 3 7" xfId="15135" xr:uid="{00000000-0005-0000-0000-000046AF0000}"/>
    <cellStyle name="Normal 7 13 4" xfId="1278" xr:uid="{00000000-0005-0000-0000-000047AF0000}"/>
    <cellStyle name="Normal 7 13 4 2" xfId="7812" xr:uid="{00000000-0005-0000-0000-000048AF0000}"/>
    <cellStyle name="Normal 7 13 4 2 2" xfId="39553" xr:uid="{00000000-0005-0000-0000-000049AF0000}"/>
    <cellStyle name="Normal 7 13 4 2 2 2" xfId="55653" xr:uid="{00000000-0005-0000-0000-00004AAF0000}"/>
    <cellStyle name="Normal 7 13 4 2 3" xfId="46086" xr:uid="{00000000-0005-0000-0000-00004BAF0000}"/>
    <cellStyle name="Normal 7 13 4 2 4" xfId="29986" xr:uid="{00000000-0005-0000-0000-00004CAF0000}"/>
    <cellStyle name="Normal 7 13 4 2 5" xfId="20417" xr:uid="{00000000-0005-0000-0000-00004DAF0000}"/>
    <cellStyle name="Normal 7 13 4 3" xfId="10848" xr:uid="{00000000-0005-0000-0000-00004EAF0000}"/>
    <cellStyle name="Normal 7 13 4 3 2" xfId="49122" xr:uid="{00000000-0005-0000-0000-00004FAF0000}"/>
    <cellStyle name="Normal 7 13 4 3 3" xfId="33022" xr:uid="{00000000-0005-0000-0000-000050AF0000}"/>
    <cellStyle name="Normal 7 13 4 3 4" xfId="23453" xr:uid="{00000000-0005-0000-0000-000051AF0000}"/>
    <cellStyle name="Normal 7 13 4 4" xfId="4776" xr:uid="{00000000-0005-0000-0000-000052AF0000}"/>
    <cellStyle name="Normal 7 13 4 4 2" xfId="52617" xr:uid="{00000000-0005-0000-0000-000053AF0000}"/>
    <cellStyle name="Normal 7 13 4 4 3" xfId="36517" xr:uid="{00000000-0005-0000-0000-000054AF0000}"/>
    <cellStyle name="Normal 7 13 4 4 4" xfId="17381" xr:uid="{00000000-0005-0000-0000-000055AF0000}"/>
    <cellStyle name="Normal 7 13 4 5" xfId="43050" xr:uid="{00000000-0005-0000-0000-000056AF0000}"/>
    <cellStyle name="Normal 7 13 4 6" xfId="26950" xr:uid="{00000000-0005-0000-0000-000057AF0000}"/>
    <cellStyle name="Normal 7 13 4 7" xfId="13886" xr:uid="{00000000-0005-0000-0000-000058AF0000}"/>
    <cellStyle name="Normal 7 13 5" xfId="3766" xr:uid="{00000000-0005-0000-0000-000059AF0000}"/>
    <cellStyle name="Normal 7 13 5 2" xfId="35507" xr:uid="{00000000-0005-0000-0000-00005AAF0000}"/>
    <cellStyle name="Normal 7 13 5 2 2" xfId="51607" xr:uid="{00000000-0005-0000-0000-00005BAF0000}"/>
    <cellStyle name="Normal 7 13 5 3" xfId="42040" xr:uid="{00000000-0005-0000-0000-00005CAF0000}"/>
    <cellStyle name="Normal 7 13 5 4" xfId="25940" xr:uid="{00000000-0005-0000-0000-00005DAF0000}"/>
    <cellStyle name="Normal 7 13 5 5" xfId="16371" xr:uid="{00000000-0005-0000-0000-00005EAF0000}"/>
    <cellStyle name="Normal 7 13 6" xfId="6802" xr:uid="{00000000-0005-0000-0000-00005FAF0000}"/>
    <cellStyle name="Normal 7 13 6 2" xfId="38543" xr:uid="{00000000-0005-0000-0000-000060AF0000}"/>
    <cellStyle name="Normal 7 13 6 2 2" xfId="54643" xr:uid="{00000000-0005-0000-0000-000061AF0000}"/>
    <cellStyle name="Normal 7 13 6 3" xfId="45076" xr:uid="{00000000-0005-0000-0000-000062AF0000}"/>
    <cellStyle name="Normal 7 13 6 4" xfId="28976" xr:uid="{00000000-0005-0000-0000-000063AF0000}"/>
    <cellStyle name="Normal 7 13 6 5" xfId="19407" xr:uid="{00000000-0005-0000-0000-000064AF0000}"/>
    <cellStyle name="Normal 7 13 7" xfId="9838" xr:uid="{00000000-0005-0000-0000-000065AF0000}"/>
    <cellStyle name="Normal 7 13 7 2" xfId="48112" xr:uid="{00000000-0005-0000-0000-000066AF0000}"/>
    <cellStyle name="Normal 7 13 7 3" xfId="32012" xr:uid="{00000000-0005-0000-0000-000067AF0000}"/>
    <cellStyle name="Normal 7 13 7 4" xfId="22443" xr:uid="{00000000-0005-0000-0000-000068AF0000}"/>
    <cellStyle name="Normal 7 13 8" xfId="3308" xr:uid="{00000000-0005-0000-0000-000069AF0000}"/>
    <cellStyle name="Normal 7 13 8 2" xfId="51149" xr:uid="{00000000-0005-0000-0000-00006AAF0000}"/>
    <cellStyle name="Normal 7 13 8 3" xfId="35049" xr:uid="{00000000-0005-0000-0000-00006BAF0000}"/>
    <cellStyle name="Normal 7 13 8 4" xfId="15913" xr:uid="{00000000-0005-0000-0000-00006CAF0000}"/>
    <cellStyle name="Normal 7 13 9" xfId="41582" xr:uid="{00000000-0005-0000-0000-00006DAF0000}"/>
    <cellStyle name="Normal 7 14" xfId="729" xr:uid="{00000000-0005-0000-0000-00006EAF0000}"/>
    <cellStyle name="Normal 7 14 10" xfId="13337" xr:uid="{00000000-0005-0000-0000-00006FAF0000}"/>
    <cellStyle name="Normal 7 14 2" xfId="2757" xr:uid="{00000000-0005-0000-0000-000070AF0000}"/>
    <cellStyle name="Normal 7 14 2 2" xfId="9289" xr:uid="{00000000-0005-0000-0000-000071AF0000}"/>
    <cellStyle name="Normal 7 14 2 2 2" xfId="41030" xr:uid="{00000000-0005-0000-0000-000072AF0000}"/>
    <cellStyle name="Normal 7 14 2 2 2 2" xfId="57130" xr:uid="{00000000-0005-0000-0000-000073AF0000}"/>
    <cellStyle name="Normal 7 14 2 2 3" xfId="47563" xr:uid="{00000000-0005-0000-0000-000074AF0000}"/>
    <cellStyle name="Normal 7 14 2 2 4" xfId="31463" xr:uid="{00000000-0005-0000-0000-000075AF0000}"/>
    <cellStyle name="Normal 7 14 2 2 5" xfId="21894" xr:uid="{00000000-0005-0000-0000-000076AF0000}"/>
    <cellStyle name="Normal 7 14 2 3" xfId="12325" xr:uid="{00000000-0005-0000-0000-000077AF0000}"/>
    <cellStyle name="Normal 7 14 2 3 2" xfId="50599" xr:uid="{00000000-0005-0000-0000-000078AF0000}"/>
    <cellStyle name="Normal 7 14 2 3 3" xfId="34499" xr:uid="{00000000-0005-0000-0000-000079AF0000}"/>
    <cellStyle name="Normal 7 14 2 3 4" xfId="24930" xr:uid="{00000000-0005-0000-0000-00007AAF0000}"/>
    <cellStyle name="Normal 7 14 2 4" xfId="6253" xr:uid="{00000000-0005-0000-0000-00007BAF0000}"/>
    <cellStyle name="Normal 7 14 2 4 2" xfId="54094" xr:uid="{00000000-0005-0000-0000-00007CAF0000}"/>
    <cellStyle name="Normal 7 14 2 4 3" xfId="37994" xr:uid="{00000000-0005-0000-0000-00007DAF0000}"/>
    <cellStyle name="Normal 7 14 2 4 4" xfId="18858" xr:uid="{00000000-0005-0000-0000-00007EAF0000}"/>
    <cellStyle name="Normal 7 14 2 5" xfId="44527" xr:uid="{00000000-0005-0000-0000-00007FAF0000}"/>
    <cellStyle name="Normal 7 14 2 6" xfId="28427" xr:uid="{00000000-0005-0000-0000-000080AF0000}"/>
    <cellStyle name="Normal 7 14 2 7" xfId="15363" xr:uid="{00000000-0005-0000-0000-000081AF0000}"/>
    <cellStyle name="Normal 7 14 3" xfId="1739" xr:uid="{00000000-0005-0000-0000-000082AF0000}"/>
    <cellStyle name="Normal 7 14 3 2" xfId="8273" xr:uid="{00000000-0005-0000-0000-000083AF0000}"/>
    <cellStyle name="Normal 7 14 3 2 2" xfId="40014" xr:uid="{00000000-0005-0000-0000-000084AF0000}"/>
    <cellStyle name="Normal 7 14 3 2 2 2" xfId="56114" xr:uid="{00000000-0005-0000-0000-000085AF0000}"/>
    <cellStyle name="Normal 7 14 3 2 3" xfId="46547" xr:uid="{00000000-0005-0000-0000-000086AF0000}"/>
    <cellStyle name="Normal 7 14 3 2 4" xfId="30447" xr:uid="{00000000-0005-0000-0000-000087AF0000}"/>
    <cellStyle name="Normal 7 14 3 2 5" xfId="20878" xr:uid="{00000000-0005-0000-0000-000088AF0000}"/>
    <cellStyle name="Normal 7 14 3 3" xfId="11309" xr:uid="{00000000-0005-0000-0000-000089AF0000}"/>
    <cellStyle name="Normal 7 14 3 3 2" xfId="49583" xr:uid="{00000000-0005-0000-0000-00008AAF0000}"/>
    <cellStyle name="Normal 7 14 3 3 3" xfId="33483" xr:uid="{00000000-0005-0000-0000-00008BAF0000}"/>
    <cellStyle name="Normal 7 14 3 3 4" xfId="23914" xr:uid="{00000000-0005-0000-0000-00008CAF0000}"/>
    <cellStyle name="Normal 7 14 3 4" xfId="5237" xr:uid="{00000000-0005-0000-0000-00008DAF0000}"/>
    <cellStyle name="Normal 7 14 3 4 2" xfId="53078" xr:uid="{00000000-0005-0000-0000-00008EAF0000}"/>
    <cellStyle name="Normal 7 14 3 4 3" xfId="36978" xr:uid="{00000000-0005-0000-0000-00008FAF0000}"/>
    <cellStyle name="Normal 7 14 3 4 4" xfId="17842" xr:uid="{00000000-0005-0000-0000-000090AF0000}"/>
    <cellStyle name="Normal 7 14 3 5" xfId="43511" xr:uid="{00000000-0005-0000-0000-000091AF0000}"/>
    <cellStyle name="Normal 7 14 3 6" xfId="27411" xr:uid="{00000000-0005-0000-0000-000092AF0000}"/>
    <cellStyle name="Normal 7 14 3 7" xfId="14347" xr:uid="{00000000-0005-0000-0000-000093AF0000}"/>
    <cellStyle name="Normal 7 14 4" xfId="4227" xr:uid="{00000000-0005-0000-0000-000094AF0000}"/>
    <cellStyle name="Normal 7 14 4 2" xfId="35968" xr:uid="{00000000-0005-0000-0000-000095AF0000}"/>
    <cellStyle name="Normal 7 14 4 2 2" xfId="52068" xr:uid="{00000000-0005-0000-0000-000096AF0000}"/>
    <cellStyle name="Normal 7 14 4 3" xfId="42501" xr:uid="{00000000-0005-0000-0000-000097AF0000}"/>
    <cellStyle name="Normal 7 14 4 4" xfId="26401" xr:uid="{00000000-0005-0000-0000-000098AF0000}"/>
    <cellStyle name="Normal 7 14 4 5" xfId="16832" xr:uid="{00000000-0005-0000-0000-000099AF0000}"/>
    <cellStyle name="Normal 7 14 5" xfId="7263" xr:uid="{00000000-0005-0000-0000-00009AAF0000}"/>
    <cellStyle name="Normal 7 14 5 2" xfId="39004" xr:uid="{00000000-0005-0000-0000-00009BAF0000}"/>
    <cellStyle name="Normal 7 14 5 2 2" xfId="55104" xr:uid="{00000000-0005-0000-0000-00009CAF0000}"/>
    <cellStyle name="Normal 7 14 5 3" xfId="45537" xr:uid="{00000000-0005-0000-0000-00009DAF0000}"/>
    <cellStyle name="Normal 7 14 5 4" xfId="29437" xr:uid="{00000000-0005-0000-0000-00009EAF0000}"/>
    <cellStyle name="Normal 7 14 5 5" xfId="19868" xr:uid="{00000000-0005-0000-0000-00009FAF0000}"/>
    <cellStyle name="Normal 7 14 6" xfId="10299" xr:uid="{00000000-0005-0000-0000-0000A0AF0000}"/>
    <cellStyle name="Normal 7 14 6 2" xfId="48573" xr:uid="{00000000-0005-0000-0000-0000A1AF0000}"/>
    <cellStyle name="Normal 7 14 6 3" xfId="32473" xr:uid="{00000000-0005-0000-0000-0000A2AF0000}"/>
    <cellStyle name="Normal 7 14 6 4" xfId="22904" xr:uid="{00000000-0005-0000-0000-0000A3AF0000}"/>
    <cellStyle name="Normal 7 14 7" xfId="3322" xr:uid="{00000000-0005-0000-0000-0000A4AF0000}"/>
    <cellStyle name="Normal 7 14 7 2" xfId="51163" xr:uid="{00000000-0005-0000-0000-0000A5AF0000}"/>
    <cellStyle name="Normal 7 14 7 3" xfId="35063" xr:uid="{00000000-0005-0000-0000-0000A6AF0000}"/>
    <cellStyle name="Normal 7 14 7 4" xfId="15927" xr:uid="{00000000-0005-0000-0000-0000A7AF0000}"/>
    <cellStyle name="Normal 7 14 8" xfId="41596" xr:uid="{00000000-0005-0000-0000-0000A8AF0000}"/>
    <cellStyle name="Normal 7 14 9" xfId="25496" xr:uid="{00000000-0005-0000-0000-0000A9AF0000}"/>
    <cellStyle name="Normal 7 15" xfId="2066" xr:uid="{00000000-0005-0000-0000-0000AAAF0000}"/>
    <cellStyle name="Normal 7 15 2" xfId="8600" xr:uid="{00000000-0005-0000-0000-0000ABAF0000}"/>
    <cellStyle name="Normal 7 15 2 2" xfId="40341" xr:uid="{00000000-0005-0000-0000-0000ACAF0000}"/>
    <cellStyle name="Normal 7 15 2 2 2" xfId="56441" xr:uid="{00000000-0005-0000-0000-0000ADAF0000}"/>
    <cellStyle name="Normal 7 15 2 3" xfId="46874" xr:uid="{00000000-0005-0000-0000-0000AEAF0000}"/>
    <cellStyle name="Normal 7 15 2 4" xfId="30774" xr:uid="{00000000-0005-0000-0000-0000AFAF0000}"/>
    <cellStyle name="Normal 7 15 2 5" xfId="21205" xr:uid="{00000000-0005-0000-0000-0000B0AF0000}"/>
    <cellStyle name="Normal 7 15 3" xfId="11636" xr:uid="{00000000-0005-0000-0000-0000B1AF0000}"/>
    <cellStyle name="Normal 7 15 3 2" xfId="49910" xr:uid="{00000000-0005-0000-0000-0000B2AF0000}"/>
    <cellStyle name="Normal 7 15 3 3" xfId="33810" xr:uid="{00000000-0005-0000-0000-0000B3AF0000}"/>
    <cellStyle name="Normal 7 15 3 4" xfId="24241" xr:uid="{00000000-0005-0000-0000-0000B4AF0000}"/>
    <cellStyle name="Normal 7 15 4" xfId="5564" xr:uid="{00000000-0005-0000-0000-0000B5AF0000}"/>
    <cellStyle name="Normal 7 15 4 2" xfId="53405" xr:uid="{00000000-0005-0000-0000-0000B6AF0000}"/>
    <cellStyle name="Normal 7 15 4 3" xfId="37305" xr:uid="{00000000-0005-0000-0000-0000B7AF0000}"/>
    <cellStyle name="Normal 7 15 4 4" xfId="18169" xr:uid="{00000000-0005-0000-0000-0000B8AF0000}"/>
    <cellStyle name="Normal 7 15 5" xfId="43838" xr:uid="{00000000-0005-0000-0000-0000B9AF0000}"/>
    <cellStyle name="Normal 7 15 6" xfId="27738" xr:uid="{00000000-0005-0000-0000-0000BAAF0000}"/>
    <cellStyle name="Normal 7 15 7" xfId="14674" xr:uid="{00000000-0005-0000-0000-0000BBAF0000}"/>
    <cellStyle name="Normal 7 16" xfId="1056" xr:uid="{00000000-0005-0000-0000-0000BCAF0000}"/>
    <cellStyle name="Normal 7 16 2" xfId="7590" xr:uid="{00000000-0005-0000-0000-0000BDAF0000}"/>
    <cellStyle name="Normal 7 16 2 2" xfId="39331" xr:uid="{00000000-0005-0000-0000-0000BEAF0000}"/>
    <cellStyle name="Normal 7 16 2 2 2" xfId="55431" xr:uid="{00000000-0005-0000-0000-0000BFAF0000}"/>
    <cellStyle name="Normal 7 16 2 3" xfId="45864" xr:uid="{00000000-0005-0000-0000-0000C0AF0000}"/>
    <cellStyle name="Normal 7 16 2 4" xfId="29764" xr:uid="{00000000-0005-0000-0000-0000C1AF0000}"/>
    <cellStyle name="Normal 7 16 2 5" xfId="20195" xr:uid="{00000000-0005-0000-0000-0000C2AF0000}"/>
    <cellStyle name="Normal 7 16 3" xfId="10626" xr:uid="{00000000-0005-0000-0000-0000C3AF0000}"/>
    <cellStyle name="Normal 7 16 3 2" xfId="48900" xr:uid="{00000000-0005-0000-0000-0000C4AF0000}"/>
    <cellStyle name="Normal 7 16 3 3" xfId="32800" xr:uid="{00000000-0005-0000-0000-0000C5AF0000}"/>
    <cellStyle name="Normal 7 16 3 4" xfId="23231" xr:uid="{00000000-0005-0000-0000-0000C6AF0000}"/>
    <cellStyle name="Normal 7 16 4" xfId="4554" xr:uid="{00000000-0005-0000-0000-0000C7AF0000}"/>
    <cellStyle name="Normal 7 16 4 2" xfId="52395" xr:uid="{00000000-0005-0000-0000-0000C8AF0000}"/>
    <cellStyle name="Normal 7 16 4 3" xfId="36295" xr:uid="{00000000-0005-0000-0000-0000C9AF0000}"/>
    <cellStyle name="Normal 7 16 4 4" xfId="17159" xr:uid="{00000000-0005-0000-0000-0000CAAF0000}"/>
    <cellStyle name="Normal 7 16 5" xfId="42828" xr:uid="{00000000-0005-0000-0000-0000CBAF0000}"/>
    <cellStyle name="Normal 7 16 6" xfId="26728" xr:uid="{00000000-0005-0000-0000-0000CCAF0000}"/>
    <cellStyle name="Normal 7 16 7" xfId="13664" xr:uid="{00000000-0005-0000-0000-0000CDAF0000}"/>
    <cellStyle name="Normal 7 17" xfId="3544" xr:uid="{00000000-0005-0000-0000-0000CEAF0000}"/>
    <cellStyle name="Normal 7 17 2" xfId="35285" xr:uid="{00000000-0005-0000-0000-0000CFAF0000}"/>
    <cellStyle name="Normal 7 17 2 2" xfId="51385" xr:uid="{00000000-0005-0000-0000-0000D0AF0000}"/>
    <cellStyle name="Normal 7 17 3" xfId="41818" xr:uid="{00000000-0005-0000-0000-0000D1AF0000}"/>
    <cellStyle name="Normal 7 17 4" xfId="25718" xr:uid="{00000000-0005-0000-0000-0000D2AF0000}"/>
    <cellStyle name="Normal 7 17 5" xfId="16149" xr:uid="{00000000-0005-0000-0000-0000D3AF0000}"/>
    <cellStyle name="Normal 7 18" xfId="6580" xr:uid="{00000000-0005-0000-0000-0000D4AF0000}"/>
    <cellStyle name="Normal 7 18 2" xfId="38321" xr:uid="{00000000-0005-0000-0000-0000D5AF0000}"/>
    <cellStyle name="Normal 7 18 2 2" xfId="54421" xr:uid="{00000000-0005-0000-0000-0000D6AF0000}"/>
    <cellStyle name="Normal 7 18 3" xfId="44854" xr:uid="{00000000-0005-0000-0000-0000D7AF0000}"/>
    <cellStyle name="Normal 7 18 4" xfId="28754" xr:uid="{00000000-0005-0000-0000-0000D8AF0000}"/>
    <cellStyle name="Normal 7 18 5" xfId="19185" xr:uid="{00000000-0005-0000-0000-0000D9AF0000}"/>
    <cellStyle name="Normal 7 19" xfId="9616" xr:uid="{00000000-0005-0000-0000-0000DAAF0000}"/>
    <cellStyle name="Normal 7 19 2" xfId="47890" xr:uid="{00000000-0005-0000-0000-0000DBAF0000}"/>
    <cellStyle name="Normal 7 19 3" xfId="31790" xr:uid="{00000000-0005-0000-0000-0000DCAF0000}"/>
    <cellStyle name="Normal 7 19 4" xfId="22221" xr:uid="{00000000-0005-0000-0000-0000DDAF0000}"/>
    <cellStyle name="Normal 7 2" xfId="61" xr:uid="{00000000-0005-0000-0000-0000DEAF0000}"/>
    <cellStyle name="Normal 7 2 10" xfId="3562" xr:uid="{00000000-0005-0000-0000-0000DFAF0000}"/>
    <cellStyle name="Normal 7 2 10 2" xfId="35303" xr:uid="{00000000-0005-0000-0000-0000E0AF0000}"/>
    <cellStyle name="Normal 7 2 10 2 2" xfId="51403" xr:uid="{00000000-0005-0000-0000-0000E1AF0000}"/>
    <cellStyle name="Normal 7 2 10 3" xfId="41836" xr:uid="{00000000-0005-0000-0000-0000E2AF0000}"/>
    <cellStyle name="Normal 7 2 10 4" xfId="25736" xr:uid="{00000000-0005-0000-0000-0000E3AF0000}"/>
    <cellStyle name="Normal 7 2 10 5" xfId="16167" xr:uid="{00000000-0005-0000-0000-0000E4AF0000}"/>
    <cellStyle name="Normal 7 2 11" xfId="6598" xr:uid="{00000000-0005-0000-0000-0000E5AF0000}"/>
    <cellStyle name="Normal 7 2 11 2" xfId="38339" xr:uid="{00000000-0005-0000-0000-0000E6AF0000}"/>
    <cellStyle name="Normal 7 2 11 2 2" xfId="54439" xr:uid="{00000000-0005-0000-0000-0000E7AF0000}"/>
    <cellStyle name="Normal 7 2 11 3" xfId="44872" xr:uid="{00000000-0005-0000-0000-0000E8AF0000}"/>
    <cellStyle name="Normal 7 2 11 4" xfId="28772" xr:uid="{00000000-0005-0000-0000-0000E9AF0000}"/>
    <cellStyle name="Normal 7 2 11 5" xfId="19203" xr:uid="{00000000-0005-0000-0000-0000EAAF0000}"/>
    <cellStyle name="Normal 7 2 12" xfId="9634" xr:uid="{00000000-0005-0000-0000-0000EBAF0000}"/>
    <cellStyle name="Normal 7 2 12 2" xfId="47908" xr:uid="{00000000-0005-0000-0000-0000ECAF0000}"/>
    <cellStyle name="Normal 7 2 12 3" xfId="31808" xr:uid="{00000000-0005-0000-0000-0000EDAF0000}"/>
    <cellStyle name="Normal 7 2 12 4" xfId="22239" xr:uid="{00000000-0005-0000-0000-0000EEAF0000}"/>
    <cellStyle name="Normal 7 2 13" xfId="3102" xr:uid="{00000000-0005-0000-0000-0000EFAF0000}"/>
    <cellStyle name="Normal 7 2 13 2" xfId="50944" xr:uid="{00000000-0005-0000-0000-0000F0AF0000}"/>
    <cellStyle name="Normal 7 2 13 3" xfId="34844" xr:uid="{00000000-0005-0000-0000-0000F1AF0000}"/>
    <cellStyle name="Normal 7 2 13 4" xfId="15708" xr:uid="{00000000-0005-0000-0000-0000F2AF0000}"/>
    <cellStyle name="Normal 7 2 14" xfId="41377" xr:uid="{00000000-0005-0000-0000-0000F3AF0000}"/>
    <cellStyle name="Normal 7 2 15" xfId="25277" xr:uid="{00000000-0005-0000-0000-0000F4AF0000}"/>
    <cellStyle name="Normal 7 2 16" xfId="12672" xr:uid="{00000000-0005-0000-0000-0000F5AF0000}"/>
    <cellStyle name="Normal 7 2 2" xfId="132" xr:uid="{00000000-0005-0000-0000-0000F6AF0000}"/>
    <cellStyle name="Normal 7 2 2 10" xfId="9696" xr:uid="{00000000-0005-0000-0000-0000F7AF0000}"/>
    <cellStyle name="Normal 7 2 2 10 2" xfId="47970" xr:uid="{00000000-0005-0000-0000-0000F8AF0000}"/>
    <cellStyle name="Normal 7 2 2 10 3" xfId="31870" xr:uid="{00000000-0005-0000-0000-0000F9AF0000}"/>
    <cellStyle name="Normal 7 2 2 10 4" xfId="22301" xr:uid="{00000000-0005-0000-0000-0000FAAF0000}"/>
    <cellStyle name="Normal 7 2 2 11" xfId="3164" xr:uid="{00000000-0005-0000-0000-0000FBAF0000}"/>
    <cellStyle name="Normal 7 2 2 11 2" xfId="51006" xr:uid="{00000000-0005-0000-0000-0000FCAF0000}"/>
    <cellStyle name="Normal 7 2 2 11 3" xfId="34906" xr:uid="{00000000-0005-0000-0000-0000FDAF0000}"/>
    <cellStyle name="Normal 7 2 2 11 4" xfId="15770" xr:uid="{00000000-0005-0000-0000-0000FEAF0000}"/>
    <cellStyle name="Normal 7 2 2 12" xfId="41439" xr:uid="{00000000-0005-0000-0000-0000FFAF0000}"/>
    <cellStyle name="Normal 7 2 2 13" xfId="25339" xr:uid="{00000000-0005-0000-0000-000000B00000}"/>
    <cellStyle name="Normal 7 2 2 14" xfId="12734" xr:uid="{00000000-0005-0000-0000-000001B00000}"/>
    <cellStyle name="Normal 7 2 2 2" xfId="207" xr:uid="{00000000-0005-0000-0000-000002B00000}"/>
    <cellStyle name="Normal 7 2 2 2 10" xfId="41676" xr:uid="{00000000-0005-0000-0000-000003B00000}"/>
    <cellStyle name="Normal 7 2 2 2 11" xfId="25576" xr:uid="{00000000-0005-0000-0000-000004B00000}"/>
    <cellStyle name="Normal 7 2 2 2 12" xfId="13036" xr:uid="{00000000-0005-0000-0000-000005B00000}"/>
    <cellStyle name="Normal 7 2 2 2 2" xfId="384" xr:uid="{00000000-0005-0000-0000-000006B00000}"/>
    <cellStyle name="Normal 7 2 2 2 2 2" xfId="2403" xr:uid="{00000000-0005-0000-0000-000007B00000}"/>
    <cellStyle name="Normal 7 2 2 2 2 2 2" xfId="8937" xr:uid="{00000000-0005-0000-0000-000008B00000}"/>
    <cellStyle name="Normal 7 2 2 2 2 2 2 2" xfId="40678" xr:uid="{00000000-0005-0000-0000-000009B00000}"/>
    <cellStyle name="Normal 7 2 2 2 2 2 2 2 2" xfId="56778" xr:uid="{00000000-0005-0000-0000-00000AB00000}"/>
    <cellStyle name="Normal 7 2 2 2 2 2 2 3" xfId="47211" xr:uid="{00000000-0005-0000-0000-00000BB00000}"/>
    <cellStyle name="Normal 7 2 2 2 2 2 2 4" xfId="31111" xr:uid="{00000000-0005-0000-0000-00000CB00000}"/>
    <cellStyle name="Normal 7 2 2 2 2 2 2 5" xfId="21542" xr:uid="{00000000-0005-0000-0000-00000DB00000}"/>
    <cellStyle name="Normal 7 2 2 2 2 2 3" xfId="11973" xr:uid="{00000000-0005-0000-0000-00000EB00000}"/>
    <cellStyle name="Normal 7 2 2 2 2 2 3 2" xfId="50247" xr:uid="{00000000-0005-0000-0000-00000FB00000}"/>
    <cellStyle name="Normal 7 2 2 2 2 2 3 3" xfId="34147" xr:uid="{00000000-0005-0000-0000-000010B00000}"/>
    <cellStyle name="Normal 7 2 2 2 2 2 3 4" xfId="24578" xr:uid="{00000000-0005-0000-0000-000011B00000}"/>
    <cellStyle name="Normal 7 2 2 2 2 2 4" xfId="5901" xr:uid="{00000000-0005-0000-0000-000012B00000}"/>
    <cellStyle name="Normal 7 2 2 2 2 2 4 2" xfId="53742" xr:uid="{00000000-0005-0000-0000-000013B00000}"/>
    <cellStyle name="Normal 7 2 2 2 2 2 4 3" xfId="37642" xr:uid="{00000000-0005-0000-0000-000014B00000}"/>
    <cellStyle name="Normal 7 2 2 2 2 2 4 4" xfId="18506" xr:uid="{00000000-0005-0000-0000-000015B00000}"/>
    <cellStyle name="Normal 7 2 2 2 2 2 5" xfId="44175" xr:uid="{00000000-0005-0000-0000-000016B00000}"/>
    <cellStyle name="Normal 7 2 2 2 2 2 6" xfId="28075" xr:uid="{00000000-0005-0000-0000-000017B00000}"/>
    <cellStyle name="Normal 7 2 2 2 2 2 7" xfId="15011" xr:uid="{00000000-0005-0000-0000-000018B00000}"/>
    <cellStyle name="Normal 7 2 2 2 2 3" xfId="1615" xr:uid="{00000000-0005-0000-0000-000019B00000}"/>
    <cellStyle name="Normal 7 2 2 2 2 3 2" xfId="8149" xr:uid="{00000000-0005-0000-0000-00001AB00000}"/>
    <cellStyle name="Normal 7 2 2 2 2 3 2 2" xfId="39890" xr:uid="{00000000-0005-0000-0000-00001BB00000}"/>
    <cellStyle name="Normal 7 2 2 2 2 3 2 2 2" xfId="55990" xr:uid="{00000000-0005-0000-0000-00001CB00000}"/>
    <cellStyle name="Normal 7 2 2 2 2 3 2 3" xfId="46423" xr:uid="{00000000-0005-0000-0000-00001DB00000}"/>
    <cellStyle name="Normal 7 2 2 2 2 3 2 4" xfId="30323" xr:uid="{00000000-0005-0000-0000-00001EB00000}"/>
    <cellStyle name="Normal 7 2 2 2 2 3 2 5" xfId="20754" xr:uid="{00000000-0005-0000-0000-00001FB00000}"/>
    <cellStyle name="Normal 7 2 2 2 2 3 3" xfId="11185" xr:uid="{00000000-0005-0000-0000-000020B00000}"/>
    <cellStyle name="Normal 7 2 2 2 2 3 3 2" xfId="49459" xr:uid="{00000000-0005-0000-0000-000021B00000}"/>
    <cellStyle name="Normal 7 2 2 2 2 3 3 3" xfId="33359" xr:uid="{00000000-0005-0000-0000-000022B00000}"/>
    <cellStyle name="Normal 7 2 2 2 2 3 3 4" xfId="23790" xr:uid="{00000000-0005-0000-0000-000023B00000}"/>
    <cellStyle name="Normal 7 2 2 2 2 3 4" xfId="5113" xr:uid="{00000000-0005-0000-0000-000024B00000}"/>
    <cellStyle name="Normal 7 2 2 2 2 3 4 2" xfId="52954" xr:uid="{00000000-0005-0000-0000-000025B00000}"/>
    <cellStyle name="Normal 7 2 2 2 2 3 4 3" xfId="36854" xr:uid="{00000000-0005-0000-0000-000026B00000}"/>
    <cellStyle name="Normal 7 2 2 2 2 3 4 4" xfId="17718" xr:uid="{00000000-0005-0000-0000-000027B00000}"/>
    <cellStyle name="Normal 7 2 2 2 2 3 5" xfId="43387" xr:uid="{00000000-0005-0000-0000-000028B00000}"/>
    <cellStyle name="Normal 7 2 2 2 2 3 6" xfId="27287" xr:uid="{00000000-0005-0000-0000-000029B00000}"/>
    <cellStyle name="Normal 7 2 2 2 2 3 7" xfId="14223" xr:uid="{00000000-0005-0000-0000-00002AB00000}"/>
    <cellStyle name="Normal 7 2 2 2 2 4" xfId="7139" xr:uid="{00000000-0005-0000-0000-00002BB00000}"/>
    <cellStyle name="Normal 7 2 2 2 2 4 2" xfId="38880" xr:uid="{00000000-0005-0000-0000-00002CB00000}"/>
    <cellStyle name="Normal 7 2 2 2 2 4 2 2" xfId="54980" xr:uid="{00000000-0005-0000-0000-00002DB00000}"/>
    <cellStyle name="Normal 7 2 2 2 2 4 3" xfId="45413" xr:uid="{00000000-0005-0000-0000-00002EB00000}"/>
    <cellStyle name="Normal 7 2 2 2 2 4 4" xfId="29313" xr:uid="{00000000-0005-0000-0000-00002FB00000}"/>
    <cellStyle name="Normal 7 2 2 2 2 4 5" xfId="19744" xr:uid="{00000000-0005-0000-0000-000030B00000}"/>
    <cellStyle name="Normal 7 2 2 2 2 5" xfId="10175" xr:uid="{00000000-0005-0000-0000-000031B00000}"/>
    <cellStyle name="Normal 7 2 2 2 2 5 2" xfId="48449" xr:uid="{00000000-0005-0000-0000-000032B00000}"/>
    <cellStyle name="Normal 7 2 2 2 2 5 3" xfId="32349" xr:uid="{00000000-0005-0000-0000-000033B00000}"/>
    <cellStyle name="Normal 7 2 2 2 2 5 4" xfId="22780" xr:uid="{00000000-0005-0000-0000-000034B00000}"/>
    <cellStyle name="Normal 7 2 2 2 2 6" xfId="4103" xr:uid="{00000000-0005-0000-0000-000035B00000}"/>
    <cellStyle name="Normal 7 2 2 2 2 6 2" xfId="51944" xr:uid="{00000000-0005-0000-0000-000036B00000}"/>
    <cellStyle name="Normal 7 2 2 2 2 6 3" xfId="35844" xr:uid="{00000000-0005-0000-0000-000037B00000}"/>
    <cellStyle name="Normal 7 2 2 2 2 6 4" xfId="16708" xr:uid="{00000000-0005-0000-0000-000038B00000}"/>
    <cellStyle name="Normal 7 2 2 2 2 7" xfId="42377" xr:uid="{00000000-0005-0000-0000-000039B00000}"/>
    <cellStyle name="Normal 7 2 2 2 2 8" xfId="26277" xr:uid="{00000000-0005-0000-0000-00003AB00000}"/>
    <cellStyle name="Normal 7 2 2 2 2 9" xfId="13213" xr:uid="{00000000-0005-0000-0000-00003BB00000}"/>
    <cellStyle name="Normal 7 2 2 2 3" xfId="1022" xr:uid="{00000000-0005-0000-0000-00003CB00000}"/>
    <cellStyle name="Normal 7 2 2 2 3 2" xfId="3050" xr:uid="{00000000-0005-0000-0000-00003DB00000}"/>
    <cellStyle name="Normal 7 2 2 2 3 2 2" xfId="9582" xr:uid="{00000000-0005-0000-0000-00003EB00000}"/>
    <cellStyle name="Normal 7 2 2 2 3 2 2 2" xfId="41323" xr:uid="{00000000-0005-0000-0000-00003FB00000}"/>
    <cellStyle name="Normal 7 2 2 2 3 2 2 2 2" xfId="57423" xr:uid="{00000000-0005-0000-0000-000040B00000}"/>
    <cellStyle name="Normal 7 2 2 2 3 2 2 3" xfId="47856" xr:uid="{00000000-0005-0000-0000-000041B00000}"/>
    <cellStyle name="Normal 7 2 2 2 3 2 2 4" xfId="31756" xr:uid="{00000000-0005-0000-0000-000042B00000}"/>
    <cellStyle name="Normal 7 2 2 2 3 2 2 5" xfId="22187" xr:uid="{00000000-0005-0000-0000-000043B00000}"/>
    <cellStyle name="Normal 7 2 2 2 3 2 3" xfId="12618" xr:uid="{00000000-0005-0000-0000-000044B00000}"/>
    <cellStyle name="Normal 7 2 2 2 3 2 3 2" xfId="50892" xr:uid="{00000000-0005-0000-0000-000045B00000}"/>
    <cellStyle name="Normal 7 2 2 2 3 2 3 3" xfId="34792" xr:uid="{00000000-0005-0000-0000-000046B00000}"/>
    <cellStyle name="Normal 7 2 2 2 3 2 3 4" xfId="25223" xr:uid="{00000000-0005-0000-0000-000047B00000}"/>
    <cellStyle name="Normal 7 2 2 2 3 2 4" xfId="6546" xr:uid="{00000000-0005-0000-0000-000048B00000}"/>
    <cellStyle name="Normal 7 2 2 2 3 2 4 2" xfId="54387" xr:uid="{00000000-0005-0000-0000-000049B00000}"/>
    <cellStyle name="Normal 7 2 2 2 3 2 4 3" xfId="38287" xr:uid="{00000000-0005-0000-0000-00004AB00000}"/>
    <cellStyle name="Normal 7 2 2 2 3 2 4 4" xfId="19151" xr:uid="{00000000-0005-0000-0000-00004BB00000}"/>
    <cellStyle name="Normal 7 2 2 2 3 2 5" xfId="44820" xr:uid="{00000000-0005-0000-0000-00004CB00000}"/>
    <cellStyle name="Normal 7 2 2 2 3 2 6" xfId="28720" xr:uid="{00000000-0005-0000-0000-00004DB00000}"/>
    <cellStyle name="Normal 7 2 2 2 3 2 7" xfId="15656" xr:uid="{00000000-0005-0000-0000-00004EB00000}"/>
    <cellStyle name="Normal 7 2 2 2 3 3" xfId="2032" xr:uid="{00000000-0005-0000-0000-00004FB00000}"/>
    <cellStyle name="Normal 7 2 2 2 3 3 2" xfId="8566" xr:uid="{00000000-0005-0000-0000-000050B00000}"/>
    <cellStyle name="Normal 7 2 2 2 3 3 2 2" xfId="40307" xr:uid="{00000000-0005-0000-0000-000051B00000}"/>
    <cellStyle name="Normal 7 2 2 2 3 3 2 2 2" xfId="56407" xr:uid="{00000000-0005-0000-0000-000052B00000}"/>
    <cellStyle name="Normal 7 2 2 2 3 3 2 3" xfId="46840" xr:uid="{00000000-0005-0000-0000-000053B00000}"/>
    <cellStyle name="Normal 7 2 2 2 3 3 2 4" xfId="30740" xr:uid="{00000000-0005-0000-0000-000054B00000}"/>
    <cellStyle name="Normal 7 2 2 2 3 3 2 5" xfId="21171" xr:uid="{00000000-0005-0000-0000-000055B00000}"/>
    <cellStyle name="Normal 7 2 2 2 3 3 3" xfId="11602" xr:uid="{00000000-0005-0000-0000-000056B00000}"/>
    <cellStyle name="Normal 7 2 2 2 3 3 3 2" xfId="49876" xr:uid="{00000000-0005-0000-0000-000057B00000}"/>
    <cellStyle name="Normal 7 2 2 2 3 3 3 3" xfId="33776" xr:uid="{00000000-0005-0000-0000-000058B00000}"/>
    <cellStyle name="Normal 7 2 2 2 3 3 3 4" xfId="24207" xr:uid="{00000000-0005-0000-0000-000059B00000}"/>
    <cellStyle name="Normal 7 2 2 2 3 3 4" xfId="5530" xr:uid="{00000000-0005-0000-0000-00005AB00000}"/>
    <cellStyle name="Normal 7 2 2 2 3 3 4 2" xfId="53371" xr:uid="{00000000-0005-0000-0000-00005BB00000}"/>
    <cellStyle name="Normal 7 2 2 2 3 3 4 3" xfId="37271" xr:uid="{00000000-0005-0000-0000-00005CB00000}"/>
    <cellStyle name="Normal 7 2 2 2 3 3 4 4" xfId="18135" xr:uid="{00000000-0005-0000-0000-00005DB00000}"/>
    <cellStyle name="Normal 7 2 2 2 3 3 5" xfId="43804" xr:uid="{00000000-0005-0000-0000-00005EB00000}"/>
    <cellStyle name="Normal 7 2 2 2 3 3 6" xfId="27704" xr:uid="{00000000-0005-0000-0000-00005FB00000}"/>
    <cellStyle name="Normal 7 2 2 2 3 3 7" xfId="14640" xr:uid="{00000000-0005-0000-0000-000060B00000}"/>
    <cellStyle name="Normal 7 2 2 2 3 4" xfId="7556" xr:uid="{00000000-0005-0000-0000-000061B00000}"/>
    <cellStyle name="Normal 7 2 2 2 3 4 2" xfId="39297" xr:uid="{00000000-0005-0000-0000-000062B00000}"/>
    <cellStyle name="Normal 7 2 2 2 3 4 2 2" xfId="55397" xr:uid="{00000000-0005-0000-0000-000063B00000}"/>
    <cellStyle name="Normal 7 2 2 2 3 4 3" xfId="45830" xr:uid="{00000000-0005-0000-0000-000064B00000}"/>
    <cellStyle name="Normal 7 2 2 2 3 4 4" xfId="29730" xr:uid="{00000000-0005-0000-0000-000065B00000}"/>
    <cellStyle name="Normal 7 2 2 2 3 4 5" xfId="20161" xr:uid="{00000000-0005-0000-0000-000066B00000}"/>
    <cellStyle name="Normal 7 2 2 2 3 5" xfId="10592" xr:uid="{00000000-0005-0000-0000-000067B00000}"/>
    <cellStyle name="Normal 7 2 2 2 3 5 2" xfId="48866" xr:uid="{00000000-0005-0000-0000-000068B00000}"/>
    <cellStyle name="Normal 7 2 2 2 3 5 3" xfId="32766" xr:uid="{00000000-0005-0000-0000-000069B00000}"/>
    <cellStyle name="Normal 7 2 2 2 3 5 4" xfId="23197" xr:uid="{00000000-0005-0000-0000-00006AB00000}"/>
    <cellStyle name="Normal 7 2 2 2 3 6" xfId="4520" xr:uid="{00000000-0005-0000-0000-00006BB00000}"/>
    <cellStyle name="Normal 7 2 2 2 3 6 2" xfId="52361" xr:uid="{00000000-0005-0000-0000-00006CB00000}"/>
    <cellStyle name="Normal 7 2 2 2 3 6 3" xfId="36261" xr:uid="{00000000-0005-0000-0000-00006DB00000}"/>
    <cellStyle name="Normal 7 2 2 2 3 6 4" xfId="17125" xr:uid="{00000000-0005-0000-0000-00006EB00000}"/>
    <cellStyle name="Normal 7 2 2 2 3 7" xfId="42794" xr:uid="{00000000-0005-0000-0000-00006FB00000}"/>
    <cellStyle name="Normal 7 2 2 2 3 8" xfId="26694" xr:uid="{00000000-0005-0000-0000-000070B00000}"/>
    <cellStyle name="Normal 7 2 2 2 3 9" xfId="13630" xr:uid="{00000000-0005-0000-0000-000071B00000}"/>
    <cellStyle name="Normal 7 2 2 2 4" xfId="2226" xr:uid="{00000000-0005-0000-0000-000072B00000}"/>
    <cellStyle name="Normal 7 2 2 2 4 2" xfId="8760" xr:uid="{00000000-0005-0000-0000-000073B00000}"/>
    <cellStyle name="Normal 7 2 2 2 4 2 2" xfId="40501" xr:uid="{00000000-0005-0000-0000-000074B00000}"/>
    <cellStyle name="Normal 7 2 2 2 4 2 2 2" xfId="56601" xr:uid="{00000000-0005-0000-0000-000075B00000}"/>
    <cellStyle name="Normal 7 2 2 2 4 2 3" xfId="47034" xr:uid="{00000000-0005-0000-0000-000076B00000}"/>
    <cellStyle name="Normal 7 2 2 2 4 2 4" xfId="30934" xr:uid="{00000000-0005-0000-0000-000077B00000}"/>
    <cellStyle name="Normal 7 2 2 2 4 2 5" xfId="21365" xr:uid="{00000000-0005-0000-0000-000078B00000}"/>
    <cellStyle name="Normal 7 2 2 2 4 3" xfId="11796" xr:uid="{00000000-0005-0000-0000-000079B00000}"/>
    <cellStyle name="Normal 7 2 2 2 4 3 2" xfId="50070" xr:uid="{00000000-0005-0000-0000-00007AB00000}"/>
    <cellStyle name="Normal 7 2 2 2 4 3 3" xfId="33970" xr:uid="{00000000-0005-0000-0000-00007BB00000}"/>
    <cellStyle name="Normal 7 2 2 2 4 3 4" xfId="24401" xr:uid="{00000000-0005-0000-0000-00007CB00000}"/>
    <cellStyle name="Normal 7 2 2 2 4 4" xfId="5724" xr:uid="{00000000-0005-0000-0000-00007DB00000}"/>
    <cellStyle name="Normal 7 2 2 2 4 4 2" xfId="53565" xr:uid="{00000000-0005-0000-0000-00007EB00000}"/>
    <cellStyle name="Normal 7 2 2 2 4 4 3" xfId="37465" xr:uid="{00000000-0005-0000-0000-00007FB00000}"/>
    <cellStyle name="Normal 7 2 2 2 4 4 4" xfId="18329" xr:uid="{00000000-0005-0000-0000-000080B00000}"/>
    <cellStyle name="Normal 7 2 2 2 4 5" xfId="43998" xr:uid="{00000000-0005-0000-0000-000081B00000}"/>
    <cellStyle name="Normal 7 2 2 2 4 6" xfId="27898" xr:uid="{00000000-0005-0000-0000-000082B00000}"/>
    <cellStyle name="Normal 7 2 2 2 4 7" xfId="14834" xr:uid="{00000000-0005-0000-0000-000083B00000}"/>
    <cellStyle name="Normal 7 2 2 2 5" xfId="1438" xr:uid="{00000000-0005-0000-0000-000084B00000}"/>
    <cellStyle name="Normal 7 2 2 2 5 2" xfId="7972" xr:uid="{00000000-0005-0000-0000-000085B00000}"/>
    <cellStyle name="Normal 7 2 2 2 5 2 2" xfId="39713" xr:uid="{00000000-0005-0000-0000-000086B00000}"/>
    <cellStyle name="Normal 7 2 2 2 5 2 2 2" xfId="55813" xr:uid="{00000000-0005-0000-0000-000087B00000}"/>
    <cellStyle name="Normal 7 2 2 2 5 2 3" xfId="46246" xr:uid="{00000000-0005-0000-0000-000088B00000}"/>
    <cellStyle name="Normal 7 2 2 2 5 2 4" xfId="30146" xr:uid="{00000000-0005-0000-0000-000089B00000}"/>
    <cellStyle name="Normal 7 2 2 2 5 2 5" xfId="20577" xr:uid="{00000000-0005-0000-0000-00008AB00000}"/>
    <cellStyle name="Normal 7 2 2 2 5 3" xfId="11008" xr:uid="{00000000-0005-0000-0000-00008BB00000}"/>
    <cellStyle name="Normal 7 2 2 2 5 3 2" xfId="49282" xr:uid="{00000000-0005-0000-0000-00008CB00000}"/>
    <cellStyle name="Normal 7 2 2 2 5 3 3" xfId="33182" xr:uid="{00000000-0005-0000-0000-00008DB00000}"/>
    <cellStyle name="Normal 7 2 2 2 5 3 4" xfId="23613" xr:uid="{00000000-0005-0000-0000-00008EB00000}"/>
    <cellStyle name="Normal 7 2 2 2 5 4" xfId="4936" xr:uid="{00000000-0005-0000-0000-00008FB00000}"/>
    <cellStyle name="Normal 7 2 2 2 5 4 2" xfId="52777" xr:uid="{00000000-0005-0000-0000-000090B00000}"/>
    <cellStyle name="Normal 7 2 2 2 5 4 3" xfId="36677" xr:uid="{00000000-0005-0000-0000-000091B00000}"/>
    <cellStyle name="Normal 7 2 2 2 5 4 4" xfId="17541" xr:uid="{00000000-0005-0000-0000-000092B00000}"/>
    <cellStyle name="Normal 7 2 2 2 5 5" xfId="43210" xr:uid="{00000000-0005-0000-0000-000093B00000}"/>
    <cellStyle name="Normal 7 2 2 2 5 6" xfId="27110" xr:uid="{00000000-0005-0000-0000-000094B00000}"/>
    <cellStyle name="Normal 7 2 2 2 5 7" xfId="14046" xr:uid="{00000000-0005-0000-0000-000095B00000}"/>
    <cellStyle name="Normal 7 2 2 2 6" xfId="3926" xr:uid="{00000000-0005-0000-0000-000096B00000}"/>
    <cellStyle name="Normal 7 2 2 2 6 2" xfId="35667" xr:uid="{00000000-0005-0000-0000-000097B00000}"/>
    <cellStyle name="Normal 7 2 2 2 6 2 2" xfId="51767" xr:uid="{00000000-0005-0000-0000-000098B00000}"/>
    <cellStyle name="Normal 7 2 2 2 6 3" xfId="42200" xr:uid="{00000000-0005-0000-0000-000099B00000}"/>
    <cellStyle name="Normal 7 2 2 2 6 4" xfId="26100" xr:uid="{00000000-0005-0000-0000-00009AB00000}"/>
    <cellStyle name="Normal 7 2 2 2 6 5" xfId="16531" xr:uid="{00000000-0005-0000-0000-00009BB00000}"/>
    <cellStyle name="Normal 7 2 2 2 7" xfId="6962" xr:uid="{00000000-0005-0000-0000-00009CB00000}"/>
    <cellStyle name="Normal 7 2 2 2 7 2" xfId="38703" xr:uid="{00000000-0005-0000-0000-00009DB00000}"/>
    <cellStyle name="Normal 7 2 2 2 7 2 2" xfId="54803" xr:uid="{00000000-0005-0000-0000-00009EB00000}"/>
    <cellStyle name="Normal 7 2 2 2 7 3" xfId="45236" xr:uid="{00000000-0005-0000-0000-00009FB00000}"/>
    <cellStyle name="Normal 7 2 2 2 7 4" xfId="29136" xr:uid="{00000000-0005-0000-0000-0000A0B00000}"/>
    <cellStyle name="Normal 7 2 2 2 7 5" xfId="19567" xr:uid="{00000000-0005-0000-0000-0000A1B00000}"/>
    <cellStyle name="Normal 7 2 2 2 8" xfId="9998" xr:uid="{00000000-0005-0000-0000-0000A2B00000}"/>
    <cellStyle name="Normal 7 2 2 2 8 2" xfId="48272" xr:uid="{00000000-0005-0000-0000-0000A3B00000}"/>
    <cellStyle name="Normal 7 2 2 2 8 3" xfId="32172" xr:uid="{00000000-0005-0000-0000-0000A4B00000}"/>
    <cellStyle name="Normal 7 2 2 2 8 4" xfId="22603" xr:uid="{00000000-0005-0000-0000-0000A5B00000}"/>
    <cellStyle name="Normal 7 2 2 2 9" xfId="3402" xr:uid="{00000000-0005-0000-0000-0000A6B00000}"/>
    <cellStyle name="Normal 7 2 2 2 9 2" xfId="51243" xr:uid="{00000000-0005-0000-0000-0000A7B00000}"/>
    <cellStyle name="Normal 7 2 2 2 9 3" xfId="35143" xr:uid="{00000000-0005-0000-0000-0000A8B00000}"/>
    <cellStyle name="Normal 7 2 2 2 9 4" xfId="16007" xr:uid="{00000000-0005-0000-0000-0000A9B00000}"/>
    <cellStyle name="Normal 7 2 2 3" xfId="313" xr:uid="{00000000-0005-0000-0000-0000AAB00000}"/>
    <cellStyle name="Normal 7 2 2 3 2" xfId="2332" xr:uid="{00000000-0005-0000-0000-0000ABB00000}"/>
    <cellStyle name="Normal 7 2 2 3 2 2" xfId="8866" xr:uid="{00000000-0005-0000-0000-0000ACB00000}"/>
    <cellStyle name="Normal 7 2 2 3 2 2 2" xfId="40607" xr:uid="{00000000-0005-0000-0000-0000ADB00000}"/>
    <cellStyle name="Normal 7 2 2 3 2 2 2 2" xfId="56707" xr:uid="{00000000-0005-0000-0000-0000AEB00000}"/>
    <cellStyle name="Normal 7 2 2 3 2 2 3" xfId="47140" xr:uid="{00000000-0005-0000-0000-0000AFB00000}"/>
    <cellStyle name="Normal 7 2 2 3 2 2 4" xfId="31040" xr:uid="{00000000-0005-0000-0000-0000B0B00000}"/>
    <cellStyle name="Normal 7 2 2 3 2 2 5" xfId="21471" xr:uid="{00000000-0005-0000-0000-0000B1B00000}"/>
    <cellStyle name="Normal 7 2 2 3 2 3" xfId="11902" xr:uid="{00000000-0005-0000-0000-0000B2B00000}"/>
    <cellStyle name="Normal 7 2 2 3 2 3 2" xfId="50176" xr:uid="{00000000-0005-0000-0000-0000B3B00000}"/>
    <cellStyle name="Normal 7 2 2 3 2 3 3" xfId="34076" xr:uid="{00000000-0005-0000-0000-0000B4B00000}"/>
    <cellStyle name="Normal 7 2 2 3 2 3 4" xfId="24507" xr:uid="{00000000-0005-0000-0000-0000B5B00000}"/>
    <cellStyle name="Normal 7 2 2 3 2 4" xfId="5830" xr:uid="{00000000-0005-0000-0000-0000B6B00000}"/>
    <cellStyle name="Normal 7 2 2 3 2 4 2" xfId="53671" xr:uid="{00000000-0005-0000-0000-0000B7B00000}"/>
    <cellStyle name="Normal 7 2 2 3 2 4 3" xfId="37571" xr:uid="{00000000-0005-0000-0000-0000B8B00000}"/>
    <cellStyle name="Normal 7 2 2 3 2 4 4" xfId="18435" xr:uid="{00000000-0005-0000-0000-0000B9B00000}"/>
    <cellStyle name="Normal 7 2 2 3 2 5" xfId="44104" xr:uid="{00000000-0005-0000-0000-0000BAB00000}"/>
    <cellStyle name="Normal 7 2 2 3 2 6" xfId="28004" xr:uid="{00000000-0005-0000-0000-0000BBB00000}"/>
    <cellStyle name="Normal 7 2 2 3 2 7" xfId="14940" xr:uid="{00000000-0005-0000-0000-0000BCB00000}"/>
    <cellStyle name="Normal 7 2 2 3 3" xfId="1544" xr:uid="{00000000-0005-0000-0000-0000BDB00000}"/>
    <cellStyle name="Normal 7 2 2 3 3 2" xfId="8078" xr:uid="{00000000-0005-0000-0000-0000BEB00000}"/>
    <cellStyle name="Normal 7 2 2 3 3 2 2" xfId="39819" xr:uid="{00000000-0005-0000-0000-0000BFB00000}"/>
    <cellStyle name="Normal 7 2 2 3 3 2 2 2" xfId="55919" xr:uid="{00000000-0005-0000-0000-0000C0B00000}"/>
    <cellStyle name="Normal 7 2 2 3 3 2 3" xfId="46352" xr:uid="{00000000-0005-0000-0000-0000C1B00000}"/>
    <cellStyle name="Normal 7 2 2 3 3 2 4" xfId="30252" xr:uid="{00000000-0005-0000-0000-0000C2B00000}"/>
    <cellStyle name="Normal 7 2 2 3 3 2 5" xfId="20683" xr:uid="{00000000-0005-0000-0000-0000C3B00000}"/>
    <cellStyle name="Normal 7 2 2 3 3 3" xfId="11114" xr:uid="{00000000-0005-0000-0000-0000C4B00000}"/>
    <cellStyle name="Normal 7 2 2 3 3 3 2" xfId="49388" xr:uid="{00000000-0005-0000-0000-0000C5B00000}"/>
    <cellStyle name="Normal 7 2 2 3 3 3 3" xfId="33288" xr:uid="{00000000-0005-0000-0000-0000C6B00000}"/>
    <cellStyle name="Normal 7 2 2 3 3 3 4" xfId="23719" xr:uid="{00000000-0005-0000-0000-0000C7B00000}"/>
    <cellStyle name="Normal 7 2 2 3 3 4" xfId="5042" xr:uid="{00000000-0005-0000-0000-0000C8B00000}"/>
    <cellStyle name="Normal 7 2 2 3 3 4 2" xfId="52883" xr:uid="{00000000-0005-0000-0000-0000C9B00000}"/>
    <cellStyle name="Normal 7 2 2 3 3 4 3" xfId="36783" xr:uid="{00000000-0005-0000-0000-0000CAB00000}"/>
    <cellStyle name="Normal 7 2 2 3 3 4 4" xfId="17647" xr:uid="{00000000-0005-0000-0000-0000CBB00000}"/>
    <cellStyle name="Normal 7 2 2 3 3 5" xfId="43316" xr:uid="{00000000-0005-0000-0000-0000CCB00000}"/>
    <cellStyle name="Normal 7 2 2 3 3 6" xfId="27216" xr:uid="{00000000-0005-0000-0000-0000CDB00000}"/>
    <cellStyle name="Normal 7 2 2 3 3 7" xfId="14152" xr:uid="{00000000-0005-0000-0000-0000CEB00000}"/>
    <cellStyle name="Normal 7 2 2 3 4" xfId="7068" xr:uid="{00000000-0005-0000-0000-0000CFB00000}"/>
    <cellStyle name="Normal 7 2 2 3 4 2" xfId="38809" xr:uid="{00000000-0005-0000-0000-0000D0B00000}"/>
    <cellStyle name="Normal 7 2 2 3 4 2 2" xfId="54909" xr:uid="{00000000-0005-0000-0000-0000D1B00000}"/>
    <cellStyle name="Normal 7 2 2 3 4 3" xfId="45342" xr:uid="{00000000-0005-0000-0000-0000D2B00000}"/>
    <cellStyle name="Normal 7 2 2 3 4 4" xfId="29242" xr:uid="{00000000-0005-0000-0000-0000D3B00000}"/>
    <cellStyle name="Normal 7 2 2 3 4 5" xfId="19673" xr:uid="{00000000-0005-0000-0000-0000D4B00000}"/>
    <cellStyle name="Normal 7 2 2 3 5" xfId="10104" xr:uid="{00000000-0005-0000-0000-0000D5B00000}"/>
    <cellStyle name="Normal 7 2 2 3 5 2" xfId="48378" xr:uid="{00000000-0005-0000-0000-0000D6B00000}"/>
    <cellStyle name="Normal 7 2 2 3 5 3" xfId="32278" xr:uid="{00000000-0005-0000-0000-0000D7B00000}"/>
    <cellStyle name="Normal 7 2 2 3 5 4" xfId="22709" xr:uid="{00000000-0005-0000-0000-0000D8B00000}"/>
    <cellStyle name="Normal 7 2 2 3 6" xfId="4032" xr:uid="{00000000-0005-0000-0000-0000D9B00000}"/>
    <cellStyle name="Normal 7 2 2 3 6 2" xfId="51873" xr:uid="{00000000-0005-0000-0000-0000DAB00000}"/>
    <cellStyle name="Normal 7 2 2 3 6 3" xfId="35773" xr:uid="{00000000-0005-0000-0000-0000DBB00000}"/>
    <cellStyle name="Normal 7 2 2 3 6 4" xfId="16637" xr:uid="{00000000-0005-0000-0000-0000DCB00000}"/>
    <cellStyle name="Normal 7 2 2 3 7" xfId="42306" xr:uid="{00000000-0005-0000-0000-0000DDB00000}"/>
    <cellStyle name="Normal 7 2 2 3 8" xfId="26206" xr:uid="{00000000-0005-0000-0000-0000DEB00000}"/>
    <cellStyle name="Normal 7 2 2 3 9" xfId="13142" xr:uid="{00000000-0005-0000-0000-0000DFB00000}"/>
    <cellStyle name="Normal 7 2 2 4" xfId="570" xr:uid="{00000000-0005-0000-0000-0000E0B00000}"/>
    <cellStyle name="Normal 7 2 2 4 2" xfId="2599" xr:uid="{00000000-0005-0000-0000-0000E1B00000}"/>
    <cellStyle name="Normal 7 2 2 4 2 2" xfId="9131" xr:uid="{00000000-0005-0000-0000-0000E2B00000}"/>
    <cellStyle name="Normal 7 2 2 4 2 2 2" xfId="40872" xr:uid="{00000000-0005-0000-0000-0000E3B00000}"/>
    <cellStyle name="Normal 7 2 2 4 2 2 2 2" xfId="56972" xr:uid="{00000000-0005-0000-0000-0000E4B00000}"/>
    <cellStyle name="Normal 7 2 2 4 2 2 3" xfId="47405" xr:uid="{00000000-0005-0000-0000-0000E5B00000}"/>
    <cellStyle name="Normal 7 2 2 4 2 2 4" xfId="31305" xr:uid="{00000000-0005-0000-0000-0000E6B00000}"/>
    <cellStyle name="Normal 7 2 2 4 2 2 5" xfId="21736" xr:uid="{00000000-0005-0000-0000-0000E7B00000}"/>
    <cellStyle name="Normal 7 2 2 4 2 3" xfId="12167" xr:uid="{00000000-0005-0000-0000-0000E8B00000}"/>
    <cellStyle name="Normal 7 2 2 4 2 3 2" xfId="50441" xr:uid="{00000000-0005-0000-0000-0000E9B00000}"/>
    <cellStyle name="Normal 7 2 2 4 2 3 3" xfId="34341" xr:uid="{00000000-0005-0000-0000-0000EAB00000}"/>
    <cellStyle name="Normal 7 2 2 4 2 3 4" xfId="24772" xr:uid="{00000000-0005-0000-0000-0000EBB00000}"/>
    <cellStyle name="Normal 7 2 2 4 2 4" xfId="6095" xr:uid="{00000000-0005-0000-0000-0000ECB00000}"/>
    <cellStyle name="Normal 7 2 2 4 2 4 2" xfId="53936" xr:uid="{00000000-0005-0000-0000-0000EDB00000}"/>
    <cellStyle name="Normal 7 2 2 4 2 4 3" xfId="37836" xr:uid="{00000000-0005-0000-0000-0000EEB00000}"/>
    <cellStyle name="Normal 7 2 2 4 2 4 4" xfId="18700" xr:uid="{00000000-0005-0000-0000-0000EFB00000}"/>
    <cellStyle name="Normal 7 2 2 4 2 5" xfId="44369" xr:uid="{00000000-0005-0000-0000-0000F0B00000}"/>
    <cellStyle name="Normal 7 2 2 4 2 6" xfId="28269" xr:uid="{00000000-0005-0000-0000-0000F1B00000}"/>
    <cellStyle name="Normal 7 2 2 4 2 7" xfId="15205" xr:uid="{00000000-0005-0000-0000-0000F2B00000}"/>
    <cellStyle name="Normal 7 2 2 4 3" xfId="1367" xr:uid="{00000000-0005-0000-0000-0000F3B00000}"/>
    <cellStyle name="Normal 7 2 2 4 3 2" xfId="7901" xr:uid="{00000000-0005-0000-0000-0000F4B00000}"/>
    <cellStyle name="Normal 7 2 2 4 3 2 2" xfId="39642" xr:uid="{00000000-0005-0000-0000-0000F5B00000}"/>
    <cellStyle name="Normal 7 2 2 4 3 2 2 2" xfId="55742" xr:uid="{00000000-0005-0000-0000-0000F6B00000}"/>
    <cellStyle name="Normal 7 2 2 4 3 2 3" xfId="46175" xr:uid="{00000000-0005-0000-0000-0000F7B00000}"/>
    <cellStyle name="Normal 7 2 2 4 3 2 4" xfId="30075" xr:uid="{00000000-0005-0000-0000-0000F8B00000}"/>
    <cellStyle name="Normal 7 2 2 4 3 2 5" xfId="20506" xr:uid="{00000000-0005-0000-0000-0000F9B00000}"/>
    <cellStyle name="Normal 7 2 2 4 3 3" xfId="10937" xr:uid="{00000000-0005-0000-0000-0000FAB00000}"/>
    <cellStyle name="Normal 7 2 2 4 3 3 2" xfId="49211" xr:uid="{00000000-0005-0000-0000-0000FBB00000}"/>
    <cellStyle name="Normal 7 2 2 4 3 3 3" xfId="33111" xr:uid="{00000000-0005-0000-0000-0000FCB00000}"/>
    <cellStyle name="Normal 7 2 2 4 3 3 4" xfId="23542" xr:uid="{00000000-0005-0000-0000-0000FDB00000}"/>
    <cellStyle name="Normal 7 2 2 4 3 4" xfId="4865" xr:uid="{00000000-0005-0000-0000-0000FEB00000}"/>
    <cellStyle name="Normal 7 2 2 4 3 4 2" xfId="52706" xr:uid="{00000000-0005-0000-0000-0000FFB00000}"/>
    <cellStyle name="Normal 7 2 2 4 3 4 3" xfId="36606" xr:uid="{00000000-0005-0000-0000-000000B10000}"/>
    <cellStyle name="Normal 7 2 2 4 3 4 4" xfId="17470" xr:uid="{00000000-0005-0000-0000-000001B10000}"/>
    <cellStyle name="Normal 7 2 2 4 3 5" xfId="43139" xr:uid="{00000000-0005-0000-0000-000002B10000}"/>
    <cellStyle name="Normal 7 2 2 4 3 6" xfId="27039" xr:uid="{00000000-0005-0000-0000-000003B10000}"/>
    <cellStyle name="Normal 7 2 2 4 3 7" xfId="13975" xr:uid="{00000000-0005-0000-0000-000004B10000}"/>
    <cellStyle name="Normal 7 2 2 4 4" xfId="6891" xr:uid="{00000000-0005-0000-0000-000005B10000}"/>
    <cellStyle name="Normal 7 2 2 4 4 2" xfId="38632" xr:uid="{00000000-0005-0000-0000-000006B10000}"/>
    <cellStyle name="Normal 7 2 2 4 4 2 2" xfId="54732" xr:uid="{00000000-0005-0000-0000-000007B10000}"/>
    <cellStyle name="Normal 7 2 2 4 4 3" xfId="45165" xr:uid="{00000000-0005-0000-0000-000008B10000}"/>
    <cellStyle name="Normal 7 2 2 4 4 4" xfId="29065" xr:uid="{00000000-0005-0000-0000-000009B10000}"/>
    <cellStyle name="Normal 7 2 2 4 4 5" xfId="19496" xr:uid="{00000000-0005-0000-0000-00000AB10000}"/>
    <cellStyle name="Normal 7 2 2 4 5" xfId="9927" xr:uid="{00000000-0005-0000-0000-00000BB10000}"/>
    <cellStyle name="Normal 7 2 2 4 5 2" xfId="48201" xr:uid="{00000000-0005-0000-0000-00000CB10000}"/>
    <cellStyle name="Normal 7 2 2 4 5 3" xfId="32101" xr:uid="{00000000-0005-0000-0000-00000DB10000}"/>
    <cellStyle name="Normal 7 2 2 4 5 4" xfId="22532" xr:uid="{00000000-0005-0000-0000-00000EB10000}"/>
    <cellStyle name="Normal 7 2 2 4 6" xfId="3855" xr:uid="{00000000-0005-0000-0000-00000FB10000}"/>
    <cellStyle name="Normal 7 2 2 4 6 2" xfId="51696" xr:uid="{00000000-0005-0000-0000-000010B10000}"/>
    <cellStyle name="Normal 7 2 2 4 6 3" xfId="35596" xr:uid="{00000000-0005-0000-0000-000011B10000}"/>
    <cellStyle name="Normal 7 2 2 4 6 4" xfId="16460" xr:uid="{00000000-0005-0000-0000-000012B10000}"/>
    <cellStyle name="Normal 7 2 2 4 7" xfId="42129" xr:uid="{00000000-0005-0000-0000-000013B10000}"/>
    <cellStyle name="Normal 7 2 2 4 8" xfId="26029" xr:uid="{00000000-0005-0000-0000-000014B10000}"/>
    <cellStyle name="Normal 7 2 2 4 9" xfId="12965" xr:uid="{00000000-0005-0000-0000-000015B10000}"/>
    <cellStyle name="Normal 7 2 2 5" xfId="809" xr:uid="{00000000-0005-0000-0000-000016B10000}"/>
    <cellStyle name="Normal 7 2 2 5 2" xfId="2837" xr:uid="{00000000-0005-0000-0000-000017B10000}"/>
    <cellStyle name="Normal 7 2 2 5 2 2" xfId="9369" xr:uid="{00000000-0005-0000-0000-000018B10000}"/>
    <cellStyle name="Normal 7 2 2 5 2 2 2" xfId="41110" xr:uid="{00000000-0005-0000-0000-000019B10000}"/>
    <cellStyle name="Normal 7 2 2 5 2 2 2 2" xfId="57210" xr:uid="{00000000-0005-0000-0000-00001AB10000}"/>
    <cellStyle name="Normal 7 2 2 5 2 2 3" xfId="47643" xr:uid="{00000000-0005-0000-0000-00001BB10000}"/>
    <cellStyle name="Normal 7 2 2 5 2 2 4" xfId="31543" xr:uid="{00000000-0005-0000-0000-00001CB10000}"/>
    <cellStyle name="Normal 7 2 2 5 2 2 5" xfId="21974" xr:uid="{00000000-0005-0000-0000-00001DB10000}"/>
    <cellStyle name="Normal 7 2 2 5 2 3" xfId="12405" xr:uid="{00000000-0005-0000-0000-00001EB10000}"/>
    <cellStyle name="Normal 7 2 2 5 2 3 2" xfId="50679" xr:uid="{00000000-0005-0000-0000-00001FB10000}"/>
    <cellStyle name="Normal 7 2 2 5 2 3 3" xfId="34579" xr:uid="{00000000-0005-0000-0000-000020B10000}"/>
    <cellStyle name="Normal 7 2 2 5 2 3 4" xfId="25010" xr:uid="{00000000-0005-0000-0000-000021B10000}"/>
    <cellStyle name="Normal 7 2 2 5 2 4" xfId="6333" xr:uid="{00000000-0005-0000-0000-000022B10000}"/>
    <cellStyle name="Normal 7 2 2 5 2 4 2" xfId="54174" xr:uid="{00000000-0005-0000-0000-000023B10000}"/>
    <cellStyle name="Normal 7 2 2 5 2 4 3" xfId="38074" xr:uid="{00000000-0005-0000-0000-000024B10000}"/>
    <cellStyle name="Normal 7 2 2 5 2 4 4" xfId="18938" xr:uid="{00000000-0005-0000-0000-000025B10000}"/>
    <cellStyle name="Normal 7 2 2 5 2 5" xfId="44607" xr:uid="{00000000-0005-0000-0000-000026B10000}"/>
    <cellStyle name="Normal 7 2 2 5 2 6" xfId="28507" xr:uid="{00000000-0005-0000-0000-000027B10000}"/>
    <cellStyle name="Normal 7 2 2 5 2 7" xfId="15443" xr:uid="{00000000-0005-0000-0000-000028B10000}"/>
    <cellStyle name="Normal 7 2 2 5 3" xfId="1819" xr:uid="{00000000-0005-0000-0000-000029B10000}"/>
    <cellStyle name="Normal 7 2 2 5 3 2" xfId="8353" xr:uid="{00000000-0005-0000-0000-00002AB10000}"/>
    <cellStyle name="Normal 7 2 2 5 3 2 2" xfId="40094" xr:uid="{00000000-0005-0000-0000-00002BB10000}"/>
    <cellStyle name="Normal 7 2 2 5 3 2 2 2" xfId="56194" xr:uid="{00000000-0005-0000-0000-00002CB10000}"/>
    <cellStyle name="Normal 7 2 2 5 3 2 3" xfId="46627" xr:uid="{00000000-0005-0000-0000-00002DB10000}"/>
    <cellStyle name="Normal 7 2 2 5 3 2 4" xfId="30527" xr:uid="{00000000-0005-0000-0000-00002EB10000}"/>
    <cellStyle name="Normal 7 2 2 5 3 2 5" xfId="20958" xr:uid="{00000000-0005-0000-0000-00002FB10000}"/>
    <cellStyle name="Normal 7 2 2 5 3 3" xfId="11389" xr:uid="{00000000-0005-0000-0000-000030B10000}"/>
    <cellStyle name="Normal 7 2 2 5 3 3 2" xfId="49663" xr:uid="{00000000-0005-0000-0000-000031B10000}"/>
    <cellStyle name="Normal 7 2 2 5 3 3 3" xfId="33563" xr:uid="{00000000-0005-0000-0000-000032B10000}"/>
    <cellStyle name="Normal 7 2 2 5 3 3 4" xfId="23994" xr:uid="{00000000-0005-0000-0000-000033B10000}"/>
    <cellStyle name="Normal 7 2 2 5 3 4" xfId="5317" xr:uid="{00000000-0005-0000-0000-000034B10000}"/>
    <cellStyle name="Normal 7 2 2 5 3 4 2" xfId="53158" xr:uid="{00000000-0005-0000-0000-000035B10000}"/>
    <cellStyle name="Normal 7 2 2 5 3 4 3" xfId="37058" xr:uid="{00000000-0005-0000-0000-000036B10000}"/>
    <cellStyle name="Normal 7 2 2 5 3 4 4" xfId="17922" xr:uid="{00000000-0005-0000-0000-000037B10000}"/>
    <cellStyle name="Normal 7 2 2 5 3 5" xfId="43591" xr:uid="{00000000-0005-0000-0000-000038B10000}"/>
    <cellStyle name="Normal 7 2 2 5 3 6" xfId="27491" xr:uid="{00000000-0005-0000-0000-000039B10000}"/>
    <cellStyle name="Normal 7 2 2 5 3 7" xfId="14427" xr:uid="{00000000-0005-0000-0000-00003AB10000}"/>
    <cellStyle name="Normal 7 2 2 5 4" xfId="7343" xr:uid="{00000000-0005-0000-0000-00003BB10000}"/>
    <cellStyle name="Normal 7 2 2 5 4 2" xfId="39084" xr:uid="{00000000-0005-0000-0000-00003CB10000}"/>
    <cellStyle name="Normal 7 2 2 5 4 2 2" xfId="55184" xr:uid="{00000000-0005-0000-0000-00003DB10000}"/>
    <cellStyle name="Normal 7 2 2 5 4 3" xfId="45617" xr:uid="{00000000-0005-0000-0000-00003EB10000}"/>
    <cellStyle name="Normal 7 2 2 5 4 4" xfId="29517" xr:uid="{00000000-0005-0000-0000-00003FB10000}"/>
    <cellStyle name="Normal 7 2 2 5 4 5" xfId="19948" xr:uid="{00000000-0005-0000-0000-000040B10000}"/>
    <cellStyle name="Normal 7 2 2 5 5" xfId="10379" xr:uid="{00000000-0005-0000-0000-000041B10000}"/>
    <cellStyle name="Normal 7 2 2 5 5 2" xfId="48653" xr:uid="{00000000-0005-0000-0000-000042B10000}"/>
    <cellStyle name="Normal 7 2 2 5 5 3" xfId="32553" xr:uid="{00000000-0005-0000-0000-000043B10000}"/>
    <cellStyle name="Normal 7 2 2 5 5 4" xfId="22984" xr:uid="{00000000-0005-0000-0000-000044B10000}"/>
    <cellStyle name="Normal 7 2 2 5 6" xfId="4307" xr:uid="{00000000-0005-0000-0000-000045B10000}"/>
    <cellStyle name="Normal 7 2 2 5 6 2" xfId="52148" xr:uid="{00000000-0005-0000-0000-000046B10000}"/>
    <cellStyle name="Normal 7 2 2 5 6 3" xfId="36048" xr:uid="{00000000-0005-0000-0000-000047B10000}"/>
    <cellStyle name="Normal 7 2 2 5 6 4" xfId="16912" xr:uid="{00000000-0005-0000-0000-000048B10000}"/>
    <cellStyle name="Normal 7 2 2 5 7" xfId="42581" xr:uid="{00000000-0005-0000-0000-000049B10000}"/>
    <cellStyle name="Normal 7 2 2 5 8" xfId="26481" xr:uid="{00000000-0005-0000-0000-00004AB10000}"/>
    <cellStyle name="Normal 7 2 2 5 9" xfId="13417" xr:uid="{00000000-0005-0000-0000-00004BB10000}"/>
    <cellStyle name="Normal 7 2 2 6" xfId="2155" xr:uid="{00000000-0005-0000-0000-00004CB10000}"/>
    <cellStyle name="Normal 7 2 2 6 2" xfId="8689" xr:uid="{00000000-0005-0000-0000-00004DB10000}"/>
    <cellStyle name="Normal 7 2 2 6 2 2" xfId="40430" xr:uid="{00000000-0005-0000-0000-00004EB10000}"/>
    <cellStyle name="Normal 7 2 2 6 2 2 2" xfId="56530" xr:uid="{00000000-0005-0000-0000-00004FB10000}"/>
    <cellStyle name="Normal 7 2 2 6 2 3" xfId="46963" xr:uid="{00000000-0005-0000-0000-000050B10000}"/>
    <cellStyle name="Normal 7 2 2 6 2 4" xfId="30863" xr:uid="{00000000-0005-0000-0000-000051B10000}"/>
    <cellStyle name="Normal 7 2 2 6 2 5" xfId="21294" xr:uid="{00000000-0005-0000-0000-000052B10000}"/>
    <cellStyle name="Normal 7 2 2 6 3" xfId="11725" xr:uid="{00000000-0005-0000-0000-000053B10000}"/>
    <cellStyle name="Normal 7 2 2 6 3 2" xfId="49999" xr:uid="{00000000-0005-0000-0000-000054B10000}"/>
    <cellStyle name="Normal 7 2 2 6 3 3" xfId="33899" xr:uid="{00000000-0005-0000-0000-000055B10000}"/>
    <cellStyle name="Normal 7 2 2 6 3 4" xfId="24330" xr:uid="{00000000-0005-0000-0000-000056B10000}"/>
    <cellStyle name="Normal 7 2 2 6 4" xfId="5653" xr:uid="{00000000-0005-0000-0000-000057B10000}"/>
    <cellStyle name="Normal 7 2 2 6 4 2" xfId="53494" xr:uid="{00000000-0005-0000-0000-000058B10000}"/>
    <cellStyle name="Normal 7 2 2 6 4 3" xfId="37394" xr:uid="{00000000-0005-0000-0000-000059B10000}"/>
    <cellStyle name="Normal 7 2 2 6 4 4" xfId="18258" xr:uid="{00000000-0005-0000-0000-00005AB10000}"/>
    <cellStyle name="Normal 7 2 2 6 5" xfId="43927" xr:uid="{00000000-0005-0000-0000-00005BB10000}"/>
    <cellStyle name="Normal 7 2 2 6 6" xfId="27827" xr:uid="{00000000-0005-0000-0000-00005CB10000}"/>
    <cellStyle name="Normal 7 2 2 6 7" xfId="14763" xr:uid="{00000000-0005-0000-0000-00005DB10000}"/>
    <cellStyle name="Normal 7 2 2 7" xfId="1136" xr:uid="{00000000-0005-0000-0000-00005EB10000}"/>
    <cellStyle name="Normal 7 2 2 7 2" xfId="7670" xr:uid="{00000000-0005-0000-0000-00005FB10000}"/>
    <cellStyle name="Normal 7 2 2 7 2 2" xfId="39411" xr:uid="{00000000-0005-0000-0000-000060B10000}"/>
    <cellStyle name="Normal 7 2 2 7 2 2 2" xfId="55511" xr:uid="{00000000-0005-0000-0000-000061B10000}"/>
    <cellStyle name="Normal 7 2 2 7 2 3" xfId="45944" xr:uid="{00000000-0005-0000-0000-000062B10000}"/>
    <cellStyle name="Normal 7 2 2 7 2 4" xfId="29844" xr:uid="{00000000-0005-0000-0000-000063B10000}"/>
    <cellStyle name="Normal 7 2 2 7 2 5" xfId="20275" xr:uid="{00000000-0005-0000-0000-000064B10000}"/>
    <cellStyle name="Normal 7 2 2 7 3" xfId="10706" xr:uid="{00000000-0005-0000-0000-000065B10000}"/>
    <cellStyle name="Normal 7 2 2 7 3 2" xfId="48980" xr:uid="{00000000-0005-0000-0000-000066B10000}"/>
    <cellStyle name="Normal 7 2 2 7 3 3" xfId="32880" xr:uid="{00000000-0005-0000-0000-000067B10000}"/>
    <cellStyle name="Normal 7 2 2 7 3 4" xfId="23311" xr:uid="{00000000-0005-0000-0000-000068B10000}"/>
    <cellStyle name="Normal 7 2 2 7 4" xfId="4634" xr:uid="{00000000-0005-0000-0000-000069B10000}"/>
    <cellStyle name="Normal 7 2 2 7 4 2" xfId="52475" xr:uid="{00000000-0005-0000-0000-00006AB10000}"/>
    <cellStyle name="Normal 7 2 2 7 4 3" xfId="36375" xr:uid="{00000000-0005-0000-0000-00006BB10000}"/>
    <cellStyle name="Normal 7 2 2 7 4 4" xfId="17239" xr:uid="{00000000-0005-0000-0000-00006CB10000}"/>
    <cellStyle name="Normal 7 2 2 7 5" xfId="42908" xr:uid="{00000000-0005-0000-0000-00006DB10000}"/>
    <cellStyle name="Normal 7 2 2 7 6" xfId="26808" xr:uid="{00000000-0005-0000-0000-00006EB10000}"/>
    <cellStyle name="Normal 7 2 2 7 7" xfId="13744" xr:uid="{00000000-0005-0000-0000-00006FB10000}"/>
    <cellStyle name="Normal 7 2 2 8" xfId="3624" xr:uid="{00000000-0005-0000-0000-000070B10000}"/>
    <cellStyle name="Normal 7 2 2 8 2" xfId="35365" xr:uid="{00000000-0005-0000-0000-000071B10000}"/>
    <cellStyle name="Normal 7 2 2 8 2 2" xfId="51465" xr:uid="{00000000-0005-0000-0000-000072B10000}"/>
    <cellStyle name="Normal 7 2 2 8 3" xfId="41898" xr:uid="{00000000-0005-0000-0000-000073B10000}"/>
    <cellStyle name="Normal 7 2 2 8 4" xfId="25798" xr:uid="{00000000-0005-0000-0000-000074B10000}"/>
    <cellStyle name="Normal 7 2 2 8 5" xfId="16229" xr:uid="{00000000-0005-0000-0000-000075B10000}"/>
    <cellStyle name="Normal 7 2 2 9" xfId="6660" xr:uid="{00000000-0005-0000-0000-000076B10000}"/>
    <cellStyle name="Normal 7 2 2 9 2" xfId="38401" xr:uid="{00000000-0005-0000-0000-000077B10000}"/>
    <cellStyle name="Normal 7 2 2 9 2 2" xfId="54501" xr:uid="{00000000-0005-0000-0000-000078B10000}"/>
    <cellStyle name="Normal 7 2 2 9 3" xfId="44934" xr:uid="{00000000-0005-0000-0000-000079B10000}"/>
    <cellStyle name="Normal 7 2 2 9 4" xfId="28834" xr:uid="{00000000-0005-0000-0000-00007AB10000}"/>
    <cellStyle name="Normal 7 2 2 9 5" xfId="19265" xr:uid="{00000000-0005-0000-0000-00007BB10000}"/>
    <cellStyle name="Normal 7 2 3" xfId="96" xr:uid="{00000000-0005-0000-0000-00007CB10000}"/>
    <cellStyle name="Normal 7 2 3 10" xfId="41614" xr:uid="{00000000-0005-0000-0000-00007DB10000}"/>
    <cellStyle name="Normal 7 2 3 11" xfId="25514" xr:uid="{00000000-0005-0000-0000-00007EB10000}"/>
    <cellStyle name="Normal 7 2 3 12" xfId="12929" xr:uid="{00000000-0005-0000-0000-00007FB10000}"/>
    <cellStyle name="Normal 7 2 3 2" xfId="277" xr:uid="{00000000-0005-0000-0000-000080B10000}"/>
    <cellStyle name="Normal 7 2 3 2 2" xfId="2296" xr:uid="{00000000-0005-0000-0000-000081B10000}"/>
    <cellStyle name="Normal 7 2 3 2 2 2" xfId="8830" xr:uid="{00000000-0005-0000-0000-000082B10000}"/>
    <cellStyle name="Normal 7 2 3 2 2 2 2" xfId="40571" xr:uid="{00000000-0005-0000-0000-000083B10000}"/>
    <cellStyle name="Normal 7 2 3 2 2 2 2 2" xfId="56671" xr:uid="{00000000-0005-0000-0000-000084B10000}"/>
    <cellStyle name="Normal 7 2 3 2 2 2 3" xfId="47104" xr:uid="{00000000-0005-0000-0000-000085B10000}"/>
    <cellStyle name="Normal 7 2 3 2 2 2 4" xfId="31004" xr:uid="{00000000-0005-0000-0000-000086B10000}"/>
    <cellStyle name="Normal 7 2 3 2 2 2 5" xfId="21435" xr:uid="{00000000-0005-0000-0000-000087B10000}"/>
    <cellStyle name="Normal 7 2 3 2 2 3" xfId="11866" xr:uid="{00000000-0005-0000-0000-000088B10000}"/>
    <cellStyle name="Normal 7 2 3 2 2 3 2" xfId="50140" xr:uid="{00000000-0005-0000-0000-000089B10000}"/>
    <cellStyle name="Normal 7 2 3 2 2 3 3" xfId="34040" xr:uid="{00000000-0005-0000-0000-00008AB10000}"/>
    <cellStyle name="Normal 7 2 3 2 2 3 4" xfId="24471" xr:uid="{00000000-0005-0000-0000-00008BB10000}"/>
    <cellStyle name="Normal 7 2 3 2 2 4" xfId="5794" xr:uid="{00000000-0005-0000-0000-00008CB10000}"/>
    <cellStyle name="Normal 7 2 3 2 2 4 2" xfId="53635" xr:uid="{00000000-0005-0000-0000-00008DB10000}"/>
    <cellStyle name="Normal 7 2 3 2 2 4 3" xfId="37535" xr:uid="{00000000-0005-0000-0000-00008EB10000}"/>
    <cellStyle name="Normal 7 2 3 2 2 4 4" xfId="18399" xr:uid="{00000000-0005-0000-0000-00008FB10000}"/>
    <cellStyle name="Normal 7 2 3 2 2 5" xfId="44068" xr:uid="{00000000-0005-0000-0000-000090B10000}"/>
    <cellStyle name="Normal 7 2 3 2 2 6" xfId="27968" xr:uid="{00000000-0005-0000-0000-000091B10000}"/>
    <cellStyle name="Normal 7 2 3 2 2 7" xfId="14904" xr:uid="{00000000-0005-0000-0000-000092B10000}"/>
    <cellStyle name="Normal 7 2 3 2 3" xfId="1508" xr:uid="{00000000-0005-0000-0000-000093B10000}"/>
    <cellStyle name="Normal 7 2 3 2 3 2" xfId="8042" xr:uid="{00000000-0005-0000-0000-000094B10000}"/>
    <cellStyle name="Normal 7 2 3 2 3 2 2" xfId="39783" xr:uid="{00000000-0005-0000-0000-000095B10000}"/>
    <cellStyle name="Normal 7 2 3 2 3 2 2 2" xfId="55883" xr:uid="{00000000-0005-0000-0000-000096B10000}"/>
    <cellStyle name="Normal 7 2 3 2 3 2 3" xfId="46316" xr:uid="{00000000-0005-0000-0000-000097B10000}"/>
    <cellStyle name="Normal 7 2 3 2 3 2 4" xfId="30216" xr:uid="{00000000-0005-0000-0000-000098B10000}"/>
    <cellStyle name="Normal 7 2 3 2 3 2 5" xfId="20647" xr:uid="{00000000-0005-0000-0000-000099B10000}"/>
    <cellStyle name="Normal 7 2 3 2 3 3" xfId="11078" xr:uid="{00000000-0005-0000-0000-00009AB10000}"/>
    <cellStyle name="Normal 7 2 3 2 3 3 2" xfId="49352" xr:uid="{00000000-0005-0000-0000-00009BB10000}"/>
    <cellStyle name="Normal 7 2 3 2 3 3 3" xfId="33252" xr:uid="{00000000-0005-0000-0000-00009CB10000}"/>
    <cellStyle name="Normal 7 2 3 2 3 3 4" xfId="23683" xr:uid="{00000000-0005-0000-0000-00009DB10000}"/>
    <cellStyle name="Normal 7 2 3 2 3 4" xfId="5006" xr:uid="{00000000-0005-0000-0000-00009EB10000}"/>
    <cellStyle name="Normal 7 2 3 2 3 4 2" xfId="52847" xr:uid="{00000000-0005-0000-0000-00009FB10000}"/>
    <cellStyle name="Normal 7 2 3 2 3 4 3" xfId="36747" xr:uid="{00000000-0005-0000-0000-0000A0B10000}"/>
    <cellStyle name="Normal 7 2 3 2 3 4 4" xfId="17611" xr:uid="{00000000-0005-0000-0000-0000A1B10000}"/>
    <cellStyle name="Normal 7 2 3 2 3 5" xfId="43280" xr:uid="{00000000-0005-0000-0000-0000A2B10000}"/>
    <cellStyle name="Normal 7 2 3 2 3 6" xfId="27180" xr:uid="{00000000-0005-0000-0000-0000A3B10000}"/>
    <cellStyle name="Normal 7 2 3 2 3 7" xfId="14116" xr:uid="{00000000-0005-0000-0000-0000A4B10000}"/>
    <cellStyle name="Normal 7 2 3 2 4" xfId="7032" xr:uid="{00000000-0005-0000-0000-0000A5B10000}"/>
    <cellStyle name="Normal 7 2 3 2 4 2" xfId="38773" xr:uid="{00000000-0005-0000-0000-0000A6B10000}"/>
    <cellStyle name="Normal 7 2 3 2 4 2 2" xfId="54873" xr:uid="{00000000-0005-0000-0000-0000A7B10000}"/>
    <cellStyle name="Normal 7 2 3 2 4 3" xfId="45306" xr:uid="{00000000-0005-0000-0000-0000A8B10000}"/>
    <cellStyle name="Normal 7 2 3 2 4 4" xfId="29206" xr:uid="{00000000-0005-0000-0000-0000A9B10000}"/>
    <cellStyle name="Normal 7 2 3 2 4 5" xfId="19637" xr:uid="{00000000-0005-0000-0000-0000AAB10000}"/>
    <cellStyle name="Normal 7 2 3 2 5" xfId="10068" xr:uid="{00000000-0005-0000-0000-0000ABB10000}"/>
    <cellStyle name="Normal 7 2 3 2 5 2" xfId="48342" xr:uid="{00000000-0005-0000-0000-0000ACB10000}"/>
    <cellStyle name="Normal 7 2 3 2 5 3" xfId="32242" xr:uid="{00000000-0005-0000-0000-0000ADB10000}"/>
    <cellStyle name="Normal 7 2 3 2 5 4" xfId="22673" xr:uid="{00000000-0005-0000-0000-0000AEB10000}"/>
    <cellStyle name="Normal 7 2 3 2 6" xfId="3996" xr:uid="{00000000-0005-0000-0000-0000AFB10000}"/>
    <cellStyle name="Normal 7 2 3 2 6 2" xfId="51837" xr:uid="{00000000-0005-0000-0000-0000B0B10000}"/>
    <cellStyle name="Normal 7 2 3 2 6 3" xfId="35737" xr:uid="{00000000-0005-0000-0000-0000B1B10000}"/>
    <cellStyle name="Normal 7 2 3 2 6 4" xfId="16601" xr:uid="{00000000-0005-0000-0000-0000B2B10000}"/>
    <cellStyle name="Normal 7 2 3 2 7" xfId="42270" xr:uid="{00000000-0005-0000-0000-0000B3B10000}"/>
    <cellStyle name="Normal 7 2 3 2 8" xfId="26170" xr:uid="{00000000-0005-0000-0000-0000B4B10000}"/>
    <cellStyle name="Normal 7 2 3 2 9" xfId="13106" xr:uid="{00000000-0005-0000-0000-0000B5B10000}"/>
    <cellStyle name="Normal 7 2 3 3" xfId="969" xr:uid="{00000000-0005-0000-0000-0000B6B10000}"/>
    <cellStyle name="Normal 7 2 3 3 2" xfId="2997" xr:uid="{00000000-0005-0000-0000-0000B7B10000}"/>
    <cellStyle name="Normal 7 2 3 3 2 2" xfId="9529" xr:uid="{00000000-0005-0000-0000-0000B8B10000}"/>
    <cellStyle name="Normal 7 2 3 3 2 2 2" xfId="41270" xr:uid="{00000000-0005-0000-0000-0000B9B10000}"/>
    <cellStyle name="Normal 7 2 3 3 2 2 2 2" xfId="57370" xr:uid="{00000000-0005-0000-0000-0000BAB10000}"/>
    <cellStyle name="Normal 7 2 3 3 2 2 3" xfId="47803" xr:uid="{00000000-0005-0000-0000-0000BBB10000}"/>
    <cellStyle name="Normal 7 2 3 3 2 2 4" xfId="31703" xr:uid="{00000000-0005-0000-0000-0000BCB10000}"/>
    <cellStyle name="Normal 7 2 3 3 2 2 5" xfId="22134" xr:uid="{00000000-0005-0000-0000-0000BDB10000}"/>
    <cellStyle name="Normal 7 2 3 3 2 3" xfId="12565" xr:uid="{00000000-0005-0000-0000-0000BEB10000}"/>
    <cellStyle name="Normal 7 2 3 3 2 3 2" xfId="50839" xr:uid="{00000000-0005-0000-0000-0000BFB10000}"/>
    <cellStyle name="Normal 7 2 3 3 2 3 3" xfId="34739" xr:uid="{00000000-0005-0000-0000-0000C0B10000}"/>
    <cellStyle name="Normal 7 2 3 3 2 3 4" xfId="25170" xr:uid="{00000000-0005-0000-0000-0000C1B10000}"/>
    <cellStyle name="Normal 7 2 3 3 2 4" xfId="6493" xr:uid="{00000000-0005-0000-0000-0000C2B10000}"/>
    <cellStyle name="Normal 7 2 3 3 2 4 2" xfId="54334" xr:uid="{00000000-0005-0000-0000-0000C3B10000}"/>
    <cellStyle name="Normal 7 2 3 3 2 4 3" xfId="38234" xr:uid="{00000000-0005-0000-0000-0000C4B10000}"/>
    <cellStyle name="Normal 7 2 3 3 2 4 4" xfId="19098" xr:uid="{00000000-0005-0000-0000-0000C5B10000}"/>
    <cellStyle name="Normal 7 2 3 3 2 5" xfId="44767" xr:uid="{00000000-0005-0000-0000-0000C6B10000}"/>
    <cellStyle name="Normal 7 2 3 3 2 6" xfId="28667" xr:uid="{00000000-0005-0000-0000-0000C7B10000}"/>
    <cellStyle name="Normal 7 2 3 3 2 7" xfId="15603" xr:uid="{00000000-0005-0000-0000-0000C8B10000}"/>
    <cellStyle name="Normal 7 2 3 3 3" xfId="1979" xr:uid="{00000000-0005-0000-0000-0000C9B10000}"/>
    <cellStyle name="Normal 7 2 3 3 3 2" xfId="8513" xr:uid="{00000000-0005-0000-0000-0000CAB10000}"/>
    <cellStyle name="Normal 7 2 3 3 3 2 2" xfId="40254" xr:uid="{00000000-0005-0000-0000-0000CBB10000}"/>
    <cellStyle name="Normal 7 2 3 3 3 2 2 2" xfId="56354" xr:uid="{00000000-0005-0000-0000-0000CCB10000}"/>
    <cellStyle name="Normal 7 2 3 3 3 2 3" xfId="46787" xr:uid="{00000000-0005-0000-0000-0000CDB10000}"/>
    <cellStyle name="Normal 7 2 3 3 3 2 4" xfId="30687" xr:uid="{00000000-0005-0000-0000-0000CEB10000}"/>
    <cellStyle name="Normal 7 2 3 3 3 2 5" xfId="21118" xr:uid="{00000000-0005-0000-0000-0000CFB10000}"/>
    <cellStyle name="Normal 7 2 3 3 3 3" xfId="11549" xr:uid="{00000000-0005-0000-0000-0000D0B10000}"/>
    <cellStyle name="Normal 7 2 3 3 3 3 2" xfId="49823" xr:uid="{00000000-0005-0000-0000-0000D1B10000}"/>
    <cellStyle name="Normal 7 2 3 3 3 3 3" xfId="33723" xr:uid="{00000000-0005-0000-0000-0000D2B10000}"/>
    <cellStyle name="Normal 7 2 3 3 3 3 4" xfId="24154" xr:uid="{00000000-0005-0000-0000-0000D3B10000}"/>
    <cellStyle name="Normal 7 2 3 3 3 4" xfId="5477" xr:uid="{00000000-0005-0000-0000-0000D4B10000}"/>
    <cellStyle name="Normal 7 2 3 3 3 4 2" xfId="53318" xr:uid="{00000000-0005-0000-0000-0000D5B10000}"/>
    <cellStyle name="Normal 7 2 3 3 3 4 3" xfId="37218" xr:uid="{00000000-0005-0000-0000-0000D6B10000}"/>
    <cellStyle name="Normal 7 2 3 3 3 4 4" xfId="18082" xr:uid="{00000000-0005-0000-0000-0000D7B10000}"/>
    <cellStyle name="Normal 7 2 3 3 3 5" xfId="43751" xr:uid="{00000000-0005-0000-0000-0000D8B10000}"/>
    <cellStyle name="Normal 7 2 3 3 3 6" xfId="27651" xr:uid="{00000000-0005-0000-0000-0000D9B10000}"/>
    <cellStyle name="Normal 7 2 3 3 3 7" xfId="14587" xr:uid="{00000000-0005-0000-0000-0000DAB10000}"/>
    <cellStyle name="Normal 7 2 3 3 4" xfId="7503" xr:uid="{00000000-0005-0000-0000-0000DBB10000}"/>
    <cellStyle name="Normal 7 2 3 3 4 2" xfId="39244" xr:uid="{00000000-0005-0000-0000-0000DCB10000}"/>
    <cellStyle name="Normal 7 2 3 3 4 2 2" xfId="55344" xr:uid="{00000000-0005-0000-0000-0000DDB10000}"/>
    <cellStyle name="Normal 7 2 3 3 4 3" xfId="45777" xr:uid="{00000000-0005-0000-0000-0000DEB10000}"/>
    <cellStyle name="Normal 7 2 3 3 4 4" xfId="29677" xr:uid="{00000000-0005-0000-0000-0000DFB10000}"/>
    <cellStyle name="Normal 7 2 3 3 4 5" xfId="20108" xr:uid="{00000000-0005-0000-0000-0000E0B10000}"/>
    <cellStyle name="Normal 7 2 3 3 5" xfId="10539" xr:uid="{00000000-0005-0000-0000-0000E1B10000}"/>
    <cellStyle name="Normal 7 2 3 3 5 2" xfId="48813" xr:uid="{00000000-0005-0000-0000-0000E2B10000}"/>
    <cellStyle name="Normal 7 2 3 3 5 3" xfId="32713" xr:uid="{00000000-0005-0000-0000-0000E3B10000}"/>
    <cellStyle name="Normal 7 2 3 3 5 4" xfId="23144" xr:uid="{00000000-0005-0000-0000-0000E4B10000}"/>
    <cellStyle name="Normal 7 2 3 3 6" xfId="4467" xr:uid="{00000000-0005-0000-0000-0000E5B10000}"/>
    <cellStyle name="Normal 7 2 3 3 6 2" xfId="52308" xr:uid="{00000000-0005-0000-0000-0000E6B10000}"/>
    <cellStyle name="Normal 7 2 3 3 6 3" xfId="36208" xr:uid="{00000000-0005-0000-0000-0000E7B10000}"/>
    <cellStyle name="Normal 7 2 3 3 6 4" xfId="17072" xr:uid="{00000000-0005-0000-0000-0000E8B10000}"/>
    <cellStyle name="Normal 7 2 3 3 7" xfId="42741" xr:uid="{00000000-0005-0000-0000-0000E9B10000}"/>
    <cellStyle name="Normal 7 2 3 3 8" xfId="26641" xr:uid="{00000000-0005-0000-0000-0000EAB10000}"/>
    <cellStyle name="Normal 7 2 3 3 9" xfId="13577" xr:uid="{00000000-0005-0000-0000-0000EBB10000}"/>
    <cellStyle name="Normal 7 2 3 4" xfId="2119" xr:uid="{00000000-0005-0000-0000-0000ECB10000}"/>
    <cellStyle name="Normal 7 2 3 4 2" xfId="8653" xr:uid="{00000000-0005-0000-0000-0000EDB10000}"/>
    <cellStyle name="Normal 7 2 3 4 2 2" xfId="40394" xr:uid="{00000000-0005-0000-0000-0000EEB10000}"/>
    <cellStyle name="Normal 7 2 3 4 2 2 2" xfId="56494" xr:uid="{00000000-0005-0000-0000-0000EFB10000}"/>
    <cellStyle name="Normal 7 2 3 4 2 3" xfId="46927" xr:uid="{00000000-0005-0000-0000-0000F0B10000}"/>
    <cellStyle name="Normal 7 2 3 4 2 4" xfId="30827" xr:uid="{00000000-0005-0000-0000-0000F1B10000}"/>
    <cellStyle name="Normal 7 2 3 4 2 5" xfId="21258" xr:uid="{00000000-0005-0000-0000-0000F2B10000}"/>
    <cellStyle name="Normal 7 2 3 4 3" xfId="11689" xr:uid="{00000000-0005-0000-0000-0000F3B10000}"/>
    <cellStyle name="Normal 7 2 3 4 3 2" xfId="49963" xr:uid="{00000000-0005-0000-0000-0000F4B10000}"/>
    <cellStyle name="Normal 7 2 3 4 3 3" xfId="33863" xr:uid="{00000000-0005-0000-0000-0000F5B10000}"/>
    <cellStyle name="Normal 7 2 3 4 3 4" xfId="24294" xr:uid="{00000000-0005-0000-0000-0000F6B10000}"/>
    <cellStyle name="Normal 7 2 3 4 4" xfId="5617" xr:uid="{00000000-0005-0000-0000-0000F7B10000}"/>
    <cellStyle name="Normal 7 2 3 4 4 2" xfId="53458" xr:uid="{00000000-0005-0000-0000-0000F8B10000}"/>
    <cellStyle name="Normal 7 2 3 4 4 3" xfId="37358" xr:uid="{00000000-0005-0000-0000-0000F9B10000}"/>
    <cellStyle name="Normal 7 2 3 4 4 4" xfId="18222" xr:uid="{00000000-0005-0000-0000-0000FAB10000}"/>
    <cellStyle name="Normal 7 2 3 4 5" xfId="43891" xr:uid="{00000000-0005-0000-0000-0000FBB10000}"/>
    <cellStyle name="Normal 7 2 3 4 6" xfId="27791" xr:uid="{00000000-0005-0000-0000-0000FCB10000}"/>
    <cellStyle name="Normal 7 2 3 4 7" xfId="14727" xr:uid="{00000000-0005-0000-0000-0000FDB10000}"/>
    <cellStyle name="Normal 7 2 3 5" xfId="1331" xr:uid="{00000000-0005-0000-0000-0000FEB10000}"/>
    <cellStyle name="Normal 7 2 3 5 2" xfId="7865" xr:uid="{00000000-0005-0000-0000-0000FFB10000}"/>
    <cellStyle name="Normal 7 2 3 5 2 2" xfId="39606" xr:uid="{00000000-0005-0000-0000-000000B20000}"/>
    <cellStyle name="Normal 7 2 3 5 2 2 2" xfId="55706" xr:uid="{00000000-0005-0000-0000-000001B20000}"/>
    <cellStyle name="Normal 7 2 3 5 2 3" xfId="46139" xr:uid="{00000000-0005-0000-0000-000002B20000}"/>
    <cellStyle name="Normal 7 2 3 5 2 4" xfId="30039" xr:uid="{00000000-0005-0000-0000-000003B20000}"/>
    <cellStyle name="Normal 7 2 3 5 2 5" xfId="20470" xr:uid="{00000000-0005-0000-0000-000004B20000}"/>
    <cellStyle name="Normal 7 2 3 5 3" xfId="10901" xr:uid="{00000000-0005-0000-0000-000005B20000}"/>
    <cellStyle name="Normal 7 2 3 5 3 2" xfId="49175" xr:uid="{00000000-0005-0000-0000-000006B20000}"/>
    <cellStyle name="Normal 7 2 3 5 3 3" xfId="33075" xr:uid="{00000000-0005-0000-0000-000007B20000}"/>
    <cellStyle name="Normal 7 2 3 5 3 4" xfId="23506" xr:uid="{00000000-0005-0000-0000-000008B20000}"/>
    <cellStyle name="Normal 7 2 3 5 4" xfId="4829" xr:uid="{00000000-0005-0000-0000-000009B20000}"/>
    <cellStyle name="Normal 7 2 3 5 4 2" xfId="52670" xr:uid="{00000000-0005-0000-0000-00000AB20000}"/>
    <cellStyle name="Normal 7 2 3 5 4 3" xfId="36570" xr:uid="{00000000-0005-0000-0000-00000BB20000}"/>
    <cellStyle name="Normal 7 2 3 5 4 4" xfId="17434" xr:uid="{00000000-0005-0000-0000-00000CB20000}"/>
    <cellStyle name="Normal 7 2 3 5 5" xfId="43103" xr:uid="{00000000-0005-0000-0000-00000DB20000}"/>
    <cellStyle name="Normal 7 2 3 5 6" xfId="27003" xr:uid="{00000000-0005-0000-0000-00000EB20000}"/>
    <cellStyle name="Normal 7 2 3 5 7" xfId="13939" xr:uid="{00000000-0005-0000-0000-00000FB20000}"/>
    <cellStyle name="Normal 7 2 3 6" xfId="3819" xr:uid="{00000000-0005-0000-0000-000010B20000}"/>
    <cellStyle name="Normal 7 2 3 6 2" xfId="35560" xr:uid="{00000000-0005-0000-0000-000011B20000}"/>
    <cellStyle name="Normal 7 2 3 6 2 2" xfId="51660" xr:uid="{00000000-0005-0000-0000-000012B20000}"/>
    <cellStyle name="Normal 7 2 3 6 3" xfId="42093" xr:uid="{00000000-0005-0000-0000-000013B20000}"/>
    <cellStyle name="Normal 7 2 3 6 4" xfId="25993" xr:uid="{00000000-0005-0000-0000-000014B20000}"/>
    <cellStyle name="Normal 7 2 3 6 5" xfId="16424" xr:uid="{00000000-0005-0000-0000-000015B20000}"/>
    <cellStyle name="Normal 7 2 3 7" xfId="6855" xr:uid="{00000000-0005-0000-0000-000016B20000}"/>
    <cellStyle name="Normal 7 2 3 7 2" xfId="38596" xr:uid="{00000000-0005-0000-0000-000017B20000}"/>
    <cellStyle name="Normal 7 2 3 7 2 2" xfId="54696" xr:uid="{00000000-0005-0000-0000-000018B20000}"/>
    <cellStyle name="Normal 7 2 3 7 3" xfId="45129" xr:uid="{00000000-0005-0000-0000-000019B20000}"/>
    <cellStyle name="Normal 7 2 3 7 4" xfId="29029" xr:uid="{00000000-0005-0000-0000-00001AB20000}"/>
    <cellStyle name="Normal 7 2 3 7 5" xfId="19460" xr:uid="{00000000-0005-0000-0000-00001BB20000}"/>
    <cellStyle name="Normal 7 2 3 8" xfId="9891" xr:uid="{00000000-0005-0000-0000-00001CB20000}"/>
    <cellStyle name="Normal 7 2 3 8 2" xfId="48165" xr:uid="{00000000-0005-0000-0000-00001DB20000}"/>
    <cellStyle name="Normal 7 2 3 8 3" xfId="32065" xr:uid="{00000000-0005-0000-0000-00001EB20000}"/>
    <cellStyle name="Normal 7 2 3 8 4" xfId="22496" xr:uid="{00000000-0005-0000-0000-00001FB20000}"/>
    <cellStyle name="Normal 7 2 3 9" xfId="3340" xr:uid="{00000000-0005-0000-0000-000020B20000}"/>
    <cellStyle name="Normal 7 2 3 9 2" xfId="51181" xr:uid="{00000000-0005-0000-0000-000021B20000}"/>
    <cellStyle name="Normal 7 2 3 9 3" xfId="35081" xr:uid="{00000000-0005-0000-0000-000022B20000}"/>
    <cellStyle name="Normal 7 2 3 9 4" xfId="15945" xr:uid="{00000000-0005-0000-0000-000023B20000}"/>
    <cellStyle name="Normal 7 2 4" xfId="171" xr:uid="{00000000-0005-0000-0000-000024B20000}"/>
    <cellStyle name="Normal 7 2 4 10" xfId="26064" xr:uid="{00000000-0005-0000-0000-000025B20000}"/>
    <cellStyle name="Normal 7 2 4 11" xfId="13000" xr:uid="{00000000-0005-0000-0000-000026B20000}"/>
    <cellStyle name="Normal 7 2 4 2" xfId="348" xr:uid="{00000000-0005-0000-0000-000027B20000}"/>
    <cellStyle name="Normal 7 2 4 2 2" xfId="2367" xr:uid="{00000000-0005-0000-0000-000028B20000}"/>
    <cellStyle name="Normal 7 2 4 2 2 2" xfId="8901" xr:uid="{00000000-0005-0000-0000-000029B20000}"/>
    <cellStyle name="Normal 7 2 4 2 2 2 2" xfId="40642" xr:uid="{00000000-0005-0000-0000-00002AB20000}"/>
    <cellStyle name="Normal 7 2 4 2 2 2 2 2" xfId="56742" xr:uid="{00000000-0005-0000-0000-00002BB20000}"/>
    <cellStyle name="Normal 7 2 4 2 2 2 3" xfId="47175" xr:uid="{00000000-0005-0000-0000-00002CB20000}"/>
    <cellStyle name="Normal 7 2 4 2 2 2 4" xfId="31075" xr:uid="{00000000-0005-0000-0000-00002DB20000}"/>
    <cellStyle name="Normal 7 2 4 2 2 2 5" xfId="21506" xr:uid="{00000000-0005-0000-0000-00002EB20000}"/>
    <cellStyle name="Normal 7 2 4 2 2 3" xfId="11937" xr:uid="{00000000-0005-0000-0000-00002FB20000}"/>
    <cellStyle name="Normal 7 2 4 2 2 3 2" xfId="50211" xr:uid="{00000000-0005-0000-0000-000030B20000}"/>
    <cellStyle name="Normal 7 2 4 2 2 3 3" xfId="34111" xr:uid="{00000000-0005-0000-0000-000031B20000}"/>
    <cellStyle name="Normal 7 2 4 2 2 3 4" xfId="24542" xr:uid="{00000000-0005-0000-0000-000032B20000}"/>
    <cellStyle name="Normal 7 2 4 2 2 4" xfId="5865" xr:uid="{00000000-0005-0000-0000-000033B20000}"/>
    <cellStyle name="Normal 7 2 4 2 2 4 2" xfId="53706" xr:uid="{00000000-0005-0000-0000-000034B20000}"/>
    <cellStyle name="Normal 7 2 4 2 2 4 3" xfId="37606" xr:uid="{00000000-0005-0000-0000-000035B20000}"/>
    <cellStyle name="Normal 7 2 4 2 2 4 4" xfId="18470" xr:uid="{00000000-0005-0000-0000-000036B20000}"/>
    <cellStyle name="Normal 7 2 4 2 2 5" xfId="44139" xr:uid="{00000000-0005-0000-0000-000037B20000}"/>
    <cellStyle name="Normal 7 2 4 2 2 6" xfId="28039" xr:uid="{00000000-0005-0000-0000-000038B20000}"/>
    <cellStyle name="Normal 7 2 4 2 2 7" xfId="14975" xr:uid="{00000000-0005-0000-0000-000039B20000}"/>
    <cellStyle name="Normal 7 2 4 2 3" xfId="1579" xr:uid="{00000000-0005-0000-0000-00003AB20000}"/>
    <cellStyle name="Normal 7 2 4 2 3 2" xfId="8113" xr:uid="{00000000-0005-0000-0000-00003BB20000}"/>
    <cellStyle name="Normal 7 2 4 2 3 2 2" xfId="39854" xr:uid="{00000000-0005-0000-0000-00003CB20000}"/>
    <cellStyle name="Normal 7 2 4 2 3 2 2 2" xfId="55954" xr:uid="{00000000-0005-0000-0000-00003DB20000}"/>
    <cellStyle name="Normal 7 2 4 2 3 2 3" xfId="46387" xr:uid="{00000000-0005-0000-0000-00003EB20000}"/>
    <cellStyle name="Normal 7 2 4 2 3 2 4" xfId="30287" xr:uid="{00000000-0005-0000-0000-00003FB20000}"/>
    <cellStyle name="Normal 7 2 4 2 3 2 5" xfId="20718" xr:uid="{00000000-0005-0000-0000-000040B20000}"/>
    <cellStyle name="Normal 7 2 4 2 3 3" xfId="11149" xr:uid="{00000000-0005-0000-0000-000041B20000}"/>
    <cellStyle name="Normal 7 2 4 2 3 3 2" xfId="49423" xr:uid="{00000000-0005-0000-0000-000042B20000}"/>
    <cellStyle name="Normal 7 2 4 2 3 3 3" xfId="33323" xr:uid="{00000000-0005-0000-0000-000043B20000}"/>
    <cellStyle name="Normal 7 2 4 2 3 3 4" xfId="23754" xr:uid="{00000000-0005-0000-0000-000044B20000}"/>
    <cellStyle name="Normal 7 2 4 2 3 4" xfId="5077" xr:uid="{00000000-0005-0000-0000-000045B20000}"/>
    <cellStyle name="Normal 7 2 4 2 3 4 2" xfId="52918" xr:uid="{00000000-0005-0000-0000-000046B20000}"/>
    <cellStyle name="Normal 7 2 4 2 3 4 3" xfId="36818" xr:uid="{00000000-0005-0000-0000-000047B20000}"/>
    <cellStyle name="Normal 7 2 4 2 3 4 4" xfId="17682" xr:uid="{00000000-0005-0000-0000-000048B20000}"/>
    <cellStyle name="Normal 7 2 4 2 3 5" xfId="43351" xr:uid="{00000000-0005-0000-0000-000049B20000}"/>
    <cellStyle name="Normal 7 2 4 2 3 6" xfId="27251" xr:uid="{00000000-0005-0000-0000-00004AB20000}"/>
    <cellStyle name="Normal 7 2 4 2 3 7" xfId="14187" xr:uid="{00000000-0005-0000-0000-00004BB20000}"/>
    <cellStyle name="Normal 7 2 4 2 4" xfId="7103" xr:uid="{00000000-0005-0000-0000-00004CB20000}"/>
    <cellStyle name="Normal 7 2 4 2 4 2" xfId="38844" xr:uid="{00000000-0005-0000-0000-00004DB20000}"/>
    <cellStyle name="Normal 7 2 4 2 4 2 2" xfId="54944" xr:uid="{00000000-0005-0000-0000-00004EB20000}"/>
    <cellStyle name="Normal 7 2 4 2 4 3" xfId="45377" xr:uid="{00000000-0005-0000-0000-00004FB20000}"/>
    <cellStyle name="Normal 7 2 4 2 4 4" xfId="29277" xr:uid="{00000000-0005-0000-0000-000050B20000}"/>
    <cellStyle name="Normal 7 2 4 2 4 5" xfId="19708" xr:uid="{00000000-0005-0000-0000-000051B20000}"/>
    <cellStyle name="Normal 7 2 4 2 5" xfId="10139" xr:uid="{00000000-0005-0000-0000-000052B20000}"/>
    <cellStyle name="Normal 7 2 4 2 5 2" xfId="48413" xr:uid="{00000000-0005-0000-0000-000053B20000}"/>
    <cellStyle name="Normal 7 2 4 2 5 3" xfId="32313" xr:uid="{00000000-0005-0000-0000-000054B20000}"/>
    <cellStyle name="Normal 7 2 4 2 5 4" xfId="22744" xr:uid="{00000000-0005-0000-0000-000055B20000}"/>
    <cellStyle name="Normal 7 2 4 2 6" xfId="4067" xr:uid="{00000000-0005-0000-0000-000056B20000}"/>
    <cellStyle name="Normal 7 2 4 2 6 2" xfId="51908" xr:uid="{00000000-0005-0000-0000-000057B20000}"/>
    <cellStyle name="Normal 7 2 4 2 6 3" xfId="35808" xr:uid="{00000000-0005-0000-0000-000058B20000}"/>
    <cellStyle name="Normal 7 2 4 2 6 4" xfId="16672" xr:uid="{00000000-0005-0000-0000-000059B20000}"/>
    <cellStyle name="Normal 7 2 4 2 7" xfId="42341" xr:uid="{00000000-0005-0000-0000-00005AB20000}"/>
    <cellStyle name="Normal 7 2 4 2 8" xfId="26241" xr:uid="{00000000-0005-0000-0000-00005BB20000}"/>
    <cellStyle name="Normal 7 2 4 2 9" xfId="13177" xr:uid="{00000000-0005-0000-0000-00005CB20000}"/>
    <cellStyle name="Normal 7 2 4 3" xfId="988" xr:uid="{00000000-0005-0000-0000-00005DB20000}"/>
    <cellStyle name="Normal 7 2 4 3 2" xfId="3016" xr:uid="{00000000-0005-0000-0000-00005EB20000}"/>
    <cellStyle name="Normal 7 2 4 3 2 2" xfId="9548" xr:uid="{00000000-0005-0000-0000-00005FB20000}"/>
    <cellStyle name="Normal 7 2 4 3 2 2 2" xfId="41289" xr:uid="{00000000-0005-0000-0000-000060B20000}"/>
    <cellStyle name="Normal 7 2 4 3 2 2 2 2" xfId="57389" xr:uid="{00000000-0005-0000-0000-000061B20000}"/>
    <cellStyle name="Normal 7 2 4 3 2 2 3" xfId="47822" xr:uid="{00000000-0005-0000-0000-000062B20000}"/>
    <cellStyle name="Normal 7 2 4 3 2 2 4" xfId="31722" xr:uid="{00000000-0005-0000-0000-000063B20000}"/>
    <cellStyle name="Normal 7 2 4 3 2 2 5" xfId="22153" xr:uid="{00000000-0005-0000-0000-000064B20000}"/>
    <cellStyle name="Normal 7 2 4 3 2 3" xfId="12584" xr:uid="{00000000-0005-0000-0000-000065B20000}"/>
    <cellStyle name="Normal 7 2 4 3 2 3 2" xfId="50858" xr:uid="{00000000-0005-0000-0000-000066B20000}"/>
    <cellStyle name="Normal 7 2 4 3 2 3 3" xfId="34758" xr:uid="{00000000-0005-0000-0000-000067B20000}"/>
    <cellStyle name="Normal 7 2 4 3 2 3 4" xfId="25189" xr:uid="{00000000-0005-0000-0000-000068B20000}"/>
    <cellStyle name="Normal 7 2 4 3 2 4" xfId="6512" xr:uid="{00000000-0005-0000-0000-000069B20000}"/>
    <cellStyle name="Normal 7 2 4 3 2 4 2" xfId="54353" xr:uid="{00000000-0005-0000-0000-00006AB20000}"/>
    <cellStyle name="Normal 7 2 4 3 2 4 3" xfId="38253" xr:uid="{00000000-0005-0000-0000-00006BB20000}"/>
    <cellStyle name="Normal 7 2 4 3 2 4 4" xfId="19117" xr:uid="{00000000-0005-0000-0000-00006CB20000}"/>
    <cellStyle name="Normal 7 2 4 3 2 5" xfId="44786" xr:uid="{00000000-0005-0000-0000-00006DB20000}"/>
    <cellStyle name="Normal 7 2 4 3 2 6" xfId="28686" xr:uid="{00000000-0005-0000-0000-00006EB20000}"/>
    <cellStyle name="Normal 7 2 4 3 2 7" xfId="15622" xr:uid="{00000000-0005-0000-0000-00006FB20000}"/>
    <cellStyle name="Normal 7 2 4 3 3" xfId="1998" xr:uid="{00000000-0005-0000-0000-000070B20000}"/>
    <cellStyle name="Normal 7 2 4 3 3 2" xfId="8532" xr:uid="{00000000-0005-0000-0000-000071B20000}"/>
    <cellStyle name="Normal 7 2 4 3 3 2 2" xfId="40273" xr:uid="{00000000-0005-0000-0000-000072B20000}"/>
    <cellStyle name="Normal 7 2 4 3 3 2 2 2" xfId="56373" xr:uid="{00000000-0005-0000-0000-000073B20000}"/>
    <cellStyle name="Normal 7 2 4 3 3 2 3" xfId="46806" xr:uid="{00000000-0005-0000-0000-000074B20000}"/>
    <cellStyle name="Normal 7 2 4 3 3 2 4" xfId="30706" xr:uid="{00000000-0005-0000-0000-000075B20000}"/>
    <cellStyle name="Normal 7 2 4 3 3 2 5" xfId="21137" xr:uid="{00000000-0005-0000-0000-000076B20000}"/>
    <cellStyle name="Normal 7 2 4 3 3 3" xfId="11568" xr:uid="{00000000-0005-0000-0000-000077B20000}"/>
    <cellStyle name="Normal 7 2 4 3 3 3 2" xfId="49842" xr:uid="{00000000-0005-0000-0000-000078B20000}"/>
    <cellStyle name="Normal 7 2 4 3 3 3 3" xfId="33742" xr:uid="{00000000-0005-0000-0000-000079B20000}"/>
    <cellStyle name="Normal 7 2 4 3 3 3 4" xfId="24173" xr:uid="{00000000-0005-0000-0000-00007AB20000}"/>
    <cellStyle name="Normal 7 2 4 3 3 4" xfId="5496" xr:uid="{00000000-0005-0000-0000-00007BB20000}"/>
    <cellStyle name="Normal 7 2 4 3 3 4 2" xfId="53337" xr:uid="{00000000-0005-0000-0000-00007CB20000}"/>
    <cellStyle name="Normal 7 2 4 3 3 4 3" xfId="37237" xr:uid="{00000000-0005-0000-0000-00007DB20000}"/>
    <cellStyle name="Normal 7 2 4 3 3 4 4" xfId="18101" xr:uid="{00000000-0005-0000-0000-00007EB20000}"/>
    <cellStyle name="Normal 7 2 4 3 3 5" xfId="43770" xr:uid="{00000000-0005-0000-0000-00007FB20000}"/>
    <cellStyle name="Normal 7 2 4 3 3 6" xfId="27670" xr:uid="{00000000-0005-0000-0000-000080B20000}"/>
    <cellStyle name="Normal 7 2 4 3 3 7" xfId="14606" xr:uid="{00000000-0005-0000-0000-000081B20000}"/>
    <cellStyle name="Normal 7 2 4 3 4" xfId="7522" xr:uid="{00000000-0005-0000-0000-000082B20000}"/>
    <cellStyle name="Normal 7 2 4 3 4 2" xfId="39263" xr:uid="{00000000-0005-0000-0000-000083B20000}"/>
    <cellStyle name="Normal 7 2 4 3 4 2 2" xfId="55363" xr:uid="{00000000-0005-0000-0000-000084B20000}"/>
    <cellStyle name="Normal 7 2 4 3 4 3" xfId="45796" xr:uid="{00000000-0005-0000-0000-000085B20000}"/>
    <cellStyle name="Normal 7 2 4 3 4 4" xfId="29696" xr:uid="{00000000-0005-0000-0000-000086B20000}"/>
    <cellStyle name="Normal 7 2 4 3 4 5" xfId="20127" xr:uid="{00000000-0005-0000-0000-000087B20000}"/>
    <cellStyle name="Normal 7 2 4 3 5" xfId="10558" xr:uid="{00000000-0005-0000-0000-000088B20000}"/>
    <cellStyle name="Normal 7 2 4 3 5 2" xfId="48832" xr:uid="{00000000-0005-0000-0000-000089B20000}"/>
    <cellStyle name="Normal 7 2 4 3 5 3" xfId="32732" xr:uid="{00000000-0005-0000-0000-00008AB20000}"/>
    <cellStyle name="Normal 7 2 4 3 5 4" xfId="23163" xr:uid="{00000000-0005-0000-0000-00008BB20000}"/>
    <cellStyle name="Normal 7 2 4 3 6" xfId="4486" xr:uid="{00000000-0005-0000-0000-00008CB20000}"/>
    <cellStyle name="Normal 7 2 4 3 6 2" xfId="52327" xr:uid="{00000000-0005-0000-0000-00008DB20000}"/>
    <cellStyle name="Normal 7 2 4 3 6 3" xfId="36227" xr:uid="{00000000-0005-0000-0000-00008EB20000}"/>
    <cellStyle name="Normal 7 2 4 3 6 4" xfId="17091" xr:uid="{00000000-0005-0000-0000-00008FB20000}"/>
    <cellStyle name="Normal 7 2 4 3 7" xfId="42760" xr:uid="{00000000-0005-0000-0000-000090B20000}"/>
    <cellStyle name="Normal 7 2 4 3 8" xfId="26660" xr:uid="{00000000-0005-0000-0000-000091B20000}"/>
    <cellStyle name="Normal 7 2 4 3 9" xfId="13596" xr:uid="{00000000-0005-0000-0000-000092B20000}"/>
    <cellStyle name="Normal 7 2 4 4" xfId="2190" xr:uid="{00000000-0005-0000-0000-000093B20000}"/>
    <cellStyle name="Normal 7 2 4 4 2" xfId="8724" xr:uid="{00000000-0005-0000-0000-000094B20000}"/>
    <cellStyle name="Normal 7 2 4 4 2 2" xfId="40465" xr:uid="{00000000-0005-0000-0000-000095B20000}"/>
    <cellStyle name="Normal 7 2 4 4 2 2 2" xfId="56565" xr:uid="{00000000-0005-0000-0000-000096B20000}"/>
    <cellStyle name="Normal 7 2 4 4 2 3" xfId="46998" xr:uid="{00000000-0005-0000-0000-000097B20000}"/>
    <cellStyle name="Normal 7 2 4 4 2 4" xfId="30898" xr:uid="{00000000-0005-0000-0000-000098B20000}"/>
    <cellStyle name="Normal 7 2 4 4 2 5" xfId="21329" xr:uid="{00000000-0005-0000-0000-000099B20000}"/>
    <cellStyle name="Normal 7 2 4 4 3" xfId="11760" xr:uid="{00000000-0005-0000-0000-00009AB20000}"/>
    <cellStyle name="Normal 7 2 4 4 3 2" xfId="50034" xr:uid="{00000000-0005-0000-0000-00009BB20000}"/>
    <cellStyle name="Normal 7 2 4 4 3 3" xfId="33934" xr:uid="{00000000-0005-0000-0000-00009CB20000}"/>
    <cellStyle name="Normal 7 2 4 4 3 4" xfId="24365" xr:uid="{00000000-0005-0000-0000-00009DB20000}"/>
    <cellStyle name="Normal 7 2 4 4 4" xfId="5688" xr:uid="{00000000-0005-0000-0000-00009EB20000}"/>
    <cellStyle name="Normal 7 2 4 4 4 2" xfId="53529" xr:uid="{00000000-0005-0000-0000-00009FB20000}"/>
    <cellStyle name="Normal 7 2 4 4 4 3" xfId="37429" xr:uid="{00000000-0005-0000-0000-0000A0B20000}"/>
    <cellStyle name="Normal 7 2 4 4 4 4" xfId="18293" xr:uid="{00000000-0005-0000-0000-0000A1B20000}"/>
    <cellStyle name="Normal 7 2 4 4 5" xfId="43962" xr:uid="{00000000-0005-0000-0000-0000A2B20000}"/>
    <cellStyle name="Normal 7 2 4 4 6" xfId="27862" xr:uid="{00000000-0005-0000-0000-0000A3B20000}"/>
    <cellStyle name="Normal 7 2 4 4 7" xfId="14798" xr:uid="{00000000-0005-0000-0000-0000A4B20000}"/>
    <cellStyle name="Normal 7 2 4 5" xfId="1402" xr:uid="{00000000-0005-0000-0000-0000A5B20000}"/>
    <cellStyle name="Normal 7 2 4 5 2" xfId="7936" xr:uid="{00000000-0005-0000-0000-0000A6B20000}"/>
    <cellStyle name="Normal 7 2 4 5 2 2" xfId="39677" xr:uid="{00000000-0005-0000-0000-0000A7B20000}"/>
    <cellStyle name="Normal 7 2 4 5 2 2 2" xfId="55777" xr:uid="{00000000-0005-0000-0000-0000A8B20000}"/>
    <cellStyle name="Normal 7 2 4 5 2 3" xfId="46210" xr:uid="{00000000-0005-0000-0000-0000A9B20000}"/>
    <cellStyle name="Normal 7 2 4 5 2 4" xfId="30110" xr:uid="{00000000-0005-0000-0000-0000AAB20000}"/>
    <cellStyle name="Normal 7 2 4 5 2 5" xfId="20541" xr:uid="{00000000-0005-0000-0000-0000ABB20000}"/>
    <cellStyle name="Normal 7 2 4 5 3" xfId="10972" xr:uid="{00000000-0005-0000-0000-0000ACB20000}"/>
    <cellStyle name="Normal 7 2 4 5 3 2" xfId="49246" xr:uid="{00000000-0005-0000-0000-0000ADB20000}"/>
    <cellStyle name="Normal 7 2 4 5 3 3" xfId="33146" xr:uid="{00000000-0005-0000-0000-0000AEB20000}"/>
    <cellStyle name="Normal 7 2 4 5 3 4" xfId="23577" xr:uid="{00000000-0005-0000-0000-0000AFB20000}"/>
    <cellStyle name="Normal 7 2 4 5 4" xfId="4900" xr:uid="{00000000-0005-0000-0000-0000B0B20000}"/>
    <cellStyle name="Normal 7 2 4 5 4 2" xfId="52741" xr:uid="{00000000-0005-0000-0000-0000B1B20000}"/>
    <cellStyle name="Normal 7 2 4 5 4 3" xfId="36641" xr:uid="{00000000-0005-0000-0000-0000B2B20000}"/>
    <cellStyle name="Normal 7 2 4 5 4 4" xfId="17505" xr:uid="{00000000-0005-0000-0000-0000B3B20000}"/>
    <cellStyle name="Normal 7 2 4 5 5" xfId="43174" xr:uid="{00000000-0005-0000-0000-0000B4B20000}"/>
    <cellStyle name="Normal 7 2 4 5 6" xfId="27074" xr:uid="{00000000-0005-0000-0000-0000B5B20000}"/>
    <cellStyle name="Normal 7 2 4 5 7" xfId="14010" xr:uid="{00000000-0005-0000-0000-0000B6B20000}"/>
    <cellStyle name="Normal 7 2 4 6" xfId="6926" xr:uid="{00000000-0005-0000-0000-0000B7B20000}"/>
    <cellStyle name="Normal 7 2 4 6 2" xfId="38667" xr:uid="{00000000-0005-0000-0000-0000B8B20000}"/>
    <cellStyle name="Normal 7 2 4 6 2 2" xfId="54767" xr:uid="{00000000-0005-0000-0000-0000B9B20000}"/>
    <cellStyle name="Normal 7 2 4 6 3" xfId="45200" xr:uid="{00000000-0005-0000-0000-0000BAB20000}"/>
    <cellStyle name="Normal 7 2 4 6 4" xfId="29100" xr:uid="{00000000-0005-0000-0000-0000BBB20000}"/>
    <cellStyle name="Normal 7 2 4 6 5" xfId="19531" xr:uid="{00000000-0005-0000-0000-0000BCB20000}"/>
    <cellStyle name="Normal 7 2 4 7" xfId="9962" xr:uid="{00000000-0005-0000-0000-0000BDB20000}"/>
    <cellStyle name="Normal 7 2 4 7 2" xfId="48236" xr:uid="{00000000-0005-0000-0000-0000BEB20000}"/>
    <cellStyle name="Normal 7 2 4 7 3" xfId="32136" xr:uid="{00000000-0005-0000-0000-0000BFB20000}"/>
    <cellStyle name="Normal 7 2 4 7 4" xfId="22567" xr:uid="{00000000-0005-0000-0000-0000C0B20000}"/>
    <cellStyle name="Normal 7 2 4 8" xfId="3890" xr:uid="{00000000-0005-0000-0000-0000C1B20000}"/>
    <cellStyle name="Normal 7 2 4 8 2" xfId="51731" xr:uid="{00000000-0005-0000-0000-0000C2B20000}"/>
    <cellStyle name="Normal 7 2 4 8 3" xfId="35631" xr:uid="{00000000-0005-0000-0000-0000C3B20000}"/>
    <cellStyle name="Normal 7 2 4 8 4" xfId="16495" xr:uid="{00000000-0005-0000-0000-0000C4B20000}"/>
    <cellStyle name="Normal 7 2 4 9" xfId="42164" xr:uid="{00000000-0005-0000-0000-0000C5B20000}"/>
    <cellStyle name="Normal 7 2 5" xfId="242" xr:uid="{00000000-0005-0000-0000-0000C6B20000}"/>
    <cellStyle name="Normal 7 2 5 2" xfId="2261" xr:uid="{00000000-0005-0000-0000-0000C7B20000}"/>
    <cellStyle name="Normal 7 2 5 2 2" xfId="8795" xr:uid="{00000000-0005-0000-0000-0000C8B20000}"/>
    <cellStyle name="Normal 7 2 5 2 2 2" xfId="40536" xr:uid="{00000000-0005-0000-0000-0000C9B20000}"/>
    <cellStyle name="Normal 7 2 5 2 2 2 2" xfId="56636" xr:uid="{00000000-0005-0000-0000-0000CAB20000}"/>
    <cellStyle name="Normal 7 2 5 2 2 3" xfId="47069" xr:uid="{00000000-0005-0000-0000-0000CBB20000}"/>
    <cellStyle name="Normal 7 2 5 2 2 4" xfId="30969" xr:uid="{00000000-0005-0000-0000-0000CCB20000}"/>
    <cellStyle name="Normal 7 2 5 2 2 5" xfId="21400" xr:uid="{00000000-0005-0000-0000-0000CDB20000}"/>
    <cellStyle name="Normal 7 2 5 2 3" xfId="11831" xr:uid="{00000000-0005-0000-0000-0000CEB20000}"/>
    <cellStyle name="Normal 7 2 5 2 3 2" xfId="50105" xr:uid="{00000000-0005-0000-0000-0000CFB20000}"/>
    <cellStyle name="Normal 7 2 5 2 3 3" xfId="34005" xr:uid="{00000000-0005-0000-0000-0000D0B20000}"/>
    <cellStyle name="Normal 7 2 5 2 3 4" xfId="24436" xr:uid="{00000000-0005-0000-0000-0000D1B20000}"/>
    <cellStyle name="Normal 7 2 5 2 4" xfId="5759" xr:uid="{00000000-0005-0000-0000-0000D2B20000}"/>
    <cellStyle name="Normal 7 2 5 2 4 2" xfId="53600" xr:uid="{00000000-0005-0000-0000-0000D3B20000}"/>
    <cellStyle name="Normal 7 2 5 2 4 3" xfId="37500" xr:uid="{00000000-0005-0000-0000-0000D4B20000}"/>
    <cellStyle name="Normal 7 2 5 2 4 4" xfId="18364" xr:uid="{00000000-0005-0000-0000-0000D5B20000}"/>
    <cellStyle name="Normal 7 2 5 2 5" xfId="44033" xr:uid="{00000000-0005-0000-0000-0000D6B20000}"/>
    <cellStyle name="Normal 7 2 5 2 6" xfId="27933" xr:uid="{00000000-0005-0000-0000-0000D7B20000}"/>
    <cellStyle name="Normal 7 2 5 2 7" xfId="14869" xr:uid="{00000000-0005-0000-0000-0000D8B20000}"/>
    <cellStyle name="Normal 7 2 5 3" xfId="1473" xr:uid="{00000000-0005-0000-0000-0000D9B20000}"/>
    <cellStyle name="Normal 7 2 5 3 2" xfId="8007" xr:uid="{00000000-0005-0000-0000-0000DAB20000}"/>
    <cellStyle name="Normal 7 2 5 3 2 2" xfId="39748" xr:uid="{00000000-0005-0000-0000-0000DBB20000}"/>
    <cellStyle name="Normal 7 2 5 3 2 2 2" xfId="55848" xr:uid="{00000000-0005-0000-0000-0000DCB20000}"/>
    <cellStyle name="Normal 7 2 5 3 2 3" xfId="46281" xr:uid="{00000000-0005-0000-0000-0000DDB20000}"/>
    <cellStyle name="Normal 7 2 5 3 2 4" xfId="30181" xr:uid="{00000000-0005-0000-0000-0000DEB20000}"/>
    <cellStyle name="Normal 7 2 5 3 2 5" xfId="20612" xr:uid="{00000000-0005-0000-0000-0000DFB20000}"/>
    <cellStyle name="Normal 7 2 5 3 3" xfId="11043" xr:uid="{00000000-0005-0000-0000-0000E0B20000}"/>
    <cellStyle name="Normal 7 2 5 3 3 2" xfId="49317" xr:uid="{00000000-0005-0000-0000-0000E1B20000}"/>
    <cellStyle name="Normal 7 2 5 3 3 3" xfId="33217" xr:uid="{00000000-0005-0000-0000-0000E2B20000}"/>
    <cellStyle name="Normal 7 2 5 3 3 4" xfId="23648" xr:uid="{00000000-0005-0000-0000-0000E3B20000}"/>
    <cellStyle name="Normal 7 2 5 3 4" xfId="4971" xr:uid="{00000000-0005-0000-0000-0000E4B20000}"/>
    <cellStyle name="Normal 7 2 5 3 4 2" xfId="52812" xr:uid="{00000000-0005-0000-0000-0000E5B20000}"/>
    <cellStyle name="Normal 7 2 5 3 4 3" xfId="36712" xr:uid="{00000000-0005-0000-0000-0000E6B20000}"/>
    <cellStyle name="Normal 7 2 5 3 4 4" xfId="17576" xr:uid="{00000000-0005-0000-0000-0000E7B20000}"/>
    <cellStyle name="Normal 7 2 5 3 5" xfId="43245" xr:uid="{00000000-0005-0000-0000-0000E8B20000}"/>
    <cellStyle name="Normal 7 2 5 3 6" xfId="27145" xr:uid="{00000000-0005-0000-0000-0000E9B20000}"/>
    <cellStyle name="Normal 7 2 5 3 7" xfId="14081" xr:uid="{00000000-0005-0000-0000-0000EAB20000}"/>
    <cellStyle name="Normal 7 2 5 4" xfId="6997" xr:uid="{00000000-0005-0000-0000-0000EBB20000}"/>
    <cellStyle name="Normal 7 2 5 4 2" xfId="38738" xr:uid="{00000000-0005-0000-0000-0000ECB20000}"/>
    <cellStyle name="Normal 7 2 5 4 2 2" xfId="54838" xr:uid="{00000000-0005-0000-0000-0000EDB20000}"/>
    <cellStyle name="Normal 7 2 5 4 3" xfId="45271" xr:uid="{00000000-0005-0000-0000-0000EEB20000}"/>
    <cellStyle name="Normal 7 2 5 4 4" xfId="29171" xr:uid="{00000000-0005-0000-0000-0000EFB20000}"/>
    <cellStyle name="Normal 7 2 5 4 5" xfId="19602" xr:uid="{00000000-0005-0000-0000-0000F0B20000}"/>
    <cellStyle name="Normal 7 2 5 5" xfId="10033" xr:uid="{00000000-0005-0000-0000-0000F1B20000}"/>
    <cellStyle name="Normal 7 2 5 5 2" xfId="48307" xr:uid="{00000000-0005-0000-0000-0000F2B20000}"/>
    <cellStyle name="Normal 7 2 5 5 3" xfId="32207" xr:uid="{00000000-0005-0000-0000-0000F3B20000}"/>
    <cellStyle name="Normal 7 2 5 5 4" xfId="22638" xr:uid="{00000000-0005-0000-0000-0000F4B20000}"/>
    <cellStyle name="Normal 7 2 5 6" xfId="3961" xr:uid="{00000000-0005-0000-0000-0000F5B20000}"/>
    <cellStyle name="Normal 7 2 5 6 2" xfId="51802" xr:uid="{00000000-0005-0000-0000-0000F6B20000}"/>
    <cellStyle name="Normal 7 2 5 6 3" xfId="35702" xr:uid="{00000000-0005-0000-0000-0000F7B20000}"/>
    <cellStyle name="Normal 7 2 5 6 4" xfId="16566" xr:uid="{00000000-0005-0000-0000-0000F8B20000}"/>
    <cellStyle name="Normal 7 2 5 7" xfId="42235" xr:uid="{00000000-0005-0000-0000-0000F9B20000}"/>
    <cellStyle name="Normal 7 2 5 8" xfId="26135" xr:uid="{00000000-0005-0000-0000-0000FAB20000}"/>
    <cellStyle name="Normal 7 2 5 9" xfId="13071" xr:uid="{00000000-0005-0000-0000-0000FBB20000}"/>
    <cellStyle name="Normal 7 2 6" xfId="517" xr:uid="{00000000-0005-0000-0000-0000FCB20000}"/>
    <cellStyle name="Normal 7 2 6 2" xfId="2547" xr:uid="{00000000-0005-0000-0000-0000FDB20000}"/>
    <cellStyle name="Normal 7 2 6 2 2" xfId="9079" xr:uid="{00000000-0005-0000-0000-0000FEB20000}"/>
    <cellStyle name="Normal 7 2 6 2 2 2" xfId="40820" xr:uid="{00000000-0005-0000-0000-0000FFB20000}"/>
    <cellStyle name="Normal 7 2 6 2 2 2 2" xfId="56920" xr:uid="{00000000-0005-0000-0000-000000B30000}"/>
    <cellStyle name="Normal 7 2 6 2 2 3" xfId="47353" xr:uid="{00000000-0005-0000-0000-000001B30000}"/>
    <cellStyle name="Normal 7 2 6 2 2 4" xfId="31253" xr:uid="{00000000-0005-0000-0000-000002B30000}"/>
    <cellStyle name="Normal 7 2 6 2 2 5" xfId="21684" xr:uid="{00000000-0005-0000-0000-000003B30000}"/>
    <cellStyle name="Normal 7 2 6 2 3" xfId="12115" xr:uid="{00000000-0005-0000-0000-000004B30000}"/>
    <cellStyle name="Normal 7 2 6 2 3 2" xfId="50389" xr:uid="{00000000-0005-0000-0000-000005B30000}"/>
    <cellStyle name="Normal 7 2 6 2 3 3" xfId="34289" xr:uid="{00000000-0005-0000-0000-000006B30000}"/>
    <cellStyle name="Normal 7 2 6 2 3 4" xfId="24720" xr:uid="{00000000-0005-0000-0000-000007B30000}"/>
    <cellStyle name="Normal 7 2 6 2 4" xfId="6043" xr:uid="{00000000-0005-0000-0000-000008B30000}"/>
    <cellStyle name="Normal 7 2 6 2 4 2" xfId="53884" xr:uid="{00000000-0005-0000-0000-000009B30000}"/>
    <cellStyle name="Normal 7 2 6 2 4 3" xfId="37784" xr:uid="{00000000-0005-0000-0000-00000AB30000}"/>
    <cellStyle name="Normal 7 2 6 2 4 4" xfId="18648" xr:uid="{00000000-0005-0000-0000-00000BB30000}"/>
    <cellStyle name="Normal 7 2 6 2 5" xfId="44317" xr:uid="{00000000-0005-0000-0000-00000CB30000}"/>
    <cellStyle name="Normal 7 2 6 2 6" xfId="28217" xr:uid="{00000000-0005-0000-0000-00000DB30000}"/>
    <cellStyle name="Normal 7 2 6 2 7" xfId="15153" xr:uid="{00000000-0005-0000-0000-00000EB30000}"/>
    <cellStyle name="Normal 7 2 6 3" xfId="1296" xr:uid="{00000000-0005-0000-0000-00000FB30000}"/>
    <cellStyle name="Normal 7 2 6 3 2" xfId="7830" xr:uid="{00000000-0005-0000-0000-000010B30000}"/>
    <cellStyle name="Normal 7 2 6 3 2 2" xfId="39571" xr:uid="{00000000-0005-0000-0000-000011B30000}"/>
    <cellStyle name="Normal 7 2 6 3 2 2 2" xfId="55671" xr:uid="{00000000-0005-0000-0000-000012B30000}"/>
    <cellStyle name="Normal 7 2 6 3 2 3" xfId="46104" xr:uid="{00000000-0005-0000-0000-000013B30000}"/>
    <cellStyle name="Normal 7 2 6 3 2 4" xfId="30004" xr:uid="{00000000-0005-0000-0000-000014B30000}"/>
    <cellStyle name="Normal 7 2 6 3 2 5" xfId="20435" xr:uid="{00000000-0005-0000-0000-000015B30000}"/>
    <cellStyle name="Normal 7 2 6 3 3" xfId="10866" xr:uid="{00000000-0005-0000-0000-000016B30000}"/>
    <cellStyle name="Normal 7 2 6 3 3 2" xfId="49140" xr:uid="{00000000-0005-0000-0000-000017B30000}"/>
    <cellStyle name="Normal 7 2 6 3 3 3" xfId="33040" xr:uid="{00000000-0005-0000-0000-000018B30000}"/>
    <cellStyle name="Normal 7 2 6 3 3 4" xfId="23471" xr:uid="{00000000-0005-0000-0000-000019B30000}"/>
    <cellStyle name="Normal 7 2 6 3 4" xfId="4794" xr:uid="{00000000-0005-0000-0000-00001AB30000}"/>
    <cellStyle name="Normal 7 2 6 3 4 2" xfId="52635" xr:uid="{00000000-0005-0000-0000-00001BB30000}"/>
    <cellStyle name="Normal 7 2 6 3 4 3" xfId="36535" xr:uid="{00000000-0005-0000-0000-00001CB30000}"/>
    <cellStyle name="Normal 7 2 6 3 4 4" xfId="17399" xr:uid="{00000000-0005-0000-0000-00001DB30000}"/>
    <cellStyle name="Normal 7 2 6 3 5" xfId="43068" xr:uid="{00000000-0005-0000-0000-00001EB30000}"/>
    <cellStyle name="Normal 7 2 6 3 6" xfId="26968" xr:uid="{00000000-0005-0000-0000-00001FB30000}"/>
    <cellStyle name="Normal 7 2 6 3 7" xfId="13904" xr:uid="{00000000-0005-0000-0000-000020B30000}"/>
    <cellStyle name="Normal 7 2 6 4" xfId="6820" xr:uid="{00000000-0005-0000-0000-000021B30000}"/>
    <cellStyle name="Normal 7 2 6 4 2" xfId="38561" xr:uid="{00000000-0005-0000-0000-000022B30000}"/>
    <cellStyle name="Normal 7 2 6 4 2 2" xfId="54661" xr:uid="{00000000-0005-0000-0000-000023B30000}"/>
    <cellStyle name="Normal 7 2 6 4 3" xfId="45094" xr:uid="{00000000-0005-0000-0000-000024B30000}"/>
    <cellStyle name="Normal 7 2 6 4 4" xfId="28994" xr:uid="{00000000-0005-0000-0000-000025B30000}"/>
    <cellStyle name="Normal 7 2 6 4 5" xfId="19425" xr:uid="{00000000-0005-0000-0000-000026B30000}"/>
    <cellStyle name="Normal 7 2 6 5" xfId="9856" xr:uid="{00000000-0005-0000-0000-000027B30000}"/>
    <cellStyle name="Normal 7 2 6 5 2" xfId="48130" xr:uid="{00000000-0005-0000-0000-000028B30000}"/>
    <cellStyle name="Normal 7 2 6 5 3" xfId="32030" xr:uid="{00000000-0005-0000-0000-000029B30000}"/>
    <cellStyle name="Normal 7 2 6 5 4" xfId="22461" xr:uid="{00000000-0005-0000-0000-00002AB30000}"/>
    <cellStyle name="Normal 7 2 6 6" xfId="3784" xr:uid="{00000000-0005-0000-0000-00002BB30000}"/>
    <cellStyle name="Normal 7 2 6 6 2" xfId="51625" xr:uid="{00000000-0005-0000-0000-00002CB30000}"/>
    <cellStyle name="Normal 7 2 6 6 3" xfId="35525" xr:uid="{00000000-0005-0000-0000-00002DB30000}"/>
    <cellStyle name="Normal 7 2 6 6 4" xfId="16389" xr:uid="{00000000-0005-0000-0000-00002EB30000}"/>
    <cellStyle name="Normal 7 2 6 7" xfId="42058" xr:uid="{00000000-0005-0000-0000-00002FB30000}"/>
    <cellStyle name="Normal 7 2 6 8" xfId="25958" xr:uid="{00000000-0005-0000-0000-000030B30000}"/>
    <cellStyle name="Normal 7 2 6 9" xfId="12894" xr:uid="{00000000-0005-0000-0000-000031B30000}"/>
    <cellStyle name="Normal 7 2 7" xfId="747" xr:uid="{00000000-0005-0000-0000-000032B30000}"/>
    <cellStyle name="Normal 7 2 7 2" xfId="2775" xr:uid="{00000000-0005-0000-0000-000033B30000}"/>
    <cellStyle name="Normal 7 2 7 2 2" xfId="9307" xr:uid="{00000000-0005-0000-0000-000034B30000}"/>
    <cellStyle name="Normal 7 2 7 2 2 2" xfId="41048" xr:uid="{00000000-0005-0000-0000-000035B30000}"/>
    <cellStyle name="Normal 7 2 7 2 2 2 2" xfId="57148" xr:uid="{00000000-0005-0000-0000-000036B30000}"/>
    <cellStyle name="Normal 7 2 7 2 2 3" xfId="47581" xr:uid="{00000000-0005-0000-0000-000037B30000}"/>
    <cellStyle name="Normal 7 2 7 2 2 4" xfId="31481" xr:uid="{00000000-0005-0000-0000-000038B30000}"/>
    <cellStyle name="Normal 7 2 7 2 2 5" xfId="21912" xr:uid="{00000000-0005-0000-0000-000039B30000}"/>
    <cellStyle name="Normal 7 2 7 2 3" xfId="12343" xr:uid="{00000000-0005-0000-0000-00003AB30000}"/>
    <cellStyle name="Normal 7 2 7 2 3 2" xfId="50617" xr:uid="{00000000-0005-0000-0000-00003BB30000}"/>
    <cellStyle name="Normal 7 2 7 2 3 3" xfId="34517" xr:uid="{00000000-0005-0000-0000-00003CB30000}"/>
    <cellStyle name="Normal 7 2 7 2 3 4" xfId="24948" xr:uid="{00000000-0005-0000-0000-00003DB30000}"/>
    <cellStyle name="Normal 7 2 7 2 4" xfId="6271" xr:uid="{00000000-0005-0000-0000-00003EB30000}"/>
    <cellStyle name="Normal 7 2 7 2 4 2" xfId="54112" xr:uid="{00000000-0005-0000-0000-00003FB30000}"/>
    <cellStyle name="Normal 7 2 7 2 4 3" xfId="38012" xr:uid="{00000000-0005-0000-0000-000040B30000}"/>
    <cellStyle name="Normal 7 2 7 2 4 4" xfId="18876" xr:uid="{00000000-0005-0000-0000-000041B30000}"/>
    <cellStyle name="Normal 7 2 7 2 5" xfId="44545" xr:uid="{00000000-0005-0000-0000-000042B30000}"/>
    <cellStyle name="Normal 7 2 7 2 6" xfId="28445" xr:uid="{00000000-0005-0000-0000-000043B30000}"/>
    <cellStyle name="Normal 7 2 7 2 7" xfId="15381" xr:uid="{00000000-0005-0000-0000-000044B30000}"/>
    <cellStyle name="Normal 7 2 7 3" xfId="1757" xr:uid="{00000000-0005-0000-0000-000045B30000}"/>
    <cellStyle name="Normal 7 2 7 3 2" xfId="8291" xr:uid="{00000000-0005-0000-0000-000046B30000}"/>
    <cellStyle name="Normal 7 2 7 3 2 2" xfId="40032" xr:uid="{00000000-0005-0000-0000-000047B30000}"/>
    <cellStyle name="Normal 7 2 7 3 2 2 2" xfId="56132" xr:uid="{00000000-0005-0000-0000-000048B30000}"/>
    <cellStyle name="Normal 7 2 7 3 2 3" xfId="46565" xr:uid="{00000000-0005-0000-0000-000049B30000}"/>
    <cellStyle name="Normal 7 2 7 3 2 4" xfId="30465" xr:uid="{00000000-0005-0000-0000-00004AB30000}"/>
    <cellStyle name="Normal 7 2 7 3 2 5" xfId="20896" xr:uid="{00000000-0005-0000-0000-00004BB30000}"/>
    <cellStyle name="Normal 7 2 7 3 3" xfId="11327" xr:uid="{00000000-0005-0000-0000-00004CB30000}"/>
    <cellStyle name="Normal 7 2 7 3 3 2" xfId="49601" xr:uid="{00000000-0005-0000-0000-00004DB30000}"/>
    <cellStyle name="Normal 7 2 7 3 3 3" xfId="33501" xr:uid="{00000000-0005-0000-0000-00004EB30000}"/>
    <cellStyle name="Normal 7 2 7 3 3 4" xfId="23932" xr:uid="{00000000-0005-0000-0000-00004FB30000}"/>
    <cellStyle name="Normal 7 2 7 3 4" xfId="5255" xr:uid="{00000000-0005-0000-0000-000050B30000}"/>
    <cellStyle name="Normal 7 2 7 3 4 2" xfId="53096" xr:uid="{00000000-0005-0000-0000-000051B30000}"/>
    <cellStyle name="Normal 7 2 7 3 4 3" xfId="36996" xr:uid="{00000000-0005-0000-0000-000052B30000}"/>
    <cellStyle name="Normal 7 2 7 3 4 4" xfId="17860" xr:uid="{00000000-0005-0000-0000-000053B30000}"/>
    <cellStyle name="Normal 7 2 7 3 5" xfId="43529" xr:uid="{00000000-0005-0000-0000-000054B30000}"/>
    <cellStyle name="Normal 7 2 7 3 6" xfId="27429" xr:uid="{00000000-0005-0000-0000-000055B30000}"/>
    <cellStyle name="Normal 7 2 7 3 7" xfId="14365" xr:uid="{00000000-0005-0000-0000-000056B30000}"/>
    <cellStyle name="Normal 7 2 7 4" xfId="7281" xr:uid="{00000000-0005-0000-0000-000057B30000}"/>
    <cellStyle name="Normal 7 2 7 4 2" xfId="39022" xr:uid="{00000000-0005-0000-0000-000058B30000}"/>
    <cellStyle name="Normal 7 2 7 4 2 2" xfId="55122" xr:uid="{00000000-0005-0000-0000-000059B30000}"/>
    <cellStyle name="Normal 7 2 7 4 3" xfId="45555" xr:uid="{00000000-0005-0000-0000-00005AB30000}"/>
    <cellStyle name="Normal 7 2 7 4 4" xfId="29455" xr:uid="{00000000-0005-0000-0000-00005BB30000}"/>
    <cellStyle name="Normal 7 2 7 4 5" xfId="19886" xr:uid="{00000000-0005-0000-0000-00005CB30000}"/>
    <cellStyle name="Normal 7 2 7 5" xfId="10317" xr:uid="{00000000-0005-0000-0000-00005DB30000}"/>
    <cellStyle name="Normal 7 2 7 5 2" xfId="48591" xr:uid="{00000000-0005-0000-0000-00005EB30000}"/>
    <cellStyle name="Normal 7 2 7 5 3" xfId="32491" xr:uid="{00000000-0005-0000-0000-00005FB30000}"/>
    <cellStyle name="Normal 7 2 7 5 4" xfId="22922" xr:uid="{00000000-0005-0000-0000-000060B30000}"/>
    <cellStyle name="Normal 7 2 7 6" xfId="4245" xr:uid="{00000000-0005-0000-0000-000061B30000}"/>
    <cellStyle name="Normal 7 2 7 6 2" xfId="52086" xr:uid="{00000000-0005-0000-0000-000062B30000}"/>
    <cellStyle name="Normal 7 2 7 6 3" xfId="35986" xr:uid="{00000000-0005-0000-0000-000063B30000}"/>
    <cellStyle name="Normal 7 2 7 6 4" xfId="16850" xr:uid="{00000000-0005-0000-0000-000064B30000}"/>
    <cellStyle name="Normal 7 2 7 7" xfId="42519" xr:uid="{00000000-0005-0000-0000-000065B30000}"/>
    <cellStyle name="Normal 7 2 7 8" xfId="26419" xr:uid="{00000000-0005-0000-0000-000066B30000}"/>
    <cellStyle name="Normal 7 2 7 9" xfId="13355" xr:uid="{00000000-0005-0000-0000-000067B30000}"/>
    <cellStyle name="Normal 7 2 8" xfId="2084" xr:uid="{00000000-0005-0000-0000-000068B30000}"/>
    <cellStyle name="Normal 7 2 8 2" xfId="8618" xr:uid="{00000000-0005-0000-0000-000069B30000}"/>
    <cellStyle name="Normal 7 2 8 2 2" xfId="40359" xr:uid="{00000000-0005-0000-0000-00006AB30000}"/>
    <cellStyle name="Normal 7 2 8 2 2 2" xfId="56459" xr:uid="{00000000-0005-0000-0000-00006BB30000}"/>
    <cellStyle name="Normal 7 2 8 2 3" xfId="46892" xr:uid="{00000000-0005-0000-0000-00006CB30000}"/>
    <cellStyle name="Normal 7 2 8 2 4" xfId="30792" xr:uid="{00000000-0005-0000-0000-00006DB30000}"/>
    <cellStyle name="Normal 7 2 8 2 5" xfId="21223" xr:uid="{00000000-0005-0000-0000-00006EB30000}"/>
    <cellStyle name="Normal 7 2 8 3" xfId="11654" xr:uid="{00000000-0005-0000-0000-00006FB30000}"/>
    <cellStyle name="Normal 7 2 8 3 2" xfId="49928" xr:uid="{00000000-0005-0000-0000-000070B30000}"/>
    <cellStyle name="Normal 7 2 8 3 3" xfId="33828" xr:uid="{00000000-0005-0000-0000-000071B30000}"/>
    <cellStyle name="Normal 7 2 8 3 4" xfId="24259" xr:uid="{00000000-0005-0000-0000-000072B30000}"/>
    <cellStyle name="Normal 7 2 8 4" xfId="5582" xr:uid="{00000000-0005-0000-0000-000073B30000}"/>
    <cellStyle name="Normal 7 2 8 4 2" xfId="53423" xr:uid="{00000000-0005-0000-0000-000074B30000}"/>
    <cellStyle name="Normal 7 2 8 4 3" xfId="37323" xr:uid="{00000000-0005-0000-0000-000075B30000}"/>
    <cellStyle name="Normal 7 2 8 4 4" xfId="18187" xr:uid="{00000000-0005-0000-0000-000076B30000}"/>
    <cellStyle name="Normal 7 2 8 5" xfId="43856" xr:uid="{00000000-0005-0000-0000-000077B30000}"/>
    <cellStyle name="Normal 7 2 8 6" xfId="27756" xr:uid="{00000000-0005-0000-0000-000078B30000}"/>
    <cellStyle name="Normal 7 2 8 7" xfId="14692" xr:uid="{00000000-0005-0000-0000-000079B30000}"/>
    <cellStyle name="Normal 7 2 9" xfId="1074" xr:uid="{00000000-0005-0000-0000-00007AB30000}"/>
    <cellStyle name="Normal 7 2 9 2" xfId="7608" xr:uid="{00000000-0005-0000-0000-00007BB30000}"/>
    <cellStyle name="Normal 7 2 9 2 2" xfId="39349" xr:uid="{00000000-0005-0000-0000-00007CB30000}"/>
    <cellStyle name="Normal 7 2 9 2 2 2" xfId="55449" xr:uid="{00000000-0005-0000-0000-00007DB30000}"/>
    <cellStyle name="Normal 7 2 9 2 3" xfId="45882" xr:uid="{00000000-0005-0000-0000-00007EB30000}"/>
    <cellStyle name="Normal 7 2 9 2 4" xfId="29782" xr:uid="{00000000-0005-0000-0000-00007FB30000}"/>
    <cellStyle name="Normal 7 2 9 2 5" xfId="20213" xr:uid="{00000000-0005-0000-0000-000080B30000}"/>
    <cellStyle name="Normal 7 2 9 3" xfId="10644" xr:uid="{00000000-0005-0000-0000-000081B30000}"/>
    <cellStyle name="Normal 7 2 9 3 2" xfId="48918" xr:uid="{00000000-0005-0000-0000-000082B30000}"/>
    <cellStyle name="Normal 7 2 9 3 3" xfId="32818" xr:uid="{00000000-0005-0000-0000-000083B30000}"/>
    <cellStyle name="Normal 7 2 9 3 4" xfId="23249" xr:uid="{00000000-0005-0000-0000-000084B30000}"/>
    <cellStyle name="Normal 7 2 9 4" xfId="4572" xr:uid="{00000000-0005-0000-0000-000085B30000}"/>
    <cellStyle name="Normal 7 2 9 4 2" xfId="52413" xr:uid="{00000000-0005-0000-0000-000086B30000}"/>
    <cellStyle name="Normal 7 2 9 4 3" xfId="36313" xr:uid="{00000000-0005-0000-0000-000087B30000}"/>
    <cellStyle name="Normal 7 2 9 4 4" xfId="17177" xr:uid="{00000000-0005-0000-0000-000088B30000}"/>
    <cellStyle name="Normal 7 2 9 5" xfId="42846" xr:uid="{00000000-0005-0000-0000-000089B30000}"/>
    <cellStyle name="Normal 7 2 9 6" xfId="26746" xr:uid="{00000000-0005-0000-0000-00008AB30000}"/>
    <cellStyle name="Normal 7 2 9 7" xfId="13682" xr:uid="{00000000-0005-0000-0000-00008BB30000}"/>
    <cellStyle name="Normal 7 20" xfId="3084" xr:uid="{00000000-0005-0000-0000-00008CB30000}"/>
    <cellStyle name="Normal 7 20 2" xfId="50926" xr:uid="{00000000-0005-0000-0000-00008DB30000}"/>
    <cellStyle name="Normal 7 20 3" xfId="34826" xr:uid="{00000000-0005-0000-0000-00008EB30000}"/>
    <cellStyle name="Normal 7 20 4" xfId="15690" xr:uid="{00000000-0005-0000-0000-00008FB30000}"/>
    <cellStyle name="Normal 7 21" xfId="41359" xr:uid="{00000000-0005-0000-0000-000090B30000}"/>
    <cellStyle name="Normal 7 22" xfId="25259" xr:uid="{00000000-0005-0000-0000-000091B30000}"/>
    <cellStyle name="Normal 7 23" xfId="12654" xr:uid="{00000000-0005-0000-0000-000092B30000}"/>
    <cellStyle name="Normal 7 3" xfId="114" xr:uid="{00000000-0005-0000-0000-000093B30000}"/>
    <cellStyle name="Normal 7 3 10" xfId="9713" xr:uid="{00000000-0005-0000-0000-000094B30000}"/>
    <cellStyle name="Normal 7 3 10 2" xfId="47987" xr:uid="{00000000-0005-0000-0000-000095B30000}"/>
    <cellStyle name="Normal 7 3 10 3" xfId="31887" xr:uid="{00000000-0005-0000-0000-000096B30000}"/>
    <cellStyle name="Normal 7 3 10 4" xfId="22318" xr:uid="{00000000-0005-0000-0000-000097B30000}"/>
    <cellStyle name="Normal 7 3 11" xfId="3181" xr:uid="{00000000-0005-0000-0000-000098B30000}"/>
    <cellStyle name="Normal 7 3 11 2" xfId="51023" xr:uid="{00000000-0005-0000-0000-000099B30000}"/>
    <cellStyle name="Normal 7 3 11 3" xfId="34923" xr:uid="{00000000-0005-0000-0000-00009AB30000}"/>
    <cellStyle name="Normal 7 3 11 4" xfId="15787" xr:uid="{00000000-0005-0000-0000-00009BB30000}"/>
    <cellStyle name="Normal 7 3 12" xfId="41456" xr:uid="{00000000-0005-0000-0000-00009CB30000}"/>
    <cellStyle name="Normal 7 3 13" xfId="25356" xr:uid="{00000000-0005-0000-0000-00009DB30000}"/>
    <cellStyle name="Normal 7 3 14" xfId="12751" xr:uid="{00000000-0005-0000-0000-00009EB30000}"/>
    <cellStyle name="Normal 7 3 2" xfId="189" xr:uid="{00000000-0005-0000-0000-00009FB30000}"/>
    <cellStyle name="Normal 7 3 2 10" xfId="41693" xr:uid="{00000000-0005-0000-0000-0000A0B30000}"/>
    <cellStyle name="Normal 7 3 2 11" xfId="25593" xr:uid="{00000000-0005-0000-0000-0000A1B30000}"/>
    <cellStyle name="Normal 7 3 2 12" xfId="13018" xr:uid="{00000000-0005-0000-0000-0000A2B30000}"/>
    <cellStyle name="Normal 7 3 2 2" xfId="366" xr:uid="{00000000-0005-0000-0000-0000A3B30000}"/>
    <cellStyle name="Normal 7 3 2 2 2" xfId="2385" xr:uid="{00000000-0005-0000-0000-0000A4B30000}"/>
    <cellStyle name="Normal 7 3 2 2 2 2" xfId="8919" xr:uid="{00000000-0005-0000-0000-0000A5B30000}"/>
    <cellStyle name="Normal 7 3 2 2 2 2 2" xfId="40660" xr:uid="{00000000-0005-0000-0000-0000A6B30000}"/>
    <cellStyle name="Normal 7 3 2 2 2 2 2 2" xfId="56760" xr:uid="{00000000-0005-0000-0000-0000A7B30000}"/>
    <cellStyle name="Normal 7 3 2 2 2 2 3" xfId="47193" xr:uid="{00000000-0005-0000-0000-0000A8B30000}"/>
    <cellStyle name="Normal 7 3 2 2 2 2 4" xfId="31093" xr:uid="{00000000-0005-0000-0000-0000A9B30000}"/>
    <cellStyle name="Normal 7 3 2 2 2 2 5" xfId="21524" xr:uid="{00000000-0005-0000-0000-0000AAB30000}"/>
    <cellStyle name="Normal 7 3 2 2 2 3" xfId="11955" xr:uid="{00000000-0005-0000-0000-0000ABB30000}"/>
    <cellStyle name="Normal 7 3 2 2 2 3 2" xfId="50229" xr:uid="{00000000-0005-0000-0000-0000ACB30000}"/>
    <cellStyle name="Normal 7 3 2 2 2 3 3" xfId="34129" xr:uid="{00000000-0005-0000-0000-0000ADB30000}"/>
    <cellStyle name="Normal 7 3 2 2 2 3 4" xfId="24560" xr:uid="{00000000-0005-0000-0000-0000AEB30000}"/>
    <cellStyle name="Normal 7 3 2 2 2 4" xfId="5883" xr:uid="{00000000-0005-0000-0000-0000AFB30000}"/>
    <cellStyle name="Normal 7 3 2 2 2 4 2" xfId="53724" xr:uid="{00000000-0005-0000-0000-0000B0B30000}"/>
    <cellStyle name="Normal 7 3 2 2 2 4 3" xfId="37624" xr:uid="{00000000-0005-0000-0000-0000B1B30000}"/>
    <cellStyle name="Normal 7 3 2 2 2 4 4" xfId="18488" xr:uid="{00000000-0005-0000-0000-0000B2B30000}"/>
    <cellStyle name="Normal 7 3 2 2 2 5" xfId="44157" xr:uid="{00000000-0005-0000-0000-0000B3B30000}"/>
    <cellStyle name="Normal 7 3 2 2 2 6" xfId="28057" xr:uid="{00000000-0005-0000-0000-0000B4B30000}"/>
    <cellStyle name="Normal 7 3 2 2 2 7" xfId="14993" xr:uid="{00000000-0005-0000-0000-0000B5B30000}"/>
    <cellStyle name="Normal 7 3 2 2 3" xfId="1597" xr:uid="{00000000-0005-0000-0000-0000B6B30000}"/>
    <cellStyle name="Normal 7 3 2 2 3 2" xfId="8131" xr:uid="{00000000-0005-0000-0000-0000B7B30000}"/>
    <cellStyle name="Normal 7 3 2 2 3 2 2" xfId="39872" xr:uid="{00000000-0005-0000-0000-0000B8B30000}"/>
    <cellStyle name="Normal 7 3 2 2 3 2 2 2" xfId="55972" xr:uid="{00000000-0005-0000-0000-0000B9B30000}"/>
    <cellStyle name="Normal 7 3 2 2 3 2 3" xfId="46405" xr:uid="{00000000-0005-0000-0000-0000BAB30000}"/>
    <cellStyle name="Normal 7 3 2 2 3 2 4" xfId="30305" xr:uid="{00000000-0005-0000-0000-0000BBB30000}"/>
    <cellStyle name="Normal 7 3 2 2 3 2 5" xfId="20736" xr:uid="{00000000-0005-0000-0000-0000BCB30000}"/>
    <cellStyle name="Normal 7 3 2 2 3 3" xfId="11167" xr:uid="{00000000-0005-0000-0000-0000BDB30000}"/>
    <cellStyle name="Normal 7 3 2 2 3 3 2" xfId="49441" xr:uid="{00000000-0005-0000-0000-0000BEB30000}"/>
    <cellStyle name="Normal 7 3 2 2 3 3 3" xfId="33341" xr:uid="{00000000-0005-0000-0000-0000BFB30000}"/>
    <cellStyle name="Normal 7 3 2 2 3 3 4" xfId="23772" xr:uid="{00000000-0005-0000-0000-0000C0B30000}"/>
    <cellStyle name="Normal 7 3 2 2 3 4" xfId="5095" xr:uid="{00000000-0005-0000-0000-0000C1B30000}"/>
    <cellStyle name="Normal 7 3 2 2 3 4 2" xfId="52936" xr:uid="{00000000-0005-0000-0000-0000C2B30000}"/>
    <cellStyle name="Normal 7 3 2 2 3 4 3" xfId="36836" xr:uid="{00000000-0005-0000-0000-0000C3B30000}"/>
    <cellStyle name="Normal 7 3 2 2 3 4 4" xfId="17700" xr:uid="{00000000-0005-0000-0000-0000C4B30000}"/>
    <cellStyle name="Normal 7 3 2 2 3 5" xfId="43369" xr:uid="{00000000-0005-0000-0000-0000C5B30000}"/>
    <cellStyle name="Normal 7 3 2 2 3 6" xfId="27269" xr:uid="{00000000-0005-0000-0000-0000C6B30000}"/>
    <cellStyle name="Normal 7 3 2 2 3 7" xfId="14205" xr:uid="{00000000-0005-0000-0000-0000C7B30000}"/>
    <cellStyle name="Normal 7 3 2 2 4" xfId="7121" xr:uid="{00000000-0005-0000-0000-0000C8B30000}"/>
    <cellStyle name="Normal 7 3 2 2 4 2" xfId="38862" xr:uid="{00000000-0005-0000-0000-0000C9B30000}"/>
    <cellStyle name="Normal 7 3 2 2 4 2 2" xfId="54962" xr:uid="{00000000-0005-0000-0000-0000CAB30000}"/>
    <cellStyle name="Normal 7 3 2 2 4 3" xfId="45395" xr:uid="{00000000-0005-0000-0000-0000CBB30000}"/>
    <cellStyle name="Normal 7 3 2 2 4 4" xfId="29295" xr:uid="{00000000-0005-0000-0000-0000CCB30000}"/>
    <cellStyle name="Normal 7 3 2 2 4 5" xfId="19726" xr:uid="{00000000-0005-0000-0000-0000CDB30000}"/>
    <cellStyle name="Normal 7 3 2 2 5" xfId="10157" xr:uid="{00000000-0005-0000-0000-0000CEB30000}"/>
    <cellStyle name="Normal 7 3 2 2 5 2" xfId="48431" xr:uid="{00000000-0005-0000-0000-0000CFB30000}"/>
    <cellStyle name="Normal 7 3 2 2 5 3" xfId="32331" xr:uid="{00000000-0005-0000-0000-0000D0B30000}"/>
    <cellStyle name="Normal 7 3 2 2 5 4" xfId="22762" xr:uid="{00000000-0005-0000-0000-0000D1B30000}"/>
    <cellStyle name="Normal 7 3 2 2 6" xfId="4085" xr:uid="{00000000-0005-0000-0000-0000D2B30000}"/>
    <cellStyle name="Normal 7 3 2 2 6 2" xfId="51926" xr:uid="{00000000-0005-0000-0000-0000D3B30000}"/>
    <cellStyle name="Normal 7 3 2 2 6 3" xfId="35826" xr:uid="{00000000-0005-0000-0000-0000D4B30000}"/>
    <cellStyle name="Normal 7 3 2 2 6 4" xfId="16690" xr:uid="{00000000-0005-0000-0000-0000D5B30000}"/>
    <cellStyle name="Normal 7 3 2 2 7" xfId="42359" xr:uid="{00000000-0005-0000-0000-0000D6B30000}"/>
    <cellStyle name="Normal 7 3 2 2 8" xfId="26259" xr:uid="{00000000-0005-0000-0000-0000D7B30000}"/>
    <cellStyle name="Normal 7 3 2 2 9" xfId="13195" xr:uid="{00000000-0005-0000-0000-0000D8B30000}"/>
    <cellStyle name="Normal 7 3 2 3" xfId="1005" xr:uid="{00000000-0005-0000-0000-0000D9B30000}"/>
    <cellStyle name="Normal 7 3 2 3 2" xfId="3033" xr:uid="{00000000-0005-0000-0000-0000DAB30000}"/>
    <cellStyle name="Normal 7 3 2 3 2 2" xfId="9565" xr:uid="{00000000-0005-0000-0000-0000DBB30000}"/>
    <cellStyle name="Normal 7 3 2 3 2 2 2" xfId="41306" xr:uid="{00000000-0005-0000-0000-0000DCB30000}"/>
    <cellStyle name="Normal 7 3 2 3 2 2 2 2" xfId="57406" xr:uid="{00000000-0005-0000-0000-0000DDB30000}"/>
    <cellStyle name="Normal 7 3 2 3 2 2 3" xfId="47839" xr:uid="{00000000-0005-0000-0000-0000DEB30000}"/>
    <cellStyle name="Normal 7 3 2 3 2 2 4" xfId="31739" xr:uid="{00000000-0005-0000-0000-0000DFB30000}"/>
    <cellStyle name="Normal 7 3 2 3 2 2 5" xfId="22170" xr:uid="{00000000-0005-0000-0000-0000E0B30000}"/>
    <cellStyle name="Normal 7 3 2 3 2 3" xfId="12601" xr:uid="{00000000-0005-0000-0000-0000E1B30000}"/>
    <cellStyle name="Normal 7 3 2 3 2 3 2" xfId="50875" xr:uid="{00000000-0005-0000-0000-0000E2B30000}"/>
    <cellStyle name="Normal 7 3 2 3 2 3 3" xfId="34775" xr:uid="{00000000-0005-0000-0000-0000E3B30000}"/>
    <cellStyle name="Normal 7 3 2 3 2 3 4" xfId="25206" xr:uid="{00000000-0005-0000-0000-0000E4B30000}"/>
    <cellStyle name="Normal 7 3 2 3 2 4" xfId="6529" xr:uid="{00000000-0005-0000-0000-0000E5B30000}"/>
    <cellStyle name="Normal 7 3 2 3 2 4 2" xfId="54370" xr:uid="{00000000-0005-0000-0000-0000E6B30000}"/>
    <cellStyle name="Normal 7 3 2 3 2 4 3" xfId="38270" xr:uid="{00000000-0005-0000-0000-0000E7B30000}"/>
    <cellStyle name="Normal 7 3 2 3 2 4 4" xfId="19134" xr:uid="{00000000-0005-0000-0000-0000E8B30000}"/>
    <cellStyle name="Normal 7 3 2 3 2 5" xfId="44803" xr:uid="{00000000-0005-0000-0000-0000E9B30000}"/>
    <cellStyle name="Normal 7 3 2 3 2 6" xfId="28703" xr:uid="{00000000-0005-0000-0000-0000EAB30000}"/>
    <cellStyle name="Normal 7 3 2 3 2 7" xfId="15639" xr:uid="{00000000-0005-0000-0000-0000EBB30000}"/>
    <cellStyle name="Normal 7 3 2 3 3" xfId="2015" xr:uid="{00000000-0005-0000-0000-0000ECB30000}"/>
    <cellStyle name="Normal 7 3 2 3 3 2" xfId="8549" xr:uid="{00000000-0005-0000-0000-0000EDB30000}"/>
    <cellStyle name="Normal 7 3 2 3 3 2 2" xfId="40290" xr:uid="{00000000-0005-0000-0000-0000EEB30000}"/>
    <cellStyle name="Normal 7 3 2 3 3 2 2 2" xfId="56390" xr:uid="{00000000-0005-0000-0000-0000EFB30000}"/>
    <cellStyle name="Normal 7 3 2 3 3 2 3" xfId="46823" xr:uid="{00000000-0005-0000-0000-0000F0B30000}"/>
    <cellStyle name="Normal 7 3 2 3 3 2 4" xfId="30723" xr:uid="{00000000-0005-0000-0000-0000F1B30000}"/>
    <cellStyle name="Normal 7 3 2 3 3 2 5" xfId="21154" xr:uid="{00000000-0005-0000-0000-0000F2B30000}"/>
    <cellStyle name="Normal 7 3 2 3 3 3" xfId="11585" xr:uid="{00000000-0005-0000-0000-0000F3B30000}"/>
    <cellStyle name="Normal 7 3 2 3 3 3 2" xfId="49859" xr:uid="{00000000-0005-0000-0000-0000F4B30000}"/>
    <cellStyle name="Normal 7 3 2 3 3 3 3" xfId="33759" xr:uid="{00000000-0005-0000-0000-0000F5B30000}"/>
    <cellStyle name="Normal 7 3 2 3 3 3 4" xfId="24190" xr:uid="{00000000-0005-0000-0000-0000F6B30000}"/>
    <cellStyle name="Normal 7 3 2 3 3 4" xfId="5513" xr:uid="{00000000-0005-0000-0000-0000F7B30000}"/>
    <cellStyle name="Normal 7 3 2 3 3 4 2" xfId="53354" xr:uid="{00000000-0005-0000-0000-0000F8B30000}"/>
    <cellStyle name="Normal 7 3 2 3 3 4 3" xfId="37254" xr:uid="{00000000-0005-0000-0000-0000F9B30000}"/>
    <cellStyle name="Normal 7 3 2 3 3 4 4" xfId="18118" xr:uid="{00000000-0005-0000-0000-0000FAB30000}"/>
    <cellStyle name="Normal 7 3 2 3 3 5" xfId="43787" xr:uid="{00000000-0005-0000-0000-0000FBB30000}"/>
    <cellStyle name="Normal 7 3 2 3 3 6" xfId="27687" xr:uid="{00000000-0005-0000-0000-0000FCB30000}"/>
    <cellStyle name="Normal 7 3 2 3 3 7" xfId="14623" xr:uid="{00000000-0005-0000-0000-0000FDB30000}"/>
    <cellStyle name="Normal 7 3 2 3 4" xfId="7539" xr:uid="{00000000-0005-0000-0000-0000FEB30000}"/>
    <cellStyle name="Normal 7 3 2 3 4 2" xfId="39280" xr:uid="{00000000-0005-0000-0000-0000FFB30000}"/>
    <cellStyle name="Normal 7 3 2 3 4 2 2" xfId="55380" xr:uid="{00000000-0005-0000-0000-000000B40000}"/>
    <cellStyle name="Normal 7 3 2 3 4 3" xfId="45813" xr:uid="{00000000-0005-0000-0000-000001B40000}"/>
    <cellStyle name="Normal 7 3 2 3 4 4" xfId="29713" xr:uid="{00000000-0005-0000-0000-000002B40000}"/>
    <cellStyle name="Normal 7 3 2 3 4 5" xfId="20144" xr:uid="{00000000-0005-0000-0000-000003B40000}"/>
    <cellStyle name="Normal 7 3 2 3 5" xfId="10575" xr:uid="{00000000-0005-0000-0000-000004B40000}"/>
    <cellStyle name="Normal 7 3 2 3 5 2" xfId="48849" xr:uid="{00000000-0005-0000-0000-000005B40000}"/>
    <cellStyle name="Normal 7 3 2 3 5 3" xfId="32749" xr:uid="{00000000-0005-0000-0000-000006B40000}"/>
    <cellStyle name="Normal 7 3 2 3 5 4" xfId="23180" xr:uid="{00000000-0005-0000-0000-000007B40000}"/>
    <cellStyle name="Normal 7 3 2 3 6" xfId="4503" xr:uid="{00000000-0005-0000-0000-000008B40000}"/>
    <cellStyle name="Normal 7 3 2 3 6 2" xfId="52344" xr:uid="{00000000-0005-0000-0000-000009B40000}"/>
    <cellStyle name="Normal 7 3 2 3 6 3" xfId="36244" xr:uid="{00000000-0005-0000-0000-00000AB40000}"/>
    <cellStyle name="Normal 7 3 2 3 6 4" xfId="17108" xr:uid="{00000000-0005-0000-0000-00000BB40000}"/>
    <cellStyle name="Normal 7 3 2 3 7" xfId="42777" xr:uid="{00000000-0005-0000-0000-00000CB40000}"/>
    <cellStyle name="Normal 7 3 2 3 8" xfId="26677" xr:uid="{00000000-0005-0000-0000-00000DB40000}"/>
    <cellStyle name="Normal 7 3 2 3 9" xfId="13613" xr:uid="{00000000-0005-0000-0000-00000EB40000}"/>
    <cellStyle name="Normal 7 3 2 4" xfId="2208" xr:uid="{00000000-0005-0000-0000-00000FB40000}"/>
    <cellStyle name="Normal 7 3 2 4 2" xfId="8742" xr:uid="{00000000-0005-0000-0000-000010B40000}"/>
    <cellStyle name="Normal 7 3 2 4 2 2" xfId="40483" xr:uid="{00000000-0005-0000-0000-000011B40000}"/>
    <cellStyle name="Normal 7 3 2 4 2 2 2" xfId="56583" xr:uid="{00000000-0005-0000-0000-000012B40000}"/>
    <cellStyle name="Normal 7 3 2 4 2 3" xfId="47016" xr:uid="{00000000-0005-0000-0000-000013B40000}"/>
    <cellStyle name="Normal 7 3 2 4 2 4" xfId="30916" xr:uid="{00000000-0005-0000-0000-000014B40000}"/>
    <cellStyle name="Normal 7 3 2 4 2 5" xfId="21347" xr:uid="{00000000-0005-0000-0000-000015B40000}"/>
    <cellStyle name="Normal 7 3 2 4 3" xfId="11778" xr:uid="{00000000-0005-0000-0000-000016B40000}"/>
    <cellStyle name="Normal 7 3 2 4 3 2" xfId="50052" xr:uid="{00000000-0005-0000-0000-000017B40000}"/>
    <cellStyle name="Normal 7 3 2 4 3 3" xfId="33952" xr:uid="{00000000-0005-0000-0000-000018B40000}"/>
    <cellStyle name="Normal 7 3 2 4 3 4" xfId="24383" xr:uid="{00000000-0005-0000-0000-000019B40000}"/>
    <cellStyle name="Normal 7 3 2 4 4" xfId="5706" xr:uid="{00000000-0005-0000-0000-00001AB40000}"/>
    <cellStyle name="Normal 7 3 2 4 4 2" xfId="53547" xr:uid="{00000000-0005-0000-0000-00001BB40000}"/>
    <cellStyle name="Normal 7 3 2 4 4 3" xfId="37447" xr:uid="{00000000-0005-0000-0000-00001CB40000}"/>
    <cellStyle name="Normal 7 3 2 4 4 4" xfId="18311" xr:uid="{00000000-0005-0000-0000-00001DB40000}"/>
    <cellStyle name="Normal 7 3 2 4 5" xfId="43980" xr:uid="{00000000-0005-0000-0000-00001EB40000}"/>
    <cellStyle name="Normal 7 3 2 4 6" xfId="27880" xr:uid="{00000000-0005-0000-0000-00001FB40000}"/>
    <cellStyle name="Normal 7 3 2 4 7" xfId="14816" xr:uid="{00000000-0005-0000-0000-000020B40000}"/>
    <cellStyle name="Normal 7 3 2 5" xfId="1420" xr:uid="{00000000-0005-0000-0000-000021B40000}"/>
    <cellStyle name="Normal 7 3 2 5 2" xfId="7954" xr:uid="{00000000-0005-0000-0000-000022B40000}"/>
    <cellStyle name="Normal 7 3 2 5 2 2" xfId="39695" xr:uid="{00000000-0005-0000-0000-000023B40000}"/>
    <cellStyle name="Normal 7 3 2 5 2 2 2" xfId="55795" xr:uid="{00000000-0005-0000-0000-000024B40000}"/>
    <cellStyle name="Normal 7 3 2 5 2 3" xfId="46228" xr:uid="{00000000-0005-0000-0000-000025B40000}"/>
    <cellStyle name="Normal 7 3 2 5 2 4" xfId="30128" xr:uid="{00000000-0005-0000-0000-000026B40000}"/>
    <cellStyle name="Normal 7 3 2 5 2 5" xfId="20559" xr:uid="{00000000-0005-0000-0000-000027B40000}"/>
    <cellStyle name="Normal 7 3 2 5 3" xfId="10990" xr:uid="{00000000-0005-0000-0000-000028B40000}"/>
    <cellStyle name="Normal 7 3 2 5 3 2" xfId="49264" xr:uid="{00000000-0005-0000-0000-000029B40000}"/>
    <cellStyle name="Normal 7 3 2 5 3 3" xfId="33164" xr:uid="{00000000-0005-0000-0000-00002AB40000}"/>
    <cellStyle name="Normal 7 3 2 5 3 4" xfId="23595" xr:uid="{00000000-0005-0000-0000-00002BB40000}"/>
    <cellStyle name="Normal 7 3 2 5 4" xfId="4918" xr:uid="{00000000-0005-0000-0000-00002CB40000}"/>
    <cellStyle name="Normal 7 3 2 5 4 2" xfId="52759" xr:uid="{00000000-0005-0000-0000-00002DB40000}"/>
    <cellStyle name="Normal 7 3 2 5 4 3" xfId="36659" xr:uid="{00000000-0005-0000-0000-00002EB40000}"/>
    <cellStyle name="Normal 7 3 2 5 4 4" xfId="17523" xr:uid="{00000000-0005-0000-0000-00002FB40000}"/>
    <cellStyle name="Normal 7 3 2 5 5" xfId="43192" xr:uid="{00000000-0005-0000-0000-000030B40000}"/>
    <cellStyle name="Normal 7 3 2 5 6" xfId="27092" xr:uid="{00000000-0005-0000-0000-000031B40000}"/>
    <cellStyle name="Normal 7 3 2 5 7" xfId="14028" xr:uid="{00000000-0005-0000-0000-000032B40000}"/>
    <cellStyle name="Normal 7 3 2 6" xfId="3908" xr:uid="{00000000-0005-0000-0000-000033B40000}"/>
    <cellStyle name="Normal 7 3 2 6 2" xfId="35649" xr:uid="{00000000-0005-0000-0000-000034B40000}"/>
    <cellStyle name="Normal 7 3 2 6 2 2" xfId="51749" xr:uid="{00000000-0005-0000-0000-000035B40000}"/>
    <cellStyle name="Normal 7 3 2 6 3" xfId="42182" xr:uid="{00000000-0005-0000-0000-000036B40000}"/>
    <cellStyle name="Normal 7 3 2 6 4" xfId="26082" xr:uid="{00000000-0005-0000-0000-000037B40000}"/>
    <cellStyle name="Normal 7 3 2 6 5" xfId="16513" xr:uid="{00000000-0005-0000-0000-000038B40000}"/>
    <cellStyle name="Normal 7 3 2 7" xfId="6944" xr:uid="{00000000-0005-0000-0000-000039B40000}"/>
    <cellStyle name="Normal 7 3 2 7 2" xfId="38685" xr:uid="{00000000-0005-0000-0000-00003AB40000}"/>
    <cellStyle name="Normal 7 3 2 7 2 2" xfId="54785" xr:uid="{00000000-0005-0000-0000-00003BB40000}"/>
    <cellStyle name="Normal 7 3 2 7 3" xfId="45218" xr:uid="{00000000-0005-0000-0000-00003CB40000}"/>
    <cellStyle name="Normal 7 3 2 7 4" xfId="29118" xr:uid="{00000000-0005-0000-0000-00003DB40000}"/>
    <cellStyle name="Normal 7 3 2 7 5" xfId="19549" xr:uid="{00000000-0005-0000-0000-00003EB40000}"/>
    <cellStyle name="Normal 7 3 2 8" xfId="9980" xr:uid="{00000000-0005-0000-0000-00003FB40000}"/>
    <cellStyle name="Normal 7 3 2 8 2" xfId="48254" xr:uid="{00000000-0005-0000-0000-000040B40000}"/>
    <cellStyle name="Normal 7 3 2 8 3" xfId="32154" xr:uid="{00000000-0005-0000-0000-000041B40000}"/>
    <cellStyle name="Normal 7 3 2 8 4" xfId="22585" xr:uid="{00000000-0005-0000-0000-000042B40000}"/>
    <cellStyle name="Normal 7 3 2 9" xfId="3419" xr:uid="{00000000-0005-0000-0000-000043B40000}"/>
    <cellStyle name="Normal 7 3 2 9 2" xfId="51260" xr:uid="{00000000-0005-0000-0000-000044B40000}"/>
    <cellStyle name="Normal 7 3 2 9 3" xfId="35160" xr:uid="{00000000-0005-0000-0000-000045B40000}"/>
    <cellStyle name="Normal 7 3 2 9 4" xfId="16024" xr:uid="{00000000-0005-0000-0000-000046B40000}"/>
    <cellStyle name="Normal 7 3 3" xfId="295" xr:uid="{00000000-0005-0000-0000-000047B40000}"/>
    <cellStyle name="Normal 7 3 3 2" xfId="2314" xr:uid="{00000000-0005-0000-0000-000048B40000}"/>
    <cellStyle name="Normal 7 3 3 2 2" xfId="8848" xr:uid="{00000000-0005-0000-0000-000049B40000}"/>
    <cellStyle name="Normal 7 3 3 2 2 2" xfId="40589" xr:uid="{00000000-0005-0000-0000-00004AB40000}"/>
    <cellStyle name="Normal 7 3 3 2 2 2 2" xfId="56689" xr:uid="{00000000-0005-0000-0000-00004BB40000}"/>
    <cellStyle name="Normal 7 3 3 2 2 3" xfId="47122" xr:uid="{00000000-0005-0000-0000-00004CB40000}"/>
    <cellStyle name="Normal 7 3 3 2 2 4" xfId="31022" xr:uid="{00000000-0005-0000-0000-00004DB40000}"/>
    <cellStyle name="Normal 7 3 3 2 2 5" xfId="21453" xr:uid="{00000000-0005-0000-0000-00004EB40000}"/>
    <cellStyle name="Normal 7 3 3 2 3" xfId="11884" xr:uid="{00000000-0005-0000-0000-00004FB40000}"/>
    <cellStyle name="Normal 7 3 3 2 3 2" xfId="50158" xr:uid="{00000000-0005-0000-0000-000050B40000}"/>
    <cellStyle name="Normal 7 3 3 2 3 3" xfId="34058" xr:uid="{00000000-0005-0000-0000-000051B40000}"/>
    <cellStyle name="Normal 7 3 3 2 3 4" xfId="24489" xr:uid="{00000000-0005-0000-0000-000052B40000}"/>
    <cellStyle name="Normal 7 3 3 2 4" xfId="5812" xr:uid="{00000000-0005-0000-0000-000053B40000}"/>
    <cellStyle name="Normal 7 3 3 2 4 2" xfId="53653" xr:uid="{00000000-0005-0000-0000-000054B40000}"/>
    <cellStyle name="Normal 7 3 3 2 4 3" xfId="37553" xr:uid="{00000000-0005-0000-0000-000055B40000}"/>
    <cellStyle name="Normal 7 3 3 2 4 4" xfId="18417" xr:uid="{00000000-0005-0000-0000-000056B40000}"/>
    <cellStyle name="Normal 7 3 3 2 5" xfId="44086" xr:uid="{00000000-0005-0000-0000-000057B40000}"/>
    <cellStyle name="Normal 7 3 3 2 6" xfId="27986" xr:uid="{00000000-0005-0000-0000-000058B40000}"/>
    <cellStyle name="Normal 7 3 3 2 7" xfId="14922" xr:uid="{00000000-0005-0000-0000-000059B40000}"/>
    <cellStyle name="Normal 7 3 3 3" xfId="1526" xr:uid="{00000000-0005-0000-0000-00005AB40000}"/>
    <cellStyle name="Normal 7 3 3 3 2" xfId="8060" xr:uid="{00000000-0005-0000-0000-00005BB40000}"/>
    <cellStyle name="Normal 7 3 3 3 2 2" xfId="39801" xr:uid="{00000000-0005-0000-0000-00005CB40000}"/>
    <cellStyle name="Normal 7 3 3 3 2 2 2" xfId="55901" xr:uid="{00000000-0005-0000-0000-00005DB40000}"/>
    <cellStyle name="Normal 7 3 3 3 2 3" xfId="46334" xr:uid="{00000000-0005-0000-0000-00005EB40000}"/>
    <cellStyle name="Normal 7 3 3 3 2 4" xfId="30234" xr:uid="{00000000-0005-0000-0000-00005FB40000}"/>
    <cellStyle name="Normal 7 3 3 3 2 5" xfId="20665" xr:uid="{00000000-0005-0000-0000-000060B40000}"/>
    <cellStyle name="Normal 7 3 3 3 3" xfId="11096" xr:uid="{00000000-0005-0000-0000-000061B40000}"/>
    <cellStyle name="Normal 7 3 3 3 3 2" xfId="49370" xr:uid="{00000000-0005-0000-0000-000062B40000}"/>
    <cellStyle name="Normal 7 3 3 3 3 3" xfId="33270" xr:uid="{00000000-0005-0000-0000-000063B40000}"/>
    <cellStyle name="Normal 7 3 3 3 3 4" xfId="23701" xr:uid="{00000000-0005-0000-0000-000064B40000}"/>
    <cellStyle name="Normal 7 3 3 3 4" xfId="5024" xr:uid="{00000000-0005-0000-0000-000065B40000}"/>
    <cellStyle name="Normal 7 3 3 3 4 2" xfId="52865" xr:uid="{00000000-0005-0000-0000-000066B40000}"/>
    <cellStyle name="Normal 7 3 3 3 4 3" xfId="36765" xr:uid="{00000000-0005-0000-0000-000067B40000}"/>
    <cellStyle name="Normal 7 3 3 3 4 4" xfId="17629" xr:uid="{00000000-0005-0000-0000-000068B40000}"/>
    <cellStyle name="Normal 7 3 3 3 5" xfId="43298" xr:uid="{00000000-0005-0000-0000-000069B40000}"/>
    <cellStyle name="Normal 7 3 3 3 6" xfId="27198" xr:uid="{00000000-0005-0000-0000-00006AB40000}"/>
    <cellStyle name="Normal 7 3 3 3 7" xfId="14134" xr:uid="{00000000-0005-0000-0000-00006BB40000}"/>
    <cellStyle name="Normal 7 3 3 4" xfId="7050" xr:uid="{00000000-0005-0000-0000-00006CB40000}"/>
    <cellStyle name="Normal 7 3 3 4 2" xfId="38791" xr:uid="{00000000-0005-0000-0000-00006DB40000}"/>
    <cellStyle name="Normal 7 3 3 4 2 2" xfId="54891" xr:uid="{00000000-0005-0000-0000-00006EB40000}"/>
    <cellStyle name="Normal 7 3 3 4 3" xfId="45324" xr:uid="{00000000-0005-0000-0000-00006FB40000}"/>
    <cellStyle name="Normal 7 3 3 4 4" xfId="29224" xr:uid="{00000000-0005-0000-0000-000070B40000}"/>
    <cellStyle name="Normal 7 3 3 4 5" xfId="19655" xr:uid="{00000000-0005-0000-0000-000071B40000}"/>
    <cellStyle name="Normal 7 3 3 5" xfId="10086" xr:uid="{00000000-0005-0000-0000-000072B40000}"/>
    <cellStyle name="Normal 7 3 3 5 2" xfId="48360" xr:uid="{00000000-0005-0000-0000-000073B40000}"/>
    <cellStyle name="Normal 7 3 3 5 3" xfId="32260" xr:uid="{00000000-0005-0000-0000-000074B40000}"/>
    <cellStyle name="Normal 7 3 3 5 4" xfId="22691" xr:uid="{00000000-0005-0000-0000-000075B40000}"/>
    <cellStyle name="Normal 7 3 3 6" xfId="4014" xr:uid="{00000000-0005-0000-0000-000076B40000}"/>
    <cellStyle name="Normal 7 3 3 6 2" xfId="51855" xr:uid="{00000000-0005-0000-0000-000077B40000}"/>
    <cellStyle name="Normal 7 3 3 6 3" xfId="35755" xr:uid="{00000000-0005-0000-0000-000078B40000}"/>
    <cellStyle name="Normal 7 3 3 6 4" xfId="16619" xr:uid="{00000000-0005-0000-0000-000079B40000}"/>
    <cellStyle name="Normal 7 3 3 7" xfId="42288" xr:uid="{00000000-0005-0000-0000-00007AB40000}"/>
    <cellStyle name="Normal 7 3 3 8" xfId="26188" xr:uid="{00000000-0005-0000-0000-00007BB40000}"/>
    <cellStyle name="Normal 7 3 3 9" xfId="13124" xr:uid="{00000000-0005-0000-0000-00007CB40000}"/>
    <cellStyle name="Normal 7 3 4" xfId="553" xr:uid="{00000000-0005-0000-0000-00007DB40000}"/>
    <cellStyle name="Normal 7 3 4 2" xfId="2582" xr:uid="{00000000-0005-0000-0000-00007EB40000}"/>
    <cellStyle name="Normal 7 3 4 2 2" xfId="9114" xr:uid="{00000000-0005-0000-0000-00007FB40000}"/>
    <cellStyle name="Normal 7 3 4 2 2 2" xfId="40855" xr:uid="{00000000-0005-0000-0000-000080B40000}"/>
    <cellStyle name="Normal 7 3 4 2 2 2 2" xfId="56955" xr:uid="{00000000-0005-0000-0000-000081B40000}"/>
    <cellStyle name="Normal 7 3 4 2 2 3" xfId="47388" xr:uid="{00000000-0005-0000-0000-000082B40000}"/>
    <cellStyle name="Normal 7 3 4 2 2 4" xfId="31288" xr:uid="{00000000-0005-0000-0000-000083B40000}"/>
    <cellStyle name="Normal 7 3 4 2 2 5" xfId="21719" xr:uid="{00000000-0005-0000-0000-000084B40000}"/>
    <cellStyle name="Normal 7 3 4 2 3" xfId="12150" xr:uid="{00000000-0005-0000-0000-000085B40000}"/>
    <cellStyle name="Normal 7 3 4 2 3 2" xfId="50424" xr:uid="{00000000-0005-0000-0000-000086B40000}"/>
    <cellStyle name="Normal 7 3 4 2 3 3" xfId="34324" xr:uid="{00000000-0005-0000-0000-000087B40000}"/>
    <cellStyle name="Normal 7 3 4 2 3 4" xfId="24755" xr:uid="{00000000-0005-0000-0000-000088B40000}"/>
    <cellStyle name="Normal 7 3 4 2 4" xfId="6078" xr:uid="{00000000-0005-0000-0000-000089B40000}"/>
    <cellStyle name="Normal 7 3 4 2 4 2" xfId="53919" xr:uid="{00000000-0005-0000-0000-00008AB40000}"/>
    <cellStyle name="Normal 7 3 4 2 4 3" xfId="37819" xr:uid="{00000000-0005-0000-0000-00008BB40000}"/>
    <cellStyle name="Normal 7 3 4 2 4 4" xfId="18683" xr:uid="{00000000-0005-0000-0000-00008CB40000}"/>
    <cellStyle name="Normal 7 3 4 2 5" xfId="44352" xr:uid="{00000000-0005-0000-0000-00008DB40000}"/>
    <cellStyle name="Normal 7 3 4 2 6" xfId="28252" xr:uid="{00000000-0005-0000-0000-00008EB40000}"/>
    <cellStyle name="Normal 7 3 4 2 7" xfId="15188" xr:uid="{00000000-0005-0000-0000-00008FB40000}"/>
    <cellStyle name="Normal 7 3 4 3" xfId="1349" xr:uid="{00000000-0005-0000-0000-000090B40000}"/>
    <cellStyle name="Normal 7 3 4 3 2" xfId="7883" xr:uid="{00000000-0005-0000-0000-000091B40000}"/>
    <cellStyle name="Normal 7 3 4 3 2 2" xfId="39624" xr:uid="{00000000-0005-0000-0000-000092B40000}"/>
    <cellStyle name="Normal 7 3 4 3 2 2 2" xfId="55724" xr:uid="{00000000-0005-0000-0000-000093B40000}"/>
    <cellStyle name="Normal 7 3 4 3 2 3" xfId="46157" xr:uid="{00000000-0005-0000-0000-000094B40000}"/>
    <cellStyle name="Normal 7 3 4 3 2 4" xfId="30057" xr:uid="{00000000-0005-0000-0000-000095B40000}"/>
    <cellStyle name="Normal 7 3 4 3 2 5" xfId="20488" xr:uid="{00000000-0005-0000-0000-000096B40000}"/>
    <cellStyle name="Normal 7 3 4 3 3" xfId="10919" xr:uid="{00000000-0005-0000-0000-000097B40000}"/>
    <cellStyle name="Normal 7 3 4 3 3 2" xfId="49193" xr:uid="{00000000-0005-0000-0000-000098B40000}"/>
    <cellStyle name="Normal 7 3 4 3 3 3" xfId="33093" xr:uid="{00000000-0005-0000-0000-000099B40000}"/>
    <cellStyle name="Normal 7 3 4 3 3 4" xfId="23524" xr:uid="{00000000-0005-0000-0000-00009AB40000}"/>
    <cellStyle name="Normal 7 3 4 3 4" xfId="4847" xr:uid="{00000000-0005-0000-0000-00009BB40000}"/>
    <cellStyle name="Normal 7 3 4 3 4 2" xfId="52688" xr:uid="{00000000-0005-0000-0000-00009CB40000}"/>
    <cellStyle name="Normal 7 3 4 3 4 3" xfId="36588" xr:uid="{00000000-0005-0000-0000-00009DB40000}"/>
    <cellStyle name="Normal 7 3 4 3 4 4" xfId="17452" xr:uid="{00000000-0005-0000-0000-00009EB40000}"/>
    <cellStyle name="Normal 7 3 4 3 5" xfId="43121" xr:uid="{00000000-0005-0000-0000-00009FB40000}"/>
    <cellStyle name="Normal 7 3 4 3 6" xfId="27021" xr:uid="{00000000-0005-0000-0000-0000A0B40000}"/>
    <cellStyle name="Normal 7 3 4 3 7" xfId="13957" xr:uid="{00000000-0005-0000-0000-0000A1B40000}"/>
    <cellStyle name="Normal 7 3 4 4" xfId="6873" xr:uid="{00000000-0005-0000-0000-0000A2B40000}"/>
    <cellStyle name="Normal 7 3 4 4 2" xfId="38614" xr:uid="{00000000-0005-0000-0000-0000A3B40000}"/>
    <cellStyle name="Normal 7 3 4 4 2 2" xfId="54714" xr:uid="{00000000-0005-0000-0000-0000A4B40000}"/>
    <cellStyle name="Normal 7 3 4 4 3" xfId="45147" xr:uid="{00000000-0005-0000-0000-0000A5B40000}"/>
    <cellStyle name="Normal 7 3 4 4 4" xfId="29047" xr:uid="{00000000-0005-0000-0000-0000A6B40000}"/>
    <cellStyle name="Normal 7 3 4 4 5" xfId="19478" xr:uid="{00000000-0005-0000-0000-0000A7B40000}"/>
    <cellStyle name="Normal 7 3 4 5" xfId="9909" xr:uid="{00000000-0005-0000-0000-0000A8B40000}"/>
    <cellStyle name="Normal 7 3 4 5 2" xfId="48183" xr:uid="{00000000-0005-0000-0000-0000A9B40000}"/>
    <cellStyle name="Normal 7 3 4 5 3" xfId="32083" xr:uid="{00000000-0005-0000-0000-0000AAB40000}"/>
    <cellStyle name="Normal 7 3 4 5 4" xfId="22514" xr:uid="{00000000-0005-0000-0000-0000ABB40000}"/>
    <cellStyle name="Normal 7 3 4 6" xfId="3837" xr:uid="{00000000-0005-0000-0000-0000ACB40000}"/>
    <cellStyle name="Normal 7 3 4 6 2" xfId="51678" xr:uid="{00000000-0005-0000-0000-0000ADB40000}"/>
    <cellStyle name="Normal 7 3 4 6 3" xfId="35578" xr:uid="{00000000-0005-0000-0000-0000AEB40000}"/>
    <cellStyle name="Normal 7 3 4 6 4" xfId="16442" xr:uid="{00000000-0005-0000-0000-0000AFB40000}"/>
    <cellStyle name="Normal 7 3 4 7" xfId="42111" xr:uid="{00000000-0005-0000-0000-0000B0B40000}"/>
    <cellStyle name="Normal 7 3 4 8" xfId="26011" xr:uid="{00000000-0005-0000-0000-0000B1B40000}"/>
    <cellStyle name="Normal 7 3 4 9" xfId="12947" xr:uid="{00000000-0005-0000-0000-0000B2B40000}"/>
    <cellStyle name="Normal 7 3 5" xfId="826" xr:uid="{00000000-0005-0000-0000-0000B3B40000}"/>
    <cellStyle name="Normal 7 3 5 2" xfId="2854" xr:uid="{00000000-0005-0000-0000-0000B4B40000}"/>
    <cellStyle name="Normal 7 3 5 2 2" xfId="9386" xr:uid="{00000000-0005-0000-0000-0000B5B40000}"/>
    <cellStyle name="Normal 7 3 5 2 2 2" xfId="41127" xr:uid="{00000000-0005-0000-0000-0000B6B40000}"/>
    <cellStyle name="Normal 7 3 5 2 2 2 2" xfId="57227" xr:uid="{00000000-0005-0000-0000-0000B7B40000}"/>
    <cellStyle name="Normal 7 3 5 2 2 3" xfId="47660" xr:uid="{00000000-0005-0000-0000-0000B8B40000}"/>
    <cellStyle name="Normal 7 3 5 2 2 4" xfId="31560" xr:uid="{00000000-0005-0000-0000-0000B9B40000}"/>
    <cellStyle name="Normal 7 3 5 2 2 5" xfId="21991" xr:uid="{00000000-0005-0000-0000-0000BAB40000}"/>
    <cellStyle name="Normal 7 3 5 2 3" xfId="12422" xr:uid="{00000000-0005-0000-0000-0000BBB40000}"/>
    <cellStyle name="Normal 7 3 5 2 3 2" xfId="50696" xr:uid="{00000000-0005-0000-0000-0000BCB40000}"/>
    <cellStyle name="Normal 7 3 5 2 3 3" xfId="34596" xr:uid="{00000000-0005-0000-0000-0000BDB40000}"/>
    <cellStyle name="Normal 7 3 5 2 3 4" xfId="25027" xr:uid="{00000000-0005-0000-0000-0000BEB40000}"/>
    <cellStyle name="Normal 7 3 5 2 4" xfId="6350" xr:uid="{00000000-0005-0000-0000-0000BFB40000}"/>
    <cellStyle name="Normal 7 3 5 2 4 2" xfId="54191" xr:uid="{00000000-0005-0000-0000-0000C0B40000}"/>
    <cellStyle name="Normal 7 3 5 2 4 3" xfId="38091" xr:uid="{00000000-0005-0000-0000-0000C1B40000}"/>
    <cellStyle name="Normal 7 3 5 2 4 4" xfId="18955" xr:uid="{00000000-0005-0000-0000-0000C2B40000}"/>
    <cellStyle name="Normal 7 3 5 2 5" xfId="44624" xr:uid="{00000000-0005-0000-0000-0000C3B40000}"/>
    <cellStyle name="Normal 7 3 5 2 6" xfId="28524" xr:uid="{00000000-0005-0000-0000-0000C4B40000}"/>
    <cellStyle name="Normal 7 3 5 2 7" xfId="15460" xr:uid="{00000000-0005-0000-0000-0000C5B40000}"/>
    <cellStyle name="Normal 7 3 5 3" xfId="1836" xr:uid="{00000000-0005-0000-0000-0000C6B40000}"/>
    <cellStyle name="Normal 7 3 5 3 2" xfId="8370" xr:uid="{00000000-0005-0000-0000-0000C7B40000}"/>
    <cellStyle name="Normal 7 3 5 3 2 2" xfId="40111" xr:uid="{00000000-0005-0000-0000-0000C8B40000}"/>
    <cellStyle name="Normal 7 3 5 3 2 2 2" xfId="56211" xr:uid="{00000000-0005-0000-0000-0000C9B40000}"/>
    <cellStyle name="Normal 7 3 5 3 2 3" xfId="46644" xr:uid="{00000000-0005-0000-0000-0000CAB40000}"/>
    <cellStyle name="Normal 7 3 5 3 2 4" xfId="30544" xr:uid="{00000000-0005-0000-0000-0000CBB40000}"/>
    <cellStyle name="Normal 7 3 5 3 2 5" xfId="20975" xr:uid="{00000000-0005-0000-0000-0000CCB40000}"/>
    <cellStyle name="Normal 7 3 5 3 3" xfId="11406" xr:uid="{00000000-0005-0000-0000-0000CDB40000}"/>
    <cellStyle name="Normal 7 3 5 3 3 2" xfId="49680" xr:uid="{00000000-0005-0000-0000-0000CEB40000}"/>
    <cellStyle name="Normal 7 3 5 3 3 3" xfId="33580" xr:uid="{00000000-0005-0000-0000-0000CFB40000}"/>
    <cellStyle name="Normal 7 3 5 3 3 4" xfId="24011" xr:uid="{00000000-0005-0000-0000-0000D0B40000}"/>
    <cellStyle name="Normal 7 3 5 3 4" xfId="5334" xr:uid="{00000000-0005-0000-0000-0000D1B40000}"/>
    <cellStyle name="Normal 7 3 5 3 4 2" xfId="53175" xr:uid="{00000000-0005-0000-0000-0000D2B40000}"/>
    <cellStyle name="Normal 7 3 5 3 4 3" xfId="37075" xr:uid="{00000000-0005-0000-0000-0000D3B40000}"/>
    <cellStyle name="Normal 7 3 5 3 4 4" xfId="17939" xr:uid="{00000000-0005-0000-0000-0000D4B40000}"/>
    <cellStyle name="Normal 7 3 5 3 5" xfId="43608" xr:uid="{00000000-0005-0000-0000-0000D5B40000}"/>
    <cellStyle name="Normal 7 3 5 3 6" xfId="27508" xr:uid="{00000000-0005-0000-0000-0000D6B40000}"/>
    <cellStyle name="Normal 7 3 5 3 7" xfId="14444" xr:uid="{00000000-0005-0000-0000-0000D7B40000}"/>
    <cellStyle name="Normal 7 3 5 4" xfId="7360" xr:uid="{00000000-0005-0000-0000-0000D8B40000}"/>
    <cellStyle name="Normal 7 3 5 4 2" xfId="39101" xr:uid="{00000000-0005-0000-0000-0000D9B40000}"/>
    <cellStyle name="Normal 7 3 5 4 2 2" xfId="55201" xr:uid="{00000000-0005-0000-0000-0000DAB40000}"/>
    <cellStyle name="Normal 7 3 5 4 3" xfId="45634" xr:uid="{00000000-0005-0000-0000-0000DBB40000}"/>
    <cellStyle name="Normal 7 3 5 4 4" xfId="29534" xr:uid="{00000000-0005-0000-0000-0000DCB40000}"/>
    <cellStyle name="Normal 7 3 5 4 5" xfId="19965" xr:uid="{00000000-0005-0000-0000-0000DDB40000}"/>
    <cellStyle name="Normal 7 3 5 5" xfId="10396" xr:uid="{00000000-0005-0000-0000-0000DEB40000}"/>
    <cellStyle name="Normal 7 3 5 5 2" xfId="48670" xr:uid="{00000000-0005-0000-0000-0000DFB40000}"/>
    <cellStyle name="Normal 7 3 5 5 3" xfId="32570" xr:uid="{00000000-0005-0000-0000-0000E0B40000}"/>
    <cellStyle name="Normal 7 3 5 5 4" xfId="23001" xr:uid="{00000000-0005-0000-0000-0000E1B40000}"/>
    <cellStyle name="Normal 7 3 5 6" xfId="4324" xr:uid="{00000000-0005-0000-0000-0000E2B40000}"/>
    <cellStyle name="Normal 7 3 5 6 2" xfId="52165" xr:uid="{00000000-0005-0000-0000-0000E3B40000}"/>
    <cellStyle name="Normal 7 3 5 6 3" xfId="36065" xr:uid="{00000000-0005-0000-0000-0000E4B40000}"/>
    <cellStyle name="Normal 7 3 5 6 4" xfId="16929" xr:uid="{00000000-0005-0000-0000-0000E5B40000}"/>
    <cellStyle name="Normal 7 3 5 7" xfId="42598" xr:uid="{00000000-0005-0000-0000-0000E6B40000}"/>
    <cellStyle name="Normal 7 3 5 8" xfId="26498" xr:uid="{00000000-0005-0000-0000-0000E7B40000}"/>
    <cellStyle name="Normal 7 3 5 9" xfId="13434" xr:uid="{00000000-0005-0000-0000-0000E8B40000}"/>
    <cellStyle name="Normal 7 3 6" xfId="2137" xr:uid="{00000000-0005-0000-0000-0000E9B40000}"/>
    <cellStyle name="Normal 7 3 6 2" xfId="8671" xr:uid="{00000000-0005-0000-0000-0000EAB40000}"/>
    <cellStyle name="Normal 7 3 6 2 2" xfId="40412" xr:uid="{00000000-0005-0000-0000-0000EBB40000}"/>
    <cellStyle name="Normal 7 3 6 2 2 2" xfId="56512" xr:uid="{00000000-0005-0000-0000-0000ECB40000}"/>
    <cellStyle name="Normal 7 3 6 2 3" xfId="46945" xr:uid="{00000000-0005-0000-0000-0000EDB40000}"/>
    <cellStyle name="Normal 7 3 6 2 4" xfId="30845" xr:uid="{00000000-0005-0000-0000-0000EEB40000}"/>
    <cellStyle name="Normal 7 3 6 2 5" xfId="21276" xr:uid="{00000000-0005-0000-0000-0000EFB40000}"/>
    <cellStyle name="Normal 7 3 6 3" xfId="11707" xr:uid="{00000000-0005-0000-0000-0000F0B40000}"/>
    <cellStyle name="Normal 7 3 6 3 2" xfId="49981" xr:uid="{00000000-0005-0000-0000-0000F1B40000}"/>
    <cellStyle name="Normal 7 3 6 3 3" xfId="33881" xr:uid="{00000000-0005-0000-0000-0000F2B40000}"/>
    <cellStyle name="Normal 7 3 6 3 4" xfId="24312" xr:uid="{00000000-0005-0000-0000-0000F3B40000}"/>
    <cellStyle name="Normal 7 3 6 4" xfId="5635" xr:uid="{00000000-0005-0000-0000-0000F4B40000}"/>
    <cellStyle name="Normal 7 3 6 4 2" xfId="53476" xr:uid="{00000000-0005-0000-0000-0000F5B40000}"/>
    <cellStyle name="Normal 7 3 6 4 3" xfId="37376" xr:uid="{00000000-0005-0000-0000-0000F6B40000}"/>
    <cellStyle name="Normal 7 3 6 4 4" xfId="18240" xr:uid="{00000000-0005-0000-0000-0000F7B40000}"/>
    <cellStyle name="Normal 7 3 6 5" xfId="43909" xr:uid="{00000000-0005-0000-0000-0000F8B40000}"/>
    <cellStyle name="Normal 7 3 6 6" xfId="27809" xr:uid="{00000000-0005-0000-0000-0000F9B40000}"/>
    <cellStyle name="Normal 7 3 6 7" xfId="14745" xr:uid="{00000000-0005-0000-0000-0000FAB40000}"/>
    <cellStyle name="Normal 7 3 7" xfId="1153" xr:uid="{00000000-0005-0000-0000-0000FBB40000}"/>
    <cellStyle name="Normal 7 3 7 2" xfId="7687" xr:uid="{00000000-0005-0000-0000-0000FCB40000}"/>
    <cellStyle name="Normal 7 3 7 2 2" xfId="39428" xr:uid="{00000000-0005-0000-0000-0000FDB40000}"/>
    <cellStyle name="Normal 7 3 7 2 2 2" xfId="55528" xr:uid="{00000000-0005-0000-0000-0000FEB40000}"/>
    <cellStyle name="Normal 7 3 7 2 3" xfId="45961" xr:uid="{00000000-0005-0000-0000-0000FFB40000}"/>
    <cellStyle name="Normal 7 3 7 2 4" xfId="29861" xr:uid="{00000000-0005-0000-0000-000000B50000}"/>
    <cellStyle name="Normal 7 3 7 2 5" xfId="20292" xr:uid="{00000000-0005-0000-0000-000001B50000}"/>
    <cellStyle name="Normal 7 3 7 3" xfId="10723" xr:uid="{00000000-0005-0000-0000-000002B50000}"/>
    <cellStyle name="Normal 7 3 7 3 2" xfId="48997" xr:uid="{00000000-0005-0000-0000-000003B50000}"/>
    <cellStyle name="Normal 7 3 7 3 3" xfId="32897" xr:uid="{00000000-0005-0000-0000-000004B50000}"/>
    <cellStyle name="Normal 7 3 7 3 4" xfId="23328" xr:uid="{00000000-0005-0000-0000-000005B50000}"/>
    <cellStyle name="Normal 7 3 7 4" xfId="4651" xr:uid="{00000000-0005-0000-0000-000006B50000}"/>
    <cellStyle name="Normal 7 3 7 4 2" xfId="52492" xr:uid="{00000000-0005-0000-0000-000007B50000}"/>
    <cellStyle name="Normal 7 3 7 4 3" xfId="36392" xr:uid="{00000000-0005-0000-0000-000008B50000}"/>
    <cellStyle name="Normal 7 3 7 4 4" xfId="17256" xr:uid="{00000000-0005-0000-0000-000009B50000}"/>
    <cellStyle name="Normal 7 3 7 5" xfId="42925" xr:uid="{00000000-0005-0000-0000-00000AB50000}"/>
    <cellStyle name="Normal 7 3 7 6" xfId="26825" xr:uid="{00000000-0005-0000-0000-00000BB50000}"/>
    <cellStyle name="Normal 7 3 7 7" xfId="13761" xr:uid="{00000000-0005-0000-0000-00000CB50000}"/>
    <cellStyle name="Normal 7 3 8" xfId="3641" xr:uid="{00000000-0005-0000-0000-00000DB50000}"/>
    <cellStyle name="Normal 7 3 8 2" xfId="35382" xr:uid="{00000000-0005-0000-0000-00000EB50000}"/>
    <cellStyle name="Normal 7 3 8 2 2" xfId="51482" xr:uid="{00000000-0005-0000-0000-00000FB50000}"/>
    <cellStyle name="Normal 7 3 8 3" xfId="41915" xr:uid="{00000000-0005-0000-0000-000010B50000}"/>
    <cellStyle name="Normal 7 3 8 4" xfId="25815" xr:uid="{00000000-0005-0000-0000-000011B50000}"/>
    <cellStyle name="Normal 7 3 8 5" xfId="16246" xr:uid="{00000000-0005-0000-0000-000012B50000}"/>
    <cellStyle name="Normal 7 3 9" xfId="6677" xr:uid="{00000000-0005-0000-0000-000013B50000}"/>
    <cellStyle name="Normal 7 3 9 2" xfId="38418" xr:uid="{00000000-0005-0000-0000-000014B50000}"/>
    <cellStyle name="Normal 7 3 9 2 2" xfId="54518" xr:uid="{00000000-0005-0000-0000-000015B50000}"/>
    <cellStyle name="Normal 7 3 9 3" xfId="44951" xr:uid="{00000000-0005-0000-0000-000016B50000}"/>
    <cellStyle name="Normal 7 3 9 4" xfId="28851" xr:uid="{00000000-0005-0000-0000-000017B50000}"/>
    <cellStyle name="Normal 7 3 9 5" xfId="19282" xr:uid="{00000000-0005-0000-0000-000018B50000}"/>
    <cellStyle name="Normal 7 4" xfId="78" xr:uid="{00000000-0005-0000-0000-000019B50000}"/>
    <cellStyle name="Normal 7 4 10" xfId="3198" xr:uid="{00000000-0005-0000-0000-00001AB50000}"/>
    <cellStyle name="Normal 7 4 10 2" xfId="51040" xr:uid="{00000000-0005-0000-0000-00001BB50000}"/>
    <cellStyle name="Normal 7 4 10 3" xfId="34940" xr:uid="{00000000-0005-0000-0000-00001CB50000}"/>
    <cellStyle name="Normal 7 4 10 4" xfId="15804" xr:uid="{00000000-0005-0000-0000-00001DB50000}"/>
    <cellStyle name="Normal 7 4 11" xfId="41473" xr:uid="{00000000-0005-0000-0000-00001EB50000}"/>
    <cellStyle name="Normal 7 4 12" xfId="25373" xr:uid="{00000000-0005-0000-0000-00001FB50000}"/>
    <cellStyle name="Normal 7 4 13" xfId="12768" xr:uid="{00000000-0005-0000-0000-000020B50000}"/>
    <cellStyle name="Normal 7 4 2" xfId="259" xr:uid="{00000000-0005-0000-0000-000021B50000}"/>
    <cellStyle name="Normal 7 4 2 10" xfId="25610" xr:uid="{00000000-0005-0000-0000-000022B50000}"/>
    <cellStyle name="Normal 7 4 2 11" xfId="13088" xr:uid="{00000000-0005-0000-0000-000023B50000}"/>
    <cellStyle name="Normal 7 4 2 2" xfId="1039" xr:uid="{00000000-0005-0000-0000-000024B50000}"/>
    <cellStyle name="Normal 7 4 2 2 2" xfId="3067" xr:uid="{00000000-0005-0000-0000-000025B50000}"/>
    <cellStyle name="Normal 7 4 2 2 2 2" xfId="9599" xr:uid="{00000000-0005-0000-0000-000026B50000}"/>
    <cellStyle name="Normal 7 4 2 2 2 2 2" xfId="41340" xr:uid="{00000000-0005-0000-0000-000027B50000}"/>
    <cellStyle name="Normal 7 4 2 2 2 2 2 2" xfId="57440" xr:uid="{00000000-0005-0000-0000-000028B50000}"/>
    <cellStyle name="Normal 7 4 2 2 2 2 3" xfId="47873" xr:uid="{00000000-0005-0000-0000-000029B50000}"/>
    <cellStyle name="Normal 7 4 2 2 2 2 4" xfId="31773" xr:uid="{00000000-0005-0000-0000-00002AB50000}"/>
    <cellStyle name="Normal 7 4 2 2 2 2 5" xfId="22204" xr:uid="{00000000-0005-0000-0000-00002BB50000}"/>
    <cellStyle name="Normal 7 4 2 2 2 3" xfId="12635" xr:uid="{00000000-0005-0000-0000-00002CB50000}"/>
    <cellStyle name="Normal 7 4 2 2 2 3 2" xfId="50909" xr:uid="{00000000-0005-0000-0000-00002DB50000}"/>
    <cellStyle name="Normal 7 4 2 2 2 3 3" xfId="34809" xr:uid="{00000000-0005-0000-0000-00002EB50000}"/>
    <cellStyle name="Normal 7 4 2 2 2 3 4" xfId="25240" xr:uid="{00000000-0005-0000-0000-00002FB50000}"/>
    <cellStyle name="Normal 7 4 2 2 2 4" xfId="6563" xr:uid="{00000000-0005-0000-0000-000030B50000}"/>
    <cellStyle name="Normal 7 4 2 2 2 4 2" xfId="54404" xr:uid="{00000000-0005-0000-0000-000031B50000}"/>
    <cellStyle name="Normal 7 4 2 2 2 4 3" xfId="38304" xr:uid="{00000000-0005-0000-0000-000032B50000}"/>
    <cellStyle name="Normal 7 4 2 2 2 4 4" xfId="19168" xr:uid="{00000000-0005-0000-0000-000033B50000}"/>
    <cellStyle name="Normal 7 4 2 2 2 5" xfId="44837" xr:uid="{00000000-0005-0000-0000-000034B50000}"/>
    <cellStyle name="Normal 7 4 2 2 2 6" xfId="28737" xr:uid="{00000000-0005-0000-0000-000035B50000}"/>
    <cellStyle name="Normal 7 4 2 2 2 7" xfId="15673" xr:uid="{00000000-0005-0000-0000-000036B50000}"/>
    <cellStyle name="Normal 7 4 2 2 3" xfId="2049" xr:uid="{00000000-0005-0000-0000-000037B50000}"/>
    <cellStyle name="Normal 7 4 2 2 3 2" xfId="8583" xr:uid="{00000000-0005-0000-0000-000038B50000}"/>
    <cellStyle name="Normal 7 4 2 2 3 2 2" xfId="40324" xr:uid="{00000000-0005-0000-0000-000039B50000}"/>
    <cellStyle name="Normal 7 4 2 2 3 2 2 2" xfId="56424" xr:uid="{00000000-0005-0000-0000-00003AB50000}"/>
    <cellStyle name="Normal 7 4 2 2 3 2 3" xfId="46857" xr:uid="{00000000-0005-0000-0000-00003BB50000}"/>
    <cellStyle name="Normal 7 4 2 2 3 2 4" xfId="30757" xr:uid="{00000000-0005-0000-0000-00003CB50000}"/>
    <cellStyle name="Normal 7 4 2 2 3 2 5" xfId="21188" xr:uid="{00000000-0005-0000-0000-00003DB50000}"/>
    <cellStyle name="Normal 7 4 2 2 3 3" xfId="11619" xr:uid="{00000000-0005-0000-0000-00003EB50000}"/>
    <cellStyle name="Normal 7 4 2 2 3 3 2" xfId="49893" xr:uid="{00000000-0005-0000-0000-00003FB50000}"/>
    <cellStyle name="Normal 7 4 2 2 3 3 3" xfId="33793" xr:uid="{00000000-0005-0000-0000-000040B50000}"/>
    <cellStyle name="Normal 7 4 2 2 3 3 4" xfId="24224" xr:uid="{00000000-0005-0000-0000-000041B50000}"/>
    <cellStyle name="Normal 7 4 2 2 3 4" xfId="5547" xr:uid="{00000000-0005-0000-0000-000042B50000}"/>
    <cellStyle name="Normal 7 4 2 2 3 4 2" xfId="53388" xr:uid="{00000000-0005-0000-0000-000043B50000}"/>
    <cellStyle name="Normal 7 4 2 2 3 4 3" xfId="37288" xr:uid="{00000000-0005-0000-0000-000044B50000}"/>
    <cellStyle name="Normal 7 4 2 2 3 4 4" xfId="18152" xr:uid="{00000000-0005-0000-0000-000045B50000}"/>
    <cellStyle name="Normal 7 4 2 2 3 5" xfId="43821" xr:uid="{00000000-0005-0000-0000-000046B50000}"/>
    <cellStyle name="Normal 7 4 2 2 3 6" xfId="27721" xr:uid="{00000000-0005-0000-0000-000047B50000}"/>
    <cellStyle name="Normal 7 4 2 2 3 7" xfId="14657" xr:uid="{00000000-0005-0000-0000-000048B50000}"/>
    <cellStyle name="Normal 7 4 2 2 4" xfId="7573" xr:uid="{00000000-0005-0000-0000-000049B50000}"/>
    <cellStyle name="Normal 7 4 2 2 4 2" xfId="39314" xr:uid="{00000000-0005-0000-0000-00004AB50000}"/>
    <cellStyle name="Normal 7 4 2 2 4 2 2" xfId="55414" xr:uid="{00000000-0005-0000-0000-00004BB50000}"/>
    <cellStyle name="Normal 7 4 2 2 4 3" xfId="45847" xr:uid="{00000000-0005-0000-0000-00004CB50000}"/>
    <cellStyle name="Normal 7 4 2 2 4 4" xfId="29747" xr:uid="{00000000-0005-0000-0000-00004DB50000}"/>
    <cellStyle name="Normal 7 4 2 2 4 5" xfId="20178" xr:uid="{00000000-0005-0000-0000-00004EB50000}"/>
    <cellStyle name="Normal 7 4 2 2 5" xfId="10609" xr:uid="{00000000-0005-0000-0000-00004FB50000}"/>
    <cellStyle name="Normal 7 4 2 2 5 2" xfId="48883" xr:uid="{00000000-0005-0000-0000-000050B50000}"/>
    <cellStyle name="Normal 7 4 2 2 5 3" xfId="32783" xr:uid="{00000000-0005-0000-0000-000051B50000}"/>
    <cellStyle name="Normal 7 4 2 2 5 4" xfId="23214" xr:uid="{00000000-0005-0000-0000-000052B50000}"/>
    <cellStyle name="Normal 7 4 2 2 6" xfId="4537" xr:uid="{00000000-0005-0000-0000-000053B50000}"/>
    <cellStyle name="Normal 7 4 2 2 6 2" xfId="52378" xr:uid="{00000000-0005-0000-0000-000054B50000}"/>
    <cellStyle name="Normal 7 4 2 2 6 3" xfId="36278" xr:uid="{00000000-0005-0000-0000-000055B50000}"/>
    <cellStyle name="Normal 7 4 2 2 6 4" xfId="17142" xr:uid="{00000000-0005-0000-0000-000056B50000}"/>
    <cellStyle name="Normal 7 4 2 2 7" xfId="42811" xr:uid="{00000000-0005-0000-0000-000057B50000}"/>
    <cellStyle name="Normal 7 4 2 2 8" xfId="26711" xr:uid="{00000000-0005-0000-0000-000058B50000}"/>
    <cellStyle name="Normal 7 4 2 2 9" xfId="13647" xr:uid="{00000000-0005-0000-0000-000059B50000}"/>
    <cellStyle name="Normal 7 4 2 3" xfId="2278" xr:uid="{00000000-0005-0000-0000-00005AB50000}"/>
    <cellStyle name="Normal 7 4 2 3 2" xfId="8812" xr:uid="{00000000-0005-0000-0000-00005BB50000}"/>
    <cellStyle name="Normal 7 4 2 3 2 2" xfId="40553" xr:uid="{00000000-0005-0000-0000-00005CB50000}"/>
    <cellStyle name="Normal 7 4 2 3 2 2 2" xfId="56653" xr:uid="{00000000-0005-0000-0000-00005DB50000}"/>
    <cellStyle name="Normal 7 4 2 3 2 3" xfId="47086" xr:uid="{00000000-0005-0000-0000-00005EB50000}"/>
    <cellStyle name="Normal 7 4 2 3 2 4" xfId="30986" xr:uid="{00000000-0005-0000-0000-00005FB50000}"/>
    <cellStyle name="Normal 7 4 2 3 2 5" xfId="21417" xr:uid="{00000000-0005-0000-0000-000060B50000}"/>
    <cellStyle name="Normal 7 4 2 3 3" xfId="11848" xr:uid="{00000000-0005-0000-0000-000061B50000}"/>
    <cellStyle name="Normal 7 4 2 3 3 2" xfId="50122" xr:uid="{00000000-0005-0000-0000-000062B50000}"/>
    <cellStyle name="Normal 7 4 2 3 3 3" xfId="34022" xr:uid="{00000000-0005-0000-0000-000063B50000}"/>
    <cellStyle name="Normal 7 4 2 3 3 4" xfId="24453" xr:uid="{00000000-0005-0000-0000-000064B50000}"/>
    <cellStyle name="Normal 7 4 2 3 4" xfId="5776" xr:uid="{00000000-0005-0000-0000-000065B50000}"/>
    <cellStyle name="Normal 7 4 2 3 4 2" xfId="53617" xr:uid="{00000000-0005-0000-0000-000066B50000}"/>
    <cellStyle name="Normal 7 4 2 3 4 3" xfId="37517" xr:uid="{00000000-0005-0000-0000-000067B50000}"/>
    <cellStyle name="Normal 7 4 2 3 4 4" xfId="18381" xr:uid="{00000000-0005-0000-0000-000068B50000}"/>
    <cellStyle name="Normal 7 4 2 3 5" xfId="44050" xr:uid="{00000000-0005-0000-0000-000069B50000}"/>
    <cellStyle name="Normal 7 4 2 3 6" xfId="27950" xr:uid="{00000000-0005-0000-0000-00006AB50000}"/>
    <cellStyle name="Normal 7 4 2 3 7" xfId="14886" xr:uid="{00000000-0005-0000-0000-00006BB50000}"/>
    <cellStyle name="Normal 7 4 2 4" xfId="1490" xr:uid="{00000000-0005-0000-0000-00006CB50000}"/>
    <cellStyle name="Normal 7 4 2 4 2" xfId="8024" xr:uid="{00000000-0005-0000-0000-00006DB50000}"/>
    <cellStyle name="Normal 7 4 2 4 2 2" xfId="39765" xr:uid="{00000000-0005-0000-0000-00006EB50000}"/>
    <cellStyle name="Normal 7 4 2 4 2 2 2" xfId="55865" xr:uid="{00000000-0005-0000-0000-00006FB50000}"/>
    <cellStyle name="Normal 7 4 2 4 2 3" xfId="46298" xr:uid="{00000000-0005-0000-0000-000070B50000}"/>
    <cellStyle name="Normal 7 4 2 4 2 4" xfId="30198" xr:uid="{00000000-0005-0000-0000-000071B50000}"/>
    <cellStyle name="Normal 7 4 2 4 2 5" xfId="20629" xr:uid="{00000000-0005-0000-0000-000072B50000}"/>
    <cellStyle name="Normal 7 4 2 4 3" xfId="11060" xr:uid="{00000000-0005-0000-0000-000073B50000}"/>
    <cellStyle name="Normal 7 4 2 4 3 2" xfId="49334" xr:uid="{00000000-0005-0000-0000-000074B50000}"/>
    <cellStyle name="Normal 7 4 2 4 3 3" xfId="33234" xr:uid="{00000000-0005-0000-0000-000075B50000}"/>
    <cellStyle name="Normal 7 4 2 4 3 4" xfId="23665" xr:uid="{00000000-0005-0000-0000-000076B50000}"/>
    <cellStyle name="Normal 7 4 2 4 4" xfId="4988" xr:uid="{00000000-0005-0000-0000-000077B50000}"/>
    <cellStyle name="Normal 7 4 2 4 4 2" xfId="52829" xr:uid="{00000000-0005-0000-0000-000078B50000}"/>
    <cellStyle name="Normal 7 4 2 4 4 3" xfId="36729" xr:uid="{00000000-0005-0000-0000-000079B50000}"/>
    <cellStyle name="Normal 7 4 2 4 4 4" xfId="17593" xr:uid="{00000000-0005-0000-0000-00007AB50000}"/>
    <cellStyle name="Normal 7 4 2 4 5" xfId="43262" xr:uid="{00000000-0005-0000-0000-00007BB50000}"/>
    <cellStyle name="Normal 7 4 2 4 6" xfId="27162" xr:uid="{00000000-0005-0000-0000-00007CB50000}"/>
    <cellStyle name="Normal 7 4 2 4 7" xfId="14098" xr:uid="{00000000-0005-0000-0000-00007DB50000}"/>
    <cellStyle name="Normal 7 4 2 5" xfId="3978" xr:uid="{00000000-0005-0000-0000-00007EB50000}"/>
    <cellStyle name="Normal 7 4 2 5 2" xfId="35719" xr:uid="{00000000-0005-0000-0000-00007FB50000}"/>
    <cellStyle name="Normal 7 4 2 5 2 2" xfId="51819" xr:uid="{00000000-0005-0000-0000-000080B50000}"/>
    <cellStyle name="Normal 7 4 2 5 3" xfId="42252" xr:uid="{00000000-0005-0000-0000-000081B50000}"/>
    <cellStyle name="Normal 7 4 2 5 4" xfId="26152" xr:uid="{00000000-0005-0000-0000-000082B50000}"/>
    <cellStyle name="Normal 7 4 2 5 5" xfId="16583" xr:uid="{00000000-0005-0000-0000-000083B50000}"/>
    <cellStyle name="Normal 7 4 2 6" xfId="7014" xr:uid="{00000000-0005-0000-0000-000084B50000}"/>
    <cellStyle name="Normal 7 4 2 6 2" xfId="38755" xr:uid="{00000000-0005-0000-0000-000085B50000}"/>
    <cellStyle name="Normal 7 4 2 6 2 2" xfId="54855" xr:uid="{00000000-0005-0000-0000-000086B50000}"/>
    <cellStyle name="Normal 7 4 2 6 3" xfId="45288" xr:uid="{00000000-0005-0000-0000-000087B50000}"/>
    <cellStyle name="Normal 7 4 2 6 4" xfId="29188" xr:uid="{00000000-0005-0000-0000-000088B50000}"/>
    <cellStyle name="Normal 7 4 2 6 5" xfId="19619" xr:uid="{00000000-0005-0000-0000-000089B50000}"/>
    <cellStyle name="Normal 7 4 2 7" xfId="10050" xr:uid="{00000000-0005-0000-0000-00008AB50000}"/>
    <cellStyle name="Normal 7 4 2 7 2" xfId="48324" xr:uid="{00000000-0005-0000-0000-00008BB50000}"/>
    <cellStyle name="Normal 7 4 2 7 3" xfId="32224" xr:uid="{00000000-0005-0000-0000-00008CB50000}"/>
    <cellStyle name="Normal 7 4 2 7 4" xfId="22655" xr:uid="{00000000-0005-0000-0000-00008DB50000}"/>
    <cellStyle name="Normal 7 4 2 8" xfId="3436" xr:uid="{00000000-0005-0000-0000-00008EB50000}"/>
    <cellStyle name="Normal 7 4 2 8 2" xfId="51277" xr:uid="{00000000-0005-0000-0000-00008FB50000}"/>
    <cellStyle name="Normal 7 4 2 8 3" xfId="35177" xr:uid="{00000000-0005-0000-0000-000090B50000}"/>
    <cellStyle name="Normal 7 4 2 8 4" xfId="16041" xr:uid="{00000000-0005-0000-0000-000091B50000}"/>
    <cellStyle name="Normal 7 4 2 9" xfId="41710" xr:uid="{00000000-0005-0000-0000-000092B50000}"/>
    <cellStyle name="Normal 7 4 3" xfId="534" xr:uid="{00000000-0005-0000-0000-000093B50000}"/>
    <cellStyle name="Normal 7 4 3 2" xfId="2564" xr:uid="{00000000-0005-0000-0000-000094B50000}"/>
    <cellStyle name="Normal 7 4 3 2 2" xfId="9096" xr:uid="{00000000-0005-0000-0000-000095B50000}"/>
    <cellStyle name="Normal 7 4 3 2 2 2" xfId="40837" xr:uid="{00000000-0005-0000-0000-000096B50000}"/>
    <cellStyle name="Normal 7 4 3 2 2 2 2" xfId="56937" xr:uid="{00000000-0005-0000-0000-000097B50000}"/>
    <cellStyle name="Normal 7 4 3 2 2 3" xfId="47370" xr:uid="{00000000-0005-0000-0000-000098B50000}"/>
    <cellStyle name="Normal 7 4 3 2 2 4" xfId="31270" xr:uid="{00000000-0005-0000-0000-000099B50000}"/>
    <cellStyle name="Normal 7 4 3 2 2 5" xfId="21701" xr:uid="{00000000-0005-0000-0000-00009AB50000}"/>
    <cellStyle name="Normal 7 4 3 2 3" xfId="12132" xr:uid="{00000000-0005-0000-0000-00009BB50000}"/>
    <cellStyle name="Normal 7 4 3 2 3 2" xfId="50406" xr:uid="{00000000-0005-0000-0000-00009CB50000}"/>
    <cellStyle name="Normal 7 4 3 2 3 3" xfId="34306" xr:uid="{00000000-0005-0000-0000-00009DB50000}"/>
    <cellStyle name="Normal 7 4 3 2 3 4" xfId="24737" xr:uid="{00000000-0005-0000-0000-00009EB50000}"/>
    <cellStyle name="Normal 7 4 3 2 4" xfId="6060" xr:uid="{00000000-0005-0000-0000-00009FB50000}"/>
    <cellStyle name="Normal 7 4 3 2 4 2" xfId="53901" xr:uid="{00000000-0005-0000-0000-0000A0B50000}"/>
    <cellStyle name="Normal 7 4 3 2 4 3" xfId="37801" xr:uid="{00000000-0005-0000-0000-0000A1B50000}"/>
    <cellStyle name="Normal 7 4 3 2 4 4" xfId="18665" xr:uid="{00000000-0005-0000-0000-0000A2B50000}"/>
    <cellStyle name="Normal 7 4 3 2 5" xfId="44334" xr:uid="{00000000-0005-0000-0000-0000A3B50000}"/>
    <cellStyle name="Normal 7 4 3 2 6" xfId="28234" xr:uid="{00000000-0005-0000-0000-0000A4B50000}"/>
    <cellStyle name="Normal 7 4 3 2 7" xfId="15170" xr:uid="{00000000-0005-0000-0000-0000A5B50000}"/>
    <cellStyle name="Normal 7 4 3 3" xfId="1313" xr:uid="{00000000-0005-0000-0000-0000A6B50000}"/>
    <cellStyle name="Normal 7 4 3 3 2" xfId="7847" xr:uid="{00000000-0005-0000-0000-0000A7B50000}"/>
    <cellStyle name="Normal 7 4 3 3 2 2" xfId="39588" xr:uid="{00000000-0005-0000-0000-0000A8B50000}"/>
    <cellStyle name="Normal 7 4 3 3 2 2 2" xfId="55688" xr:uid="{00000000-0005-0000-0000-0000A9B50000}"/>
    <cellStyle name="Normal 7 4 3 3 2 3" xfId="46121" xr:uid="{00000000-0005-0000-0000-0000AAB50000}"/>
    <cellStyle name="Normal 7 4 3 3 2 4" xfId="30021" xr:uid="{00000000-0005-0000-0000-0000ABB50000}"/>
    <cellStyle name="Normal 7 4 3 3 2 5" xfId="20452" xr:uid="{00000000-0005-0000-0000-0000ACB50000}"/>
    <cellStyle name="Normal 7 4 3 3 3" xfId="10883" xr:uid="{00000000-0005-0000-0000-0000ADB50000}"/>
    <cellStyle name="Normal 7 4 3 3 3 2" xfId="49157" xr:uid="{00000000-0005-0000-0000-0000AEB50000}"/>
    <cellStyle name="Normal 7 4 3 3 3 3" xfId="33057" xr:uid="{00000000-0005-0000-0000-0000AFB50000}"/>
    <cellStyle name="Normal 7 4 3 3 3 4" xfId="23488" xr:uid="{00000000-0005-0000-0000-0000B0B50000}"/>
    <cellStyle name="Normal 7 4 3 3 4" xfId="4811" xr:uid="{00000000-0005-0000-0000-0000B1B50000}"/>
    <cellStyle name="Normal 7 4 3 3 4 2" xfId="52652" xr:uid="{00000000-0005-0000-0000-0000B2B50000}"/>
    <cellStyle name="Normal 7 4 3 3 4 3" xfId="36552" xr:uid="{00000000-0005-0000-0000-0000B3B50000}"/>
    <cellStyle name="Normal 7 4 3 3 4 4" xfId="17416" xr:uid="{00000000-0005-0000-0000-0000B4B50000}"/>
    <cellStyle name="Normal 7 4 3 3 5" xfId="43085" xr:uid="{00000000-0005-0000-0000-0000B5B50000}"/>
    <cellStyle name="Normal 7 4 3 3 6" xfId="26985" xr:uid="{00000000-0005-0000-0000-0000B6B50000}"/>
    <cellStyle name="Normal 7 4 3 3 7" xfId="13921" xr:uid="{00000000-0005-0000-0000-0000B7B50000}"/>
    <cellStyle name="Normal 7 4 3 4" xfId="6837" xr:uid="{00000000-0005-0000-0000-0000B8B50000}"/>
    <cellStyle name="Normal 7 4 3 4 2" xfId="38578" xr:uid="{00000000-0005-0000-0000-0000B9B50000}"/>
    <cellStyle name="Normal 7 4 3 4 2 2" xfId="54678" xr:uid="{00000000-0005-0000-0000-0000BAB50000}"/>
    <cellStyle name="Normal 7 4 3 4 3" xfId="45111" xr:uid="{00000000-0005-0000-0000-0000BBB50000}"/>
    <cellStyle name="Normal 7 4 3 4 4" xfId="29011" xr:uid="{00000000-0005-0000-0000-0000BCB50000}"/>
    <cellStyle name="Normal 7 4 3 4 5" xfId="19442" xr:uid="{00000000-0005-0000-0000-0000BDB50000}"/>
    <cellStyle name="Normal 7 4 3 5" xfId="9873" xr:uid="{00000000-0005-0000-0000-0000BEB50000}"/>
    <cellStyle name="Normal 7 4 3 5 2" xfId="48147" xr:uid="{00000000-0005-0000-0000-0000BFB50000}"/>
    <cellStyle name="Normal 7 4 3 5 3" xfId="32047" xr:uid="{00000000-0005-0000-0000-0000C0B50000}"/>
    <cellStyle name="Normal 7 4 3 5 4" xfId="22478" xr:uid="{00000000-0005-0000-0000-0000C1B50000}"/>
    <cellStyle name="Normal 7 4 3 6" xfId="3801" xr:uid="{00000000-0005-0000-0000-0000C2B50000}"/>
    <cellStyle name="Normal 7 4 3 6 2" xfId="51642" xr:uid="{00000000-0005-0000-0000-0000C3B50000}"/>
    <cellStyle name="Normal 7 4 3 6 3" xfId="35542" xr:uid="{00000000-0005-0000-0000-0000C4B50000}"/>
    <cellStyle name="Normal 7 4 3 6 4" xfId="16406" xr:uid="{00000000-0005-0000-0000-0000C5B50000}"/>
    <cellStyle name="Normal 7 4 3 7" xfId="42075" xr:uid="{00000000-0005-0000-0000-0000C6B50000}"/>
    <cellStyle name="Normal 7 4 3 8" xfId="25975" xr:uid="{00000000-0005-0000-0000-0000C7B50000}"/>
    <cellStyle name="Normal 7 4 3 9" xfId="12911" xr:uid="{00000000-0005-0000-0000-0000C8B50000}"/>
    <cellStyle name="Normal 7 4 4" xfId="843" xr:uid="{00000000-0005-0000-0000-0000C9B50000}"/>
    <cellStyle name="Normal 7 4 4 2" xfId="2871" xr:uid="{00000000-0005-0000-0000-0000CAB50000}"/>
    <cellStyle name="Normal 7 4 4 2 2" xfId="9403" xr:uid="{00000000-0005-0000-0000-0000CBB50000}"/>
    <cellStyle name="Normal 7 4 4 2 2 2" xfId="41144" xr:uid="{00000000-0005-0000-0000-0000CCB50000}"/>
    <cellStyle name="Normal 7 4 4 2 2 2 2" xfId="57244" xr:uid="{00000000-0005-0000-0000-0000CDB50000}"/>
    <cellStyle name="Normal 7 4 4 2 2 3" xfId="47677" xr:uid="{00000000-0005-0000-0000-0000CEB50000}"/>
    <cellStyle name="Normal 7 4 4 2 2 4" xfId="31577" xr:uid="{00000000-0005-0000-0000-0000CFB50000}"/>
    <cellStyle name="Normal 7 4 4 2 2 5" xfId="22008" xr:uid="{00000000-0005-0000-0000-0000D0B50000}"/>
    <cellStyle name="Normal 7 4 4 2 3" xfId="12439" xr:uid="{00000000-0005-0000-0000-0000D1B50000}"/>
    <cellStyle name="Normal 7 4 4 2 3 2" xfId="50713" xr:uid="{00000000-0005-0000-0000-0000D2B50000}"/>
    <cellStyle name="Normal 7 4 4 2 3 3" xfId="34613" xr:uid="{00000000-0005-0000-0000-0000D3B50000}"/>
    <cellStyle name="Normal 7 4 4 2 3 4" xfId="25044" xr:uid="{00000000-0005-0000-0000-0000D4B50000}"/>
    <cellStyle name="Normal 7 4 4 2 4" xfId="6367" xr:uid="{00000000-0005-0000-0000-0000D5B50000}"/>
    <cellStyle name="Normal 7 4 4 2 4 2" xfId="54208" xr:uid="{00000000-0005-0000-0000-0000D6B50000}"/>
    <cellStyle name="Normal 7 4 4 2 4 3" xfId="38108" xr:uid="{00000000-0005-0000-0000-0000D7B50000}"/>
    <cellStyle name="Normal 7 4 4 2 4 4" xfId="18972" xr:uid="{00000000-0005-0000-0000-0000D8B50000}"/>
    <cellStyle name="Normal 7 4 4 2 5" xfId="44641" xr:uid="{00000000-0005-0000-0000-0000D9B50000}"/>
    <cellStyle name="Normal 7 4 4 2 6" xfId="28541" xr:uid="{00000000-0005-0000-0000-0000DAB50000}"/>
    <cellStyle name="Normal 7 4 4 2 7" xfId="15477" xr:uid="{00000000-0005-0000-0000-0000DBB50000}"/>
    <cellStyle name="Normal 7 4 4 3" xfId="1853" xr:uid="{00000000-0005-0000-0000-0000DCB50000}"/>
    <cellStyle name="Normal 7 4 4 3 2" xfId="8387" xr:uid="{00000000-0005-0000-0000-0000DDB50000}"/>
    <cellStyle name="Normal 7 4 4 3 2 2" xfId="40128" xr:uid="{00000000-0005-0000-0000-0000DEB50000}"/>
    <cellStyle name="Normal 7 4 4 3 2 2 2" xfId="56228" xr:uid="{00000000-0005-0000-0000-0000DFB50000}"/>
    <cellStyle name="Normal 7 4 4 3 2 3" xfId="46661" xr:uid="{00000000-0005-0000-0000-0000E0B50000}"/>
    <cellStyle name="Normal 7 4 4 3 2 4" xfId="30561" xr:uid="{00000000-0005-0000-0000-0000E1B50000}"/>
    <cellStyle name="Normal 7 4 4 3 2 5" xfId="20992" xr:uid="{00000000-0005-0000-0000-0000E2B50000}"/>
    <cellStyle name="Normal 7 4 4 3 3" xfId="11423" xr:uid="{00000000-0005-0000-0000-0000E3B50000}"/>
    <cellStyle name="Normal 7 4 4 3 3 2" xfId="49697" xr:uid="{00000000-0005-0000-0000-0000E4B50000}"/>
    <cellStyle name="Normal 7 4 4 3 3 3" xfId="33597" xr:uid="{00000000-0005-0000-0000-0000E5B50000}"/>
    <cellStyle name="Normal 7 4 4 3 3 4" xfId="24028" xr:uid="{00000000-0005-0000-0000-0000E6B50000}"/>
    <cellStyle name="Normal 7 4 4 3 4" xfId="5351" xr:uid="{00000000-0005-0000-0000-0000E7B50000}"/>
    <cellStyle name="Normal 7 4 4 3 4 2" xfId="53192" xr:uid="{00000000-0005-0000-0000-0000E8B50000}"/>
    <cellStyle name="Normal 7 4 4 3 4 3" xfId="37092" xr:uid="{00000000-0005-0000-0000-0000E9B50000}"/>
    <cellStyle name="Normal 7 4 4 3 4 4" xfId="17956" xr:uid="{00000000-0005-0000-0000-0000EAB50000}"/>
    <cellStyle name="Normal 7 4 4 3 5" xfId="43625" xr:uid="{00000000-0005-0000-0000-0000EBB50000}"/>
    <cellStyle name="Normal 7 4 4 3 6" xfId="27525" xr:uid="{00000000-0005-0000-0000-0000ECB50000}"/>
    <cellStyle name="Normal 7 4 4 3 7" xfId="14461" xr:uid="{00000000-0005-0000-0000-0000EDB50000}"/>
    <cellStyle name="Normal 7 4 4 4" xfId="7377" xr:uid="{00000000-0005-0000-0000-0000EEB50000}"/>
    <cellStyle name="Normal 7 4 4 4 2" xfId="39118" xr:uid="{00000000-0005-0000-0000-0000EFB50000}"/>
    <cellStyle name="Normal 7 4 4 4 2 2" xfId="55218" xr:uid="{00000000-0005-0000-0000-0000F0B50000}"/>
    <cellStyle name="Normal 7 4 4 4 3" xfId="45651" xr:uid="{00000000-0005-0000-0000-0000F1B50000}"/>
    <cellStyle name="Normal 7 4 4 4 4" xfId="29551" xr:uid="{00000000-0005-0000-0000-0000F2B50000}"/>
    <cellStyle name="Normal 7 4 4 4 5" xfId="19982" xr:uid="{00000000-0005-0000-0000-0000F3B50000}"/>
    <cellStyle name="Normal 7 4 4 5" xfId="10413" xr:uid="{00000000-0005-0000-0000-0000F4B50000}"/>
    <cellStyle name="Normal 7 4 4 5 2" xfId="48687" xr:uid="{00000000-0005-0000-0000-0000F5B50000}"/>
    <cellStyle name="Normal 7 4 4 5 3" xfId="32587" xr:uid="{00000000-0005-0000-0000-0000F6B50000}"/>
    <cellStyle name="Normal 7 4 4 5 4" xfId="23018" xr:uid="{00000000-0005-0000-0000-0000F7B50000}"/>
    <cellStyle name="Normal 7 4 4 6" xfId="4341" xr:uid="{00000000-0005-0000-0000-0000F8B50000}"/>
    <cellStyle name="Normal 7 4 4 6 2" xfId="52182" xr:uid="{00000000-0005-0000-0000-0000F9B50000}"/>
    <cellStyle name="Normal 7 4 4 6 3" xfId="36082" xr:uid="{00000000-0005-0000-0000-0000FAB50000}"/>
    <cellStyle name="Normal 7 4 4 6 4" xfId="16946" xr:uid="{00000000-0005-0000-0000-0000FBB50000}"/>
    <cellStyle name="Normal 7 4 4 7" xfId="42615" xr:uid="{00000000-0005-0000-0000-0000FCB50000}"/>
    <cellStyle name="Normal 7 4 4 8" xfId="26515" xr:uid="{00000000-0005-0000-0000-0000FDB50000}"/>
    <cellStyle name="Normal 7 4 4 9" xfId="13451" xr:uid="{00000000-0005-0000-0000-0000FEB50000}"/>
    <cellStyle name="Normal 7 4 5" xfId="2101" xr:uid="{00000000-0005-0000-0000-0000FFB50000}"/>
    <cellStyle name="Normal 7 4 5 2" xfId="8635" xr:uid="{00000000-0005-0000-0000-000000B60000}"/>
    <cellStyle name="Normal 7 4 5 2 2" xfId="40376" xr:uid="{00000000-0005-0000-0000-000001B60000}"/>
    <cellStyle name="Normal 7 4 5 2 2 2" xfId="56476" xr:uid="{00000000-0005-0000-0000-000002B60000}"/>
    <cellStyle name="Normal 7 4 5 2 3" xfId="46909" xr:uid="{00000000-0005-0000-0000-000003B60000}"/>
    <cellStyle name="Normal 7 4 5 2 4" xfId="30809" xr:uid="{00000000-0005-0000-0000-000004B60000}"/>
    <cellStyle name="Normal 7 4 5 2 5" xfId="21240" xr:uid="{00000000-0005-0000-0000-000005B60000}"/>
    <cellStyle name="Normal 7 4 5 3" xfId="11671" xr:uid="{00000000-0005-0000-0000-000006B60000}"/>
    <cellStyle name="Normal 7 4 5 3 2" xfId="49945" xr:uid="{00000000-0005-0000-0000-000007B60000}"/>
    <cellStyle name="Normal 7 4 5 3 3" xfId="33845" xr:uid="{00000000-0005-0000-0000-000008B60000}"/>
    <cellStyle name="Normal 7 4 5 3 4" xfId="24276" xr:uid="{00000000-0005-0000-0000-000009B60000}"/>
    <cellStyle name="Normal 7 4 5 4" xfId="5599" xr:uid="{00000000-0005-0000-0000-00000AB60000}"/>
    <cellStyle name="Normal 7 4 5 4 2" xfId="53440" xr:uid="{00000000-0005-0000-0000-00000BB60000}"/>
    <cellStyle name="Normal 7 4 5 4 3" xfId="37340" xr:uid="{00000000-0005-0000-0000-00000CB60000}"/>
    <cellStyle name="Normal 7 4 5 4 4" xfId="18204" xr:uid="{00000000-0005-0000-0000-00000DB60000}"/>
    <cellStyle name="Normal 7 4 5 5" xfId="43873" xr:uid="{00000000-0005-0000-0000-00000EB60000}"/>
    <cellStyle name="Normal 7 4 5 6" xfId="27773" xr:uid="{00000000-0005-0000-0000-00000FB60000}"/>
    <cellStyle name="Normal 7 4 5 7" xfId="14709" xr:uid="{00000000-0005-0000-0000-000010B60000}"/>
    <cellStyle name="Normal 7 4 6" xfId="1170" xr:uid="{00000000-0005-0000-0000-000011B60000}"/>
    <cellStyle name="Normal 7 4 6 2" xfId="7704" xr:uid="{00000000-0005-0000-0000-000012B60000}"/>
    <cellStyle name="Normal 7 4 6 2 2" xfId="39445" xr:uid="{00000000-0005-0000-0000-000013B60000}"/>
    <cellStyle name="Normal 7 4 6 2 2 2" xfId="55545" xr:uid="{00000000-0005-0000-0000-000014B60000}"/>
    <cellStyle name="Normal 7 4 6 2 3" xfId="45978" xr:uid="{00000000-0005-0000-0000-000015B60000}"/>
    <cellStyle name="Normal 7 4 6 2 4" xfId="29878" xr:uid="{00000000-0005-0000-0000-000016B60000}"/>
    <cellStyle name="Normal 7 4 6 2 5" xfId="20309" xr:uid="{00000000-0005-0000-0000-000017B60000}"/>
    <cellStyle name="Normal 7 4 6 3" xfId="10740" xr:uid="{00000000-0005-0000-0000-000018B60000}"/>
    <cellStyle name="Normal 7 4 6 3 2" xfId="49014" xr:uid="{00000000-0005-0000-0000-000019B60000}"/>
    <cellStyle name="Normal 7 4 6 3 3" xfId="32914" xr:uid="{00000000-0005-0000-0000-00001AB60000}"/>
    <cellStyle name="Normal 7 4 6 3 4" xfId="23345" xr:uid="{00000000-0005-0000-0000-00001BB60000}"/>
    <cellStyle name="Normal 7 4 6 4" xfId="4668" xr:uid="{00000000-0005-0000-0000-00001CB60000}"/>
    <cellStyle name="Normal 7 4 6 4 2" xfId="52509" xr:uid="{00000000-0005-0000-0000-00001DB60000}"/>
    <cellStyle name="Normal 7 4 6 4 3" xfId="36409" xr:uid="{00000000-0005-0000-0000-00001EB60000}"/>
    <cellStyle name="Normal 7 4 6 4 4" xfId="17273" xr:uid="{00000000-0005-0000-0000-00001FB60000}"/>
    <cellStyle name="Normal 7 4 6 5" xfId="42942" xr:uid="{00000000-0005-0000-0000-000020B60000}"/>
    <cellStyle name="Normal 7 4 6 6" xfId="26842" xr:uid="{00000000-0005-0000-0000-000021B60000}"/>
    <cellStyle name="Normal 7 4 6 7" xfId="13778" xr:uid="{00000000-0005-0000-0000-000022B60000}"/>
    <cellStyle name="Normal 7 4 7" xfId="3658" xr:uid="{00000000-0005-0000-0000-000023B60000}"/>
    <cellStyle name="Normal 7 4 7 2" xfId="35399" xr:uid="{00000000-0005-0000-0000-000024B60000}"/>
    <cellStyle name="Normal 7 4 7 2 2" xfId="51499" xr:uid="{00000000-0005-0000-0000-000025B60000}"/>
    <cellStyle name="Normal 7 4 7 3" xfId="41932" xr:uid="{00000000-0005-0000-0000-000026B60000}"/>
    <cellStyle name="Normal 7 4 7 4" xfId="25832" xr:uid="{00000000-0005-0000-0000-000027B60000}"/>
    <cellStyle name="Normal 7 4 7 5" xfId="16263" xr:uid="{00000000-0005-0000-0000-000028B60000}"/>
    <cellStyle name="Normal 7 4 8" xfId="6694" xr:uid="{00000000-0005-0000-0000-000029B60000}"/>
    <cellStyle name="Normal 7 4 8 2" xfId="38435" xr:uid="{00000000-0005-0000-0000-00002AB60000}"/>
    <cellStyle name="Normal 7 4 8 2 2" xfId="54535" xr:uid="{00000000-0005-0000-0000-00002BB60000}"/>
    <cellStyle name="Normal 7 4 8 3" xfId="44968" xr:uid="{00000000-0005-0000-0000-00002CB60000}"/>
    <cellStyle name="Normal 7 4 8 4" xfId="28868" xr:uid="{00000000-0005-0000-0000-00002DB60000}"/>
    <cellStyle name="Normal 7 4 8 5" xfId="19299" xr:uid="{00000000-0005-0000-0000-00002EB60000}"/>
    <cellStyle name="Normal 7 4 9" xfId="9730" xr:uid="{00000000-0005-0000-0000-00002FB60000}"/>
    <cellStyle name="Normal 7 4 9 2" xfId="48004" xr:uid="{00000000-0005-0000-0000-000030B60000}"/>
    <cellStyle name="Normal 7 4 9 3" xfId="31904" xr:uid="{00000000-0005-0000-0000-000031B60000}"/>
    <cellStyle name="Normal 7 4 9 4" xfId="22335" xr:uid="{00000000-0005-0000-0000-000032B60000}"/>
    <cellStyle name="Normal 7 5" xfId="153" xr:uid="{00000000-0005-0000-0000-000033B60000}"/>
    <cellStyle name="Normal 7 5 10" xfId="3215" xr:uid="{00000000-0005-0000-0000-000034B60000}"/>
    <cellStyle name="Normal 7 5 10 2" xfId="51057" xr:uid="{00000000-0005-0000-0000-000035B60000}"/>
    <cellStyle name="Normal 7 5 10 3" xfId="34957" xr:uid="{00000000-0005-0000-0000-000036B60000}"/>
    <cellStyle name="Normal 7 5 10 4" xfId="15821" xr:uid="{00000000-0005-0000-0000-000037B60000}"/>
    <cellStyle name="Normal 7 5 11" xfId="41490" xr:uid="{00000000-0005-0000-0000-000038B60000}"/>
    <cellStyle name="Normal 7 5 12" xfId="25390" xr:uid="{00000000-0005-0000-0000-000039B60000}"/>
    <cellStyle name="Normal 7 5 13" xfId="12785" xr:uid="{00000000-0005-0000-0000-00003AB60000}"/>
    <cellStyle name="Normal 7 5 2" xfId="330" xr:uid="{00000000-0005-0000-0000-00003BB60000}"/>
    <cellStyle name="Normal 7 5 2 10" xfId="13159" xr:uid="{00000000-0005-0000-0000-00003CB60000}"/>
    <cellStyle name="Normal 7 5 2 2" xfId="2349" xr:uid="{00000000-0005-0000-0000-00003DB60000}"/>
    <cellStyle name="Normal 7 5 2 2 2" xfId="8883" xr:uid="{00000000-0005-0000-0000-00003EB60000}"/>
    <cellStyle name="Normal 7 5 2 2 2 2" xfId="40624" xr:uid="{00000000-0005-0000-0000-00003FB60000}"/>
    <cellStyle name="Normal 7 5 2 2 2 2 2" xfId="56724" xr:uid="{00000000-0005-0000-0000-000040B60000}"/>
    <cellStyle name="Normal 7 5 2 2 2 3" xfId="47157" xr:uid="{00000000-0005-0000-0000-000041B60000}"/>
    <cellStyle name="Normal 7 5 2 2 2 4" xfId="31057" xr:uid="{00000000-0005-0000-0000-000042B60000}"/>
    <cellStyle name="Normal 7 5 2 2 2 5" xfId="21488" xr:uid="{00000000-0005-0000-0000-000043B60000}"/>
    <cellStyle name="Normal 7 5 2 2 3" xfId="11919" xr:uid="{00000000-0005-0000-0000-000044B60000}"/>
    <cellStyle name="Normal 7 5 2 2 3 2" xfId="50193" xr:uid="{00000000-0005-0000-0000-000045B60000}"/>
    <cellStyle name="Normal 7 5 2 2 3 3" xfId="34093" xr:uid="{00000000-0005-0000-0000-000046B60000}"/>
    <cellStyle name="Normal 7 5 2 2 3 4" xfId="24524" xr:uid="{00000000-0005-0000-0000-000047B60000}"/>
    <cellStyle name="Normal 7 5 2 2 4" xfId="5847" xr:uid="{00000000-0005-0000-0000-000048B60000}"/>
    <cellStyle name="Normal 7 5 2 2 4 2" xfId="53688" xr:uid="{00000000-0005-0000-0000-000049B60000}"/>
    <cellStyle name="Normal 7 5 2 2 4 3" xfId="37588" xr:uid="{00000000-0005-0000-0000-00004AB60000}"/>
    <cellStyle name="Normal 7 5 2 2 4 4" xfId="18452" xr:uid="{00000000-0005-0000-0000-00004BB60000}"/>
    <cellStyle name="Normal 7 5 2 2 5" xfId="44121" xr:uid="{00000000-0005-0000-0000-00004CB60000}"/>
    <cellStyle name="Normal 7 5 2 2 6" xfId="28021" xr:uid="{00000000-0005-0000-0000-00004DB60000}"/>
    <cellStyle name="Normal 7 5 2 2 7" xfId="14957" xr:uid="{00000000-0005-0000-0000-00004EB60000}"/>
    <cellStyle name="Normal 7 5 2 3" xfId="1561" xr:uid="{00000000-0005-0000-0000-00004FB60000}"/>
    <cellStyle name="Normal 7 5 2 3 2" xfId="8095" xr:uid="{00000000-0005-0000-0000-000050B60000}"/>
    <cellStyle name="Normal 7 5 2 3 2 2" xfId="39836" xr:uid="{00000000-0005-0000-0000-000051B60000}"/>
    <cellStyle name="Normal 7 5 2 3 2 2 2" xfId="55936" xr:uid="{00000000-0005-0000-0000-000052B60000}"/>
    <cellStyle name="Normal 7 5 2 3 2 3" xfId="46369" xr:uid="{00000000-0005-0000-0000-000053B60000}"/>
    <cellStyle name="Normal 7 5 2 3 2 4" xfId="30269" xr:uid="{00000000-0005-0000-0000-000054B60000}"/>
    <cellStyle name="Normal 7 5 2 3 2 5" xfId="20700" xr:uid="{00000000-0005-0000-0000-000055B60000}"/>
    <cellStyle name="Normal 7 5 2 3 3" xfId="11131" xr:uid="{00000000-0005-0000-0000-000056B60000}"/>
    <cellStyle name="Normal 7 5 2 3 3 2" xfId="49405" xr:uid="{00000000-0005-0000-0000-000057B60000}"/>
    <cellStyle name="Normal 7 5 2 3 3 3" xfId="33305" xr:uid="{00000000-0005-0000-0000-000058B60000}"/>
    <cellStyle name="Normal 7 5 2 3 3 4" xfId="23736" xr:uid="{00000000-0005-0000-0000-000059B60000}"/>
    <cellStyle name="Normal 7 5 2 3 4" xfId="5059" xr:uid="{00000000-0005-0000-0000-00005AB60000}"/>
    <cellStyle name="Normal 7 5 2 3 4 2" xfId="52900" xr:uid="{00000000-0005-0000-0000-00005BB60000}"/>
    <cellStyle name="Normal 7 5 2 3 4 3" xfId="36800" xr:uid="{00000000-0005-0000-0000-00005CB60000}"/>
    <cellStyle name="Normal 7 5 2 3 4 4" xfId="17664" xr:uid="{00000000-0005-0000-0000-00005DB60000}"/>
    <cellStyle name="Normal 7 5 2 3 5" xfId="43333" xr:uid="{00000000-0005-0000-0000-00005EB60000}"/>
    <cellStyle name="Normal 7 5 2 3 6" xfId="27233" xr:uid="{00000000-0005-0000-0000-00005FB60000}"/>
    <cellStyle name="Normal 7 5 2 3 7" xfId="14169" xr:uid="{00000000-0005-0000-0000-000060B60000}"/>
    <cellStyle name="Normal 7 5 2 4" xfId="4049" xr:uid="{00000000-0005-0000-0000-000061B60000}"/>
    <cellStyle name="Normal 7 5 2 4 2" xfId="35790" xr:uid="{00000000-0005-0000-0000-000062B60000}"/>
    <cellStyle name="Normal 7 5 2 4 2 2" xfId="51890" xr:uid="{00000000-0005-0000-0000-000063B60000}"/>
    <cellStyle name="Normal 7 5 2 4 3" xfId="42323" xr:uid="{00000000-0005-0000-0000-000064B60000}"/>
    <cellStyle name="Normal 7 5 2 4 4" xfId="26223" xr:uid="{00000000-0005-0000-0000-000065B60000}"/>
    <cellStyle name="Normal 7 5 2 4 5" xfId="16654" xr:uid="{00000000-0005-0000-0000-000066B60000}"/>
    <cellStyle name="Normal 7 5 2 5" xfId="7085" xr:uid="{00000000-0005-0000-0000-000067B60000}"/>
    <cellStyle name="Normal 7 5 2 5 2" xfId="38826" xr:uid="{00000000-0005-0000-0000-000068B60000}"/>
    <cellStyle name="Normal 7 5 2 5 2 2" xfId="54926" xr:uid="{00000000-0005-0000-0000-000069B60000}"/>
    <cellStyle name="Normal 7 5 2 5 3" xfId="45359" xr:uid="{00000000-0005-0000-0000-00006AB60000}"/>
    <cellStyle name="Normal 7 5 2 5 4" xfId="29259" xr:uid="{00000000-0005-0000-0000-00006BB60000}"/>
    <cellStyle name="Normal 7 5 2 5 5" xfId="19690" xr:uid="{00000000-0005-0000-0000-00006CB60000}"/>
    <cellStyle name="Normal 7 5 2 6" xfId="10121" xr:uid="{00000000-0005-0000-0000-00006DB60000}"/>
    <cellStyle name="Normal 7 5 2 6 2" xfId="48395" xr:uid="{00000000-0005-0000-0000-00006EB60000}"/>
    <cellStyle name="Normal 7 5 2 6 3" xfId="32295" xr:uid="{00000000-0005-0000-0000-00006FB60000}"/>
    <cellStyle name="Normal 7 5 2 6 4" xfId="22726" xr:uid="{00000000-0005-0000-0000-000070B60000}"/>
    <cellStyle name="Normal 7 5 2 7" xfId="3453" xr:uid="{00000000-0005-0000-0000-000071B60000}"/>
    <cellStyle name="Normal 7 5 2 7 2" xfId="51294" xr:uid="{00000000-0005-0000-0000-000072B60000}"/>
    <cellStyle name="Normal 7 5 2 7 3" xfId="35194" xr:uid="{00000000-0005-0000-0000-000073B60000}"/>
    <cellStyle name="Normal 7 5 2 7 4" xfId="16058" xr:uid="{00000000-0005-0000-0000-000074B60000}"/>
    <cellStyle name="Normal 7 5 2 8" xfId="41727" xr:uid="{00000000-0005-0000-0000-000075B60000}"/>
    <cellStyle name="Normal 7 5 2 9" xfId="25627" xr:uid="{00000000-0005-0000-0000-000076B60000}"/>
    <cellStyle name="Normal 7 5 3" xfId="588" xr:uid="{00000000-0005-0000-0000-000077B60000}"/>
    <cellStyle name="Normal 7 5 3 2" xfId="2616" xr:uid="{00000000-0005-0000-0000-000078B60000}"/>
    <cellStyle name="Normal 7 5 3 2 2" xfId="9148" xr:uid="{00000000-0005-0000-0000-000079B60000}"/>
    <cellStyle name="Normal 7 5 3 2 2 2" xfId="40889" xr:uid="{00000000-0005-0000-0000-00007AB60000}"/>
    <cellStyle name="Normal 7 5 3 2 2 2 2" xfId="56989" xr:uid="{00000000-0005-0000-0000-00007BB60000}"/>
    <cellStyle name="Normal 7 5 3 2 2 3" xfId="47422" xr:uid="{00000000-0005-0000-0000-00007CB60000}"/>
    <cellStyle name="Normal 7 5 3 2 2 4" xfId="31322" xr:uid="{00000000-0005-0000-0000-00007DB60000}"/>
    <cellStyle name="Normal 7 5 3 2 2 5" xfId="21753" xr:uid="{00000000-0005-0000-0000-00007EB60000}"/>
    <cellStyle name="Normal 7 5 3 2 3" xfId="12184" xr:uid="{00000000-0005-0000-0000-00007FB60000}"/>
    <cellStyle name="Normal 7 5 3 2 3 2" xfId="50458" xr:uid="{00000000-0005-0000-0000-000080B60000}"/>
    <cellStyle name="Normal 7 5 3 2 3 3" xfId="34358" xr:uid="{00000000-0005-0000-0000-000081B60000}"/>
    <cellStyle name="Normal 7 5 3 2 3 4" xfId="24789" xr:uid="{00000000-0005-0000-0000-000082B60000}"/>
    <cellStyle name="Normal 7 5 3 2 4" xfId="6112" xr:uid="{00000000-0005-0000-0000-000083B60000}"/>
    <cellStyle name="Normal 7 5 3 2 4 2" xfId="53953" xr:uid="{00000000-0005-0000-0000-000084B60000}"/>
    <cellStyle name="Normal 7 5 3 2 4 3" xfId="37853" xr:uid="{00000000-0005-0000-0000-000085B60000}"/>
    <cellStyle name="Normal 7 5 3 2 4 4" xfId="18717" xr:uid="{00000000-0005-0000-0000-000086B60000}"/>
    <cellStyle name="Normal 7 5 3 2 5" xfId="44386" xr:uid="{00000000-0005-0000-0000-000087B60000}"/>
    <cellStyle name="Normal 7 5 3 2 6" xfId="28286" xr:uid="{00000000-0005-0000-0000-000088B60000}"/>
    <cellStyle name="Normal 7 5 3 2 7" xfId="15222" xr:uid="{00000000-0005-0000-0000-000089B60000}"/>
    <cellStyle name="Normal 7 5 3 3" xfId="1384" xr:uid="{00000000-0005-0000-0000-00008AB60000}"/>
    <cellStyle name="Normal 7 5 3 3 2" xfId="7918" xr:uid="{00000000-0005-0000-0000-00008BB60000}"/>
    <cellStyle name="Normal 7 5 3 3 2 2" xfId="39659" xr:uid="{00000000-0005-0000-0000-00008CB60000}"/>
    <cellStyle name="Normal 7 5 3 3 2 2 2" xfId="55759" xr:uid="{00000000-0005-0000-0000-00008DB60000}"/>
    <cellStyle name="Normal 7 5 3 3 2 3" xfId="46192" xr:uid="{00000000-0005-0000-0000-00008EB60000}"/>
    <cellStyle name="Normal 7 5 3 3 2 4" xfId="30092" xr:uid="{00000000-0005-0000-0000-00008FB60000}"/>
    <cellStyle name="Normal 7 5 3 3 2 5" xfId="20523" xr:uid="{00000000-0005-0000-0000-000090B60000}"/>
    <cellStyle name="Normal 7 5 3 3 3" xfId="10954" xr:uid="{00000000-0005-0000-0000-000091B60000}"/>
    <cellStyle name="Normal 7 5 3 3 3 2" xfId="49228" xr:uid="{00000000-0005-0000-0000-000092B60000}"/>
    <cellStyle name="Normal 7 5 3 3 3 3" xfId="33128" xr:uid="{00000000-0005-0000-0000-000093B60000}"/>
    <cellStyle name="Normal 7 5 3 3 3 4" xfId="23559" xr:uid="{00000000-0005-0000-0000-000094B60000}"/>
    <cellStyle name="Normal 7 5 3 3 4" xfId="4882" xr:uid="{00000000-0005-0000-0000-000095B60000}"/>
    <cellStyle name="Normal 7 5 3 3 4 2" xfId="52723" xr:uid="{00000000-0005-0000-0000-000096B60000}"/>
    <cellStyle name="Normal 7 5 3 3 4 3" xfId="36623" xr:uid="{00000000-0005-0000-0000-000097B60000}"/>
    <cellStyle name="Normal 7 5 3 3 4 4" xfId="17487" xr:uid="{00000000-0005-0000-0000-000098B60000}"/>
    <cellStyle name="Normal 7 5 3 3 5" xfId="43156" xr:uid="{00000000-0005-0000-0000-000099B60000}"/>
    <cellStyle name="Normal 7 5 3 3 6" xfId="27056" xr:uid="{00000000-0005-0000-0000-00009AB60000}"/>
    <cellStyle name="Normal 7 5 3 3 7" xfId="13992" xr:uid="{00000000-0005-0000-0000-00009BB60000}"/>
    <cellStyle name="Normal 7 5 3 4" xfId="6908" xr:uid="{00000000-0005-0000-0000-00009CB60000}"/>
    <cellStyle name="Normal 7 5 3 4 2" xfId="38649" xr:uid="{00000000-0005-0000-0000-00009DB60000}"/>
    <cellStyle name="Normal 7 5 3 4 2 2" xfId="54749" xr:uid="{00000000-0005-0000-0000-00009EB60000}"/>
    <cellStyle name="Normal 7 5 3 4 3" xfId="45182" xr:uid="{00000000-0005-0000-0000-00009FB60000}"/>
    <cellStyle name="Normal 7 5 3 4 4" xfId="29082" xr:uid="{00000000-0005-0000-0000-0000A0B60000}"/>
    <cellStyle name="Normal 7 5 3 4 5" xfId="19513" xr:uid="{00000000-0005-0000-0000-0000A1B60000}"/>
    <cellStyle name="Normal 7 5 3 5" xfId="9944" xr:uid="{00000000-0005-0000-0000-0000A2B60000}"/>
    <cellStyle name="Normal 7 5 3 5 2" xfId="48218" xr:uid="{00000000-0005-0000-0000-0000A3B60000}"/>
    <cellStyle name="Normal 7 5 3 5 3" xfId="32118" xr:uid="{00000000-0005-0000-0000-0000A4B60000}"/>
    <cellStyle name="Normal 7 5 3 5 4" xfId="22549" xr:uid="{00000000-0005-0000-0000-0000A5B60000}"/>
    <cellStyle name="Normal 7 5 3 6" xfId="3872" xr:uid="{00000000-0005-0000-0000-0000A6B60000}"/>
    <cellStyle name="Normal 7 5 3 6 2" xfId="51713" xr:uid="{00000000-0005-0000-0000-0000A7B60000}"/>
    <cellStyle name="Normal 7 5 3 6 3" xfId="35613" xr:uid="{00000000-0005-0000-0000-0000A8B60000}"/>
    <cellStyle name="Normal 7 5 3 6 4" xfId="16477" xr:uid="{00000000-0005-0000-0000-0000A9B60000}"/>
    <cellStyle name="Normal 7 5 3 7" xfId="42146" xr:uid="{00000000-0005-0000-0000-0000AAB60000}"/>
    <cellStyle name="Normal 7 5 3 8" xfId="26046" xr:uid="{00000000-0005-0000-0000-0000ABB60000}"/>
    <cellStyle name="Normal 7 5 3 9" xfId="12982" xr:uid="{00000000-0005-0000-0000-0000ACB60000}"/>
    <cellStyle name="Normal 7 5 4" xfId="860" xr:uid="{00000000-0005-0000-0000-0000ADB60000}"/>
    <cellStyle name="Normal 7 5 4 2" xfId="2888" xr:uid="{00000000-0005-0000-0000-0000AEB60000}"/>
    <cellStyle name="Normal 7 5 4 2 2" xfId="9420" xr:uid="{00000000-0005-0000-0000-0000AFB60000}"/>
    <cellStyle name="Normal 7 5 4 2 2 2" xfId="41161" xr:uid="{00000000-0005-0000-0000-0000B0B60000}"/>
    <cellStyle name="Normal 7 5 4 2 2 2 2" xfId="57261" xr:uid="{00000000-0005-0000-0000-0000B1B60000}"/>
    <cellStyle name="Normal 7 5 4 2 2 3" xfId="47694" xr:uid="{00000000-0005-0000-0000-0000B2B60000}"/>
    <cellStyle name="Normal 7 5 4 2 2 4" xfId="31594" xr:uid="{00000000-0005-0000-0000-0000B3B60000}"/>
    <cellStyle name="Normal 7 5 4 2 2 5" xfId="22025" xr:uid="{00000000-0005-0000-0000-0000B4B60000}"/>
    <cellStyle name="Normal 7 5 4 2 3" xfId="12456" xr:uid="{00000000-0005-0000-0000-0000B5B60000}"/>
    <cellStyle name="Normal 7 5 4 2 3 2" xfId="50730" xr:uid="{00000000-0005-0000-0000-0000B6B60000}"/>
    <cellStyle name="Normal 7 5 4 2 3 3" xfId="34630" xr:uid="{00000000-0005-0000-0000-0000B7B60000}"/>
    <cellStyle name="Normal 7 5 4 2 3 4" xfId="25061" xr:uid="{00000000-0005-0000-0000-0000B8B60000}"/>
    <cellStyle name="Normal 7 5 4 2 4" xfId="6384" xr:uid="{00000000-0005-0000-0000-0000B9B60000}"/>
    <cellStyle name="Normal 7 5 4 2 4 2" xfId="54225" xr:uid="{00000000-0005-0000-0000-0000BAB60000}"/>
    <cellStyle name="Normal 7 5 4 2 4 3" xfId="38125" xr:uid="{00000000-0005-0000-0000-0000BBB60000}"/>
    <cellStyle name="Normal 7 5 4 2 4 4" xfId="18989" xr:uid="{00000000-0005-0000-0000-0000BCB60000}"/>
    <cellStyle name="Normal 7 5 4 2 5" xfId="44658" xr:uid="{00000000-0005-0000-0000-0000BDB60000}"/>
    <cellStyle name="Normal 7 5 4 2 6" xfId="28558" xr:uid="{00000000-0005-0000-0000-0000BEB60000}"/>
    <cellStyle name="Normal 7 5 4 2 7" xfId="15494" xr:uid="{00000000-0005-0000-0000-0000BFB60000}"/>
    <cellStyle name="Normal 7 5 4 3" xfId="1870" xr:uid="{00000000-0005-0000-0000-0000C0B60000}"/>
    <cellStyle name="Normal 7 5 4 3 2" xfId="8404" xr:uid="{00000000-0005-0000-0000-0000C1B60000}"/>
    <cellStyle name="Normal 7 5 4 3 2 2" xfId="40145" xr:uid="{00000000-0005-0000-0000-0000C2B60000}"/>
    <cellStyle name="Normal 7 5 4 3 2 2 2" xfId="56245" xr:uid="{00000000-0005-0000-0000-0000C3B60000}"/>
    <cellStyle name="Normal 7 5 4 3 2 3" xfId="46678" xr:uid="{00000000-0005-0000-0000-0000C4B60000}"/>
    <cellStyle name="Normal 7 5 4 3 2 4" xfId="30578" xr:uid="{00000000-0005-0000-0000-0000C5B60000}"/>
    <cellStyle name="Normal 7 5 4 3 2 5" xfId="21009" xr:uid="{00000000-0005-0000-0000-0000C6B60000}"/>
    <cellStyle name="Normal 7 5 4 3 3" xfId="11440" xr:uid="{00000000-0005-0000-0000-0000C7B60000}"/>
    <cellStyle name="Normal 7 5 4 3 3 2" xfId="49714" xr:uid="{00000000-0005-0000-0000-0000C8B60000}"/>
    <cellStyle name="Normal 7 5 4 3 3 3" xfId="33614" xr:uid="{00000000-0005-0000-0000-0000C9B60000}"/>
    <cellStyle name="Normal 7 5 4 3 3 4" xfId="24045" xr:uid="{00000000-0005-0000-0000-0000CAB60000}"/>
    <cellStyle name="Normal 7 5 4 3 4" xfId="5368" xr:uid="{00000000-0005-0000-0000-0000CBB60000}"/>
    <cellStyle name="Normal 7 5 4 3 4 2" xfId="53209" xr:uid="{00000000-0005-0000-0000-0000CCB60000}"/>
    <cellStyle name="Normal 7 5 4 3 4 3" xfId="37109" xr:uid="{00000000-0005-0000-0000-0000CDB60000}"/>
    <cellStyle name="Normal 7 5 4 3 4 4" xfId="17973" xr:uid="{00000000-0005-0000-0000-0000CEB60000}"/>
    <cellStyle name="Normal 7 5 4 3 5" xfId="43642" xr:uid="{00000000-0005-0000-0000-0000CFB60000}"/>
    <cellStyle name="Normal 7 5 4 3 6" xfId="27542" xr:uid="{00000000-0005-0000-0000-0000D0B60000}"/>
    <cellStyle name="Normal 7 5 4 3 7" xfId="14478" xr:uid="{00000000-0005-0000-0000-0000D1B60000}"/>
    <cellStyle name="Normal 7 5 4 4" xfId="7394" xr:uid="{00000000-0005-0000-0000-0000D2B60000}"/>
    <cellStyle name="Normal 7 5 4 4 2" xfId="39135" xr:uid="{00000000-0005-0000-0000-0000D3B60000}"/>
    <cellStyle name="Normal 7 5 4 4 2 2" xfId="55235" xr:uid="{00000000-0005-0000-0000-0000D4B60000}"/>
    <cellStyle name="Normal 7 5 4 4 3" xfId="45668" xr:uid="{00000000-0005-0000-0000-0000D5B60000}"/>
    <cellStyle name="Normal 7 5 4 4 4" xfId="29568" xr:uid="{00000000-0005-0000-0000-0000D6B60000}"/>
    <cellStyle name="Normal 7 5 4 4 5" xfId="19999" xr:uid="{00000000-0005-0000-0000-0000D7B60000}"/>
    <cellStyle name="Normal 7 5 4 5" xfId="10430" xr:uid="{00000000-0005-0000-0000-0000D8B60000}"/>
    <cellStyle name="Normal 7 5 4 5 2" xfId="48704" xr:uid="{00000000-0005-0000-0000-0000D9B60000}"/>
    <cellStyle name="Normal 7 5 4 5 3" xfId="32604" xr:uid="{00000000-0005-0000-0000-0000DAB60000}"/>
    <cellStyle name="Normal 7 5 4 5 4" xfId="23035" xr:uid="{00000000-0005-0000-0000-0000DBB60000}"/>
    <cellStyle name="Normal 7 5 4 6" xfId="4358" xr:uid="{00000000-0005-0000-0000-0000DCB60000}"/>
    <cellStyle name="Normal 7 5 4 6 2" xfId="52199" xr:uid="{00000000-0005-0000-0000-0000DDB60000}"/>
    <cellStyle name="Normal 7 5 4 6 3" xfId="36099" xr:uid="{00000000-0005-0000-0000-0000DEB60000}"/>
    <cellStyle name="Normal 7 5 4 6 4" xfId="16963" xr:uid="{00000000-0005-0000-0000-0000DFB60000}"/>
    <cellStyle name="Normal 7 5 4 7" xfId="42632" xr:uid="{00000000-0005-0000-0000-0000E0B60000}"/>
    <cellStyle name="Normal 7 5 4 8" xfId="26532" xr:uid="{00000000-0005-0000-0000-0000E1B60000}"/>
    <cellStyle name="Normal 7 5 4 9" xfId="13468" xr:uid="{00000000-0005-0000-0000-0000E2B60000}"/>
    <cellStyle name="Normal 7 5 5" xfId="2172" xr:uid="{00000000-0005-0000-0000-0000E3B60000}"/>
    <cellStyle name="Normal 7 5 5 2" xfId="8706" xr:uid="{00000000-0005-0000-0000-0000E4B60000}"/>
    <cellStyle name="Normal 7 5 5 2 2" xfId="40447" xr:uid="{00000000-0005-0000-0000-0000E5B60000}"/>
    <cellStyle name="Normal 7 5 5 2 2 2" xfId="56547" xr:uid="{00000000-0005-0000-0000-0000E6B60000}"/>
    <cellStyle name="Normal 7 5 5 2 3" xfId="46980" xr:uid="{00000000-0005-0000-0000-0000E7B60000}"/>
    <cellStyle name="Normal 7 5 5 2 4" xfId="30880" xr:uid="{00000000-0005-0000-0000-0000E8B60000}"/>
    <cellStyle name="Normal 7 5 5 2 5" xfId="21311" xr:uid="{00000000-0005-0000-0000-0000E9B60000}"/>
    <cellStyle name="Normal 7 5 5 3" xfId="11742" xr:uid="{00000000-0005-0000-0000-0000EAB60000}"/>
    <cellStyle name="Normal 7 5 5 3 2" xfId="50016" xr:uid="{00000000-0005-0000-0000-0000EBB60000}"/>
    <cellStyle name="Normal 7 5 5 3 3" xfId="33916" xr:uid="{00000000-0005-0000-0000-0000ECB60000}"/>
    <cellStyle name="Normal 7 5 5 3 4" xfId="24347" xr:uid="{00000000-0005-0000-0000-0000EDB60000}"/>
    <cellStyle name="Normal 7 5 5 4" xfId="5670" xr:uid="{00000000-0005-0000-0000-0000EEB60000}"/>
    <cellStyle name="Normal 7 5 5 4 2" xfId="53511" xr:uid="{00000000-0005-0000-0000-0000EFB60000}"/>
    <cellStyle name="Normal 7 5 5 4 3" xfId="37411" xr:uid="{00000000-0005-0000-0000-0000F0B60000}"/>
    <cellStyle name="Normal 7 5 5 4 4" xfId="18275" xr:uid="{00000000-0005-0000-0000-0000F1B60000}"/>
    <cellStyle name="Normal 7 5 5 5" xfId="43944" xr:uid="{00000000-0005-0000-0000-0000F2B60000}"/>
    <cellStyle name="Normal 7 5 5 6" xfId="27844" xr:uid="{00000000-0005-0000-0000-0000F3B60000}"/>
    <cellStyle name="Normal 7 5 5 7" xfId="14780" xr:uid="{00000000-0005-0000-0000-0000F4B60000}"/>
    <cellStyle name="Normal 7 5 6" xfId="1187" xr:uid="{00000000-0005-0000-0000-0000F5B60000}"/>
    <cellStyle name="Normal 7 5 6 2" xfId="7721" xr:uid="{00000000-0005-0000-0000-0000F6B60000}"/>
    <cellStyle name="Normal 7 5 6 2 2" xfId="39462" xr:uid="{00000000-0005-0000-0000-0000F7B60000}"/>
    <cellStyle name="Normal 7 5 6 2 2 2" xfId="55562" xr:uid="{00000000-0005-0000-0000-0000F8B60000}"/>
    <cellStyle name="Normal 7 5 6 2 3" xfId="45995" xr:uid="{00000000-0005-0000-0000-0000F9B60000}"/>
    <cellStyle name="Normal 7 5 6 2 4" xfId="29895" xr:uid="{00000000-0005-0000-0000-0000FAB60000}"/>
    <cellStyle name="Normal 7 5 6 2 5" xfId="20326" xr:uid="{00000000-0005-0000-0000-0000FBB60000}"/>
    <cellStyle name="Normal 7 5 6 3" xfId="10757" xr:uid="{00000000-0005-0000-0000-0000FCB60000}"/>
    <cellStyle name="Normal 7 5 6 3 2" xfId="49031" xr:uid="{00000000-0005-0000-0000-0000FDB60000}"/>
    <cellStyle name="Normal 7 5 6 3 3" xfId="32931" xr:uid="{00000000-0005-0000-0000-0000FEB60000}"/>
    <cellStyle name="Normal 7 5 6 3 4" xfId="23362" xr:uid="{00000000-0005-0000-0000-0000FFB60000}"/>
    <cellStyle name="Normal 7 5 6 4" xfId="4685" xr:uid="{00000000-0005-0000-0000-000000B70000}"/>
    <cellStyle name="Normal 7 5 6 4 2" xfId="52526" xr:uid="{00000000-0005-0000-0000-000001B70000}"/>
    <cellStyle name="Normal 7 5 6 4 3" xfId="36426" xr:uid="{00000000-0005-0000-0000-000002B70000}"/>
    <cellStyle name="Normal 7 5 6 4 4" xfId="17290" xr:uid="{00000000-0005-0000-0000-000003B70000}"/>
    <cellStyle name="Normal 7 5 6 5" xfId="42959" xr:uid="{00000000-0005-0000-0000-000004B70000}"/>
    <cellStyle name="Normal 7 5 6 6" xfId="26859" xr:uid="{00000000-0005-0000-0000-000005B70000}"/>
    <cellStyle name="Normal 7 5 6 7" xfId="13795" xr:uid="{00000000-0005-0000-0000-000006B70000}"/>
    <cellStyle name="Normal 7 5 7" xfId="3675" xr:uid="{00000000-0005-0000-0000-000007B70000}"/>
    <cellStyle name="Normal 7 5 7 2" xfId="35416" xr:uid="{00000000-0005-0000-0000-000008B70000}"/>
    <cellStyle name="Normal 7 5 7 2 2" xfId="51516" xr:uid="{00000000-0005-0000-0000-000009B70000}"/>
    <cellStyle name="Normal 7 5 7 3" xfId="41949" xr:uid="{00000000-0005-0000-0000-00000AB70000}"/>
    <cellStyle name="Normal 7 5 7 4" xfId="25849" xr:uid="{00000000-0005-0000-0000-00000BB70000}"/>
    <cellStyle name="Normal 7 5 7 5" xfId="16280" xr:uid="{00000000-0005-0000-0000-00000CB70000}"/>
    <cellStyle name="Normal 7 5 8" xfId="6711" xr:uid="{00000000-0005-0000-0000-00000DB70000}"/>
    <cellStyle name="Normal 7 5 8 2" xfId="38452" xr:uid="{00000000-0005-0000-0000-00000EB70000}"/>
    <cellStyle name="Normal 7 5 8 2 2" xfId="54552" xr:uid="{00000000-0005-0000-0000-00000FB70000}"/>
    <cellStyle name="Normal 7 5 8 3" xfId="44985" xr:uid="{00000000-0005-0000-0000-000010B70000}"/>
    <cellStyle name="Normal 7 5 8 4" xfId="28885" xr:uid="{00000000-0005-0000-0000-000011B70000}"/>
    <cellStyle name="Normal 7 5 8 5" xfId="19316" xr:uid="{00000000-0005-0000-0000-000012B70000}"/>
    <cellStyle name="Normal 7 5 9" xfId="9747" xr:uid="{00000000-0005-0000-0000-000013B70000}"/>
    <cellStyle name="Normal 7 5 9 2" xfId="48021" xr:uid="{00000000-0005-0000-0000-000014B70000}"/>
    <cellStyle name="Normal 7 5 9 3" xfId="31921" xr:uid="{00000000-0005-0000-0000-000015B70000}"/>
    <cellStyle name="Normal 7 5 9 4" xfId="22352" xr:uid="{00000000-0005-0000-0000-000016B70000}"/>
    <cellStyle name="Normal 7 6" xfId="224" xr:uid="{00000000-0005-0000-0000-000017B70000}"/>
    <cellStyle name="Normal 7 6 10" xfId="41507" xr:uid="{00000000-0005-0000-0000-000018B70000}"/>
    <cellStyle name="Normal 7 6 11" xfId="25407" xr:uid="{00000000-0005-0000-0000-000019B70000}"/>
    <cellStyle name="Normal 7 6 12" xfId="12802" xr:uid="{00000000-0005-0000-0000-00001AB70000}"/>
    <cellStyle name="Normal 7 6 2" xfId="605" xr:uid="{00000000-0005-0000-0000-00001BB70000}"/>
    <cellStyle name="Normal 7 6 2 10" xfId="13053" xr:uid="{00000000-0005-0000-0000-00001CB70000}"/>
    <cellStyle name="Normal 7 6 2 2" xfId="2633" xr:uid="{00000000-0005-0000-0000-00001DB70000}"/>
    <cellStyle name="Normal 7 6 2 2 2" xfId="9165" xr:uid="{00000000-0005-0000-0000-00001EB70000}"/>
    <cellStyle name="Normal 7 6 2 2 2 2" xfId="40906" xr:uid="{00000000-0005-0000-0000-00001FB70000}"/>
    <cellStyle name="Normal 7 6 2 2 2 2 2" xfId="57006" xr:uid="{00000000-0005-0000-0000-000020B70000}"/>
    <cellStyle name="Normal 7 6 2 2 2 3" xfId="47439" xr:uid="{00000000-0005-0000-0000-000021B70000}"/>
    <cellStyle name="Normal 7 6 2 2 2 4" xfId="31339" xr:uid="{00000000-0005-0000-0000-000022B70000}"/>
    <cellStyle name="Normal 7 6 2 2 2 5" xfId="21770" xr:uid="{00000000-0005-0000-0000-000023B70000}"/>
    <cellStyle name="Normal 7 6 2 2 3" xfId="12201" xr:uid="{00000000-0005-0000-0000-000024B70000}"/>
    <cellStyle name="Normal 7 6 2 2 3 2" xfId="50475" xr:uid="{00000000-0005-0000-0000-000025B70000}"/>
    <cellStyle name="Normal 7 6 2 2 3 3" xfId="34375" xr:uid="{00000000-0005-0000-0000-000026B70000}"/>
    <cellStyle name="Normal 7 6 2 2 3 4" xfId="24806" xr:uid="{00000000-0005-0000-0000-000027B70000}"/>
    <cellStyle name="Normal 7 6 2 2 4" xfId="6129" xr:uid="{00000000-0005-0000-0000-000028B70000}"/>
    <cellStyle name="Normal 7 6 2 2 4 2" xfId="53970" xr:uid="{00000000-0005-0000-0000-000029B70000}"/>
    <cellStyle name="Normal 7 6 2 2 4 3" xfId="37870" xr:uid="{00000000-0005-0000-0000-00002AB70000}"/>
    <cellStyle name="Normal 7 6 2 2 4 4" xfId="18734" xr:uid="{00000000-0005-0000-0000-00002BB70000}"/>
    <cellStyle name="Normal 7 6 2 2 5" xfId="44403" xr:uid="{00000000-0005-0000-0000-00002CB70000}"/>
    <cellStyle name="Normal 7 6 2 2 6" xfId="28303" xr:uid="{00000000-0005-0000-0000-00002DB70000}"/>
    <cellStyle name="Normal 7 6 2 2 7" xfId="15239" xr:uid="{00000000-0005-0000-0000-00002EB70000}"/>
    <cellStyle name="Normal 7 6 2 3" xfId="1455" xr:uid="{00000000-0005-0000-0000-00002FB70000}"/>
    <cellStyle name="Normal 7 6 2 3 2" xfId="7989" xr:uid="{00000000-0005-0000-0000-000030B70000}"/>
    <cellStyle name="Normal 7 6 2 3 2 2" xfId="39730" xr:uid="{00000000-0005-0000-0000-000031B70000}"/>
    <cellStyle name="Normal 7 6 2 3 2 2 2" xfId="55830" xr:uid="{00000000-0005-0000-0000-000032B70000}"/>
    <cellStyle name="Normal 7 6 2 3 2 3" xfId="46263" xr:uid="{00000000-0005-0000-0000-000033B70000}"/>
    <cellStyle name="Normal 7 6 2 3 2 4" xfId="30163" xr:uid="{00000000-0005-0000-0000-000034B70000}"/>
    <cellStyle name="Normal 7 6 2 3 2 5" xfId="20594" xr:uid="{00000000-0005-0000-0000-000035B70000}"/>
    <cellStyle name="Normal 7 6 2 3 3" xfId="11025" xr:uid="{00000000-0005-0000-0000-000036B70000}"/>
    <cellStyle name="Normal 7 6 2 3 3 2" xfId="49299" xr:uid="{00000000-0005-0000-0000-000037B70000}"/>
    <cellStyle name="Normal 7 6 2 3 3 3" xfId="33199" xr:uid="{00000000-0005-0000-0000-000038B70000}"/>
    <cellStyle name="Normal 7 6 2 3 3 4" xfId="23630" xr:uid="{00000000-0005-0000-0000-000039B70000}"/>
    <cellStyle name="Normal 7 6 2 3 4" xfId="4953" xr:uid="{00000000-0005-0000-0000-00003AB70000}"/>
    <cellStyle name="Normal 7 6 2 3 4 2" xfId="52794" xr:uid="{00000000-0005-0000-0000-00003BB70000}"/>
    <cellStyle name="Normal 7 6 2 3 4 3" xfId="36694" xr:uid="{00000000-0005-0000-0000-00003CB70000}"/>
    <cellStyle name="Normal 7 6 2 3 4 4" xfId="17558" xr:uid="{00000000-0005-0000-0000-00003DB70000}"/>
    <cellStyle name="Normal 7 6 2 3 5" xfId="43227" xr:uid="{00000000-0005-0000-0000-00003EB70000}"/>
    <cellStyle name="Normal 7 6 2 3 6" xfId="27127" xr:uid="{00000000-0005-0000-0000-00003FB70000}"/>
    <cellStyle name="Normal 7 6 2 3 7" xfId="14063" xr:uid="{00000000-0005-0000-0000-000040B70000}"/>
    <cellStyle name="Normal 7 6 2 4" xfId="3943" xr:uid="{00000000-0005-0000-0000-000041B70000}"/>
    <cellStyle name="Normal 7 6 2 4 2" xfId="35684" xr:uid="{00000000-0005-0000-0000-000042B70000}"/>
    <cellStyle name="Normal 7 6 2 4 2 2" xfId="51784" xr:uid="{00000000-0005-0000-0000-000043B70000}"/>
    <cellStyle name="Normal 7 6 2 4 3" xfId="42217" xr:uid="{00000000-0005-0000-0000-000044B70000}"/>
    <cellStyle name="Normal 7 6 2 4 4" xfId="26117" xr:uid="{00000000-0005-0000-0000-000045B70000}"/>
    <cellStyle name="Normal 7 6 2 4 5" xfId="16548" xr:uid="{00000000-0005-0000-0000-000046B70000}"/>
    <cellStyle name="Normal 7 6 2 5" xfId="6979" xr:uid="{00000000-0005-0000-0000-000047B70000}"/>
    <cellStyle name="Normal 7 6 2 5 2" xfId="38720" xr:uid="{00000000-0005-0000-0000-000048B70000}"/>
    <cellStyle name="Normal 7 6 2 5 2 2" xfId="54820" xr:uid="{00000000-0005-0000-0000-000049B70000}"/>
    <cellStyle name="Normal 7 6 2 5 3" xfId="45253" xr:uid="{00000000-0005-0000-0000-00004AB70000}"/>
    <cellStyle name="Normal 7 6 2 5 4" xfId="29153" xr:uid="{00000000-0005-0000-0000-00004BB70000}"/>
    <cellStyle name="Normal 7 6 2 5 5" xfId="19584" xr:uid="{00000000-0005-0000-0000-00004CB70000}"/>
    <cellStyle name="Normal 7 6 2 6" xfId="10015" xr:uid="{00000000-0005-0000-0000-00004DB70000}"/>
    <cellStyle name="Normal 7 6 2 6 2" xfId="48289" xr:uid="{00000000-0005-0000-0000-00004EB70000}"/>
    <cellStyle name="Normal 7 6 2 6 3" xfId="32189" xr:uid="{00000000-0005-0000-0000-00004FB70000}"/>
    <cellStyle name="Normal 7 6 2 6 4" xfId="22620" xr:uid="{00000000-0005-0000-0000-000050B70000}"/>
    <cellStyle name="Normal 7 6 2 7" xfId="3470" xr:uid="{00000000-0005-0000-0000-000051B70000}"/>
    <cellStyle name="Normal 7 6 2 7 2" xfId="51311" xr:uid="{00000000-0005-0000-0000-000052B70000}"/>
    <cellStyle name="Normal 7 6 2 7 3" xfId="35211" xr:uid="{00000000-0005-0000-0000-000053B70000}"/>
    <cellStyle name="Normal 7 6 2 7 4" xfId="16075" xr:uid="{00000000-0005-0000-0000-000054B70000}"/>
    <cellStyle name="Normal 7 6 2 8" xfId="41744" xr:uid="{00000000-0005-0000-0000-000055B70000}"/>
    <cellStyle name="Normal 7 6 2 9" xfId="25644" xr:uid="{00000000-0005-0000-0000-000056B70000}"/>
    <cellStyle name="Normal 7 6 3" xfId="877" xr:uid="{00000000-0005-0000-0000-000057B70000}"/>
    <cellStyle name="Normal 7 6 3 2" xfId="2905" xr:uid="{00000000-0005-0000-0000-000058B70000}"/>
    <cellStyle name="Normal 7 6 3 2 2" xfId="9437" xr:uid="{00000000-0005-0000-0000-000059B70000}"/>
    <cellStyle name="Normal 7 6 3 2 2 2" xfId="41178" xr:uid="{00000000-0005-0000-0000-00005AB70000}"/>
    <cellStyle name="Normal 7 6 3 2 2 2 2" xfId="57278" xr:uid="{00000000-0005-0000-0000-00005BB70000}"/>
    <cellStyle name="Normal 7 6 3 2 2 3" xfId="47711" xr:uid="{00000000-0005-0000-0000-00005CB70000}"/>
    <cellStyle name="Normal 7 6 3 2 2 4" xfId="31611" xr:uid="{00000000-0005-0000-0000-00005DB70000}"/>
    <cellStyle name="Normal 7 6 3 2 2 5" xfId="22042" xr:uid="{00000000-0005-0000-0000-00005EB70000}"/>
    <cellStyle name="Normal 7 6 3 2 3" xfId="12473" xr:uid="{00000000-0005-0000-0000-00005FB70000}"/>
    <cellStyle name="Normal 7 6 3 2 3 2" xfId="50747" xr:uid="{00000000-0005-0000-0000-000060B70000}"/>
    <cellStyle name="Normal 7 6 3 2 3 3" xfId="34647" xr:uid="{00000000-0005-0000-0000-000061B70000}"/>
    <cellStyle name="Normal 7 6 3 2 3 4" xfId="25078" xr:uid="{00000000-0005-0000-0000-000062B70000}"/>
    <cellStyle name="Normal 7 6 3 2 4" xfId="6401" xr:uid="{00000000-0005-0000-0000-000063B70000}"/>
    <cellStyle name="Normal 7 6 3 2 4 2" xfId="54242" xr:uid="{00000000-0005-0000-0000-000064B70000}"/>
    <cellStyle name="Normal 7 6 3 2 4 3" xfId="38142" xr:uid="{00000000-0005-0000-0000-000065B70000}"/>
    <cellStyle name="Normal 7 6 3 2 4 4" xfId="19006" xr:uid="{00000000-0005-0000-0000-000066B70000}"/>
    <cellStyle name="Normal 7 6 3 2 5" xfId="44675" xr:uid="{00000000-0005-0000-0000-000067B70000}"/>
    <cellStyle name="Normal 7 6 3 2 6" xfId="28575" xr:uid="{00000000-0005-0000-0000-000068B70000}"/>
    <cellStyle name="Normal 7 6 3 2 7" xfId="15511" xr:uid="{00000000-0005-0000-0000-000069B70000}"/>
    <cellStyle name="Normal 7 6 3 3" xfId="1887" xr:uid="{00000000-0005-0000-0000-00006AB70000}"/>
    <cellStyle name="Normal 7 6 3 3 2" xfId="8421" xr:uid="{00000000-0005-0000-0000-00006BB70000}"/>
    <cellStyle name="Normal 7 6 3 3 2 2" xfId="40162" xr:uid="{00000000-0005-0000-0000-00006CB70000}"/>
    <cellStyle name="Normal 7 6 3 3 2 2 2" xfId="56262" xr:uid="{00000000-0005-0000-0000-00006DB70000}"/>
    <cellStyle name="Normal 7 6 3 3 2 3" xfId="46695" xr:uid="{00000000-0005-0000-0000-00006EB70000}"/>
    <cellStyle name="Normal 7 6 3 3 2 4" xfId="30595" xr:uid="{00000000-0005-0000-0000-00006FB70000}"/>
    <cellStyle name="Normal 7 6 3 3 2 5" xfId="21026" xr:uid="{00000000-0005-0000-0000-000070B70000}"/>
    <cellStyle name="Normal 7 6 3 3 3" xfId="11457" xr:uid="{00000000-0005-0000-0000-000071B70000}"/>
    <cellStyle name="Normal 7 6 3 3 3 2" xfId="49731" xr:uid="{00000000-0005-0000-0000-000072B70000}"/>
    <cellStyle name="Normal 7 6 3 3 3 3" xfId="33631" xr:uid="{00000000-0005-0000-0000-000073B70000}"/>
    <cellStyle name="Normal 7 6 3 3 3 4" xfId="24062" xr:uid="{00000000-0005-0000-0000-000074B70000}"/>
    <cellStyle name="Normal 7 6 3 3 4" xfId="5385" xr:uid="{00000000-0005-0000-0000-000075B70000}"/>
    <cellStyle name="Normal 7 6 3 3 4 2" xfId="53226" xr:uid="{00000000-0005-0000-0000-000076B70000}"/>
    <cellStyle name="Normal 7 6 3 3 4 3" xfId="37126" xr:uid="{00000000-0005-0000-0000-000077B70000}"/>
    <cellStyle name="Normal 7 6 3 3 4 4" xfId="17990" xr:uid="{00000000-0005-0000-0000-000078B70000}"/>
    <cellStyle name="Normal 7 6 3 3 5" xfId="43659" xr:uid="{00000000-0005-0000-0000-000079B70000}"/>
    <cellStyle name="Normal 7 6 3 3 6" xfId="27559" xr:uid="{00000000-0005-0000-0000-00007AB70000}"/>
    <cellStyle name="Normal 7 6 3 3 7" xfId="14495" xr:uid="{00000000-0005-0000-0000-00007BB70000}"/>
    <cellStyle name="Normal 7 6 3 4" xfId="7411" xr:uid="{00000000-0005-0000-0000-00007CB70000}"/>
    <cellStyle name="Normal 7 6 3 4 2" xfId="39152" xr:uid="{00000000-0005-0000-0000-00007DB70000}"/>
    <cellStyle name="Normal 7 6 3 4 2 2" xfId="55252" xr:uid="{00000000-0005-0000-0000-00007EB70000}"/>
    <cellStyle name="Normal 7 6 3 4 3" xfId="45685" xr:uid="{00000000-0005-0000-0000-00007FB70000}"/>
    <cellStyle name="Normal 7 6 3 4 4" xfId="29585" xr:uid="{00000000-0005-0000-0000-000080B70000}"/>
    <cellStyle name="Normal 7 6 3 4 5" xfId="20016" xr:uid="{00000000-0005-0000-0000-000081B70000}"/>
    <cellStyle name="Normal 7 6 3 5" xfId="10447" xr:uid="{00000000-0005-0000-0000-000082B70000}"/>
    <cellStyle name="Normal 7 6 3 5 2" xfId="48721" xr:uid="{00000000-0005-0000-0000-000083B70000}"/>
    <cellStyle name="Normal 7 6 3 5 3" xfId="32621" xr:uid="{00000000-0005-0000-0000-000084B70000}"/>
    <cellStyle name="Normal 7 6 3 5 4" xfId="23052" xr:uid="{00000000-0005-0000-0000-000085B70000}"/>
    <cellStyle name="Normal 7 6 3 6" xfId="4375" xr:uid="{00000000-0005-0000-0000-000086B70000}"/>
    <cellStyle name="Normal 7 6 3 6 2" xfId="52216" xr:uid="{00000000-0005-0000-0000-000087B70000}"/>
    <cellStyle name="Normal 7 6 3 6 3" xfId="36116" xr:uid="{00000000-0005-0000-0000-000088B70000}"/>
    <cellStyle name="Normal 7 6 3 6 4" xfId="16980" xr:uid="{00000000-0005-0000-0000-000089B70000}"/>
    <cellStyle name="Normal 7 6 3 7" xfId="42649" xr:uid="{00000000-0005-0000-0000-00008AB70000}"/>
    <cellStyle name="Normal 7 6 3 8" xfId="26549" xr:uid="{00000000-0005-0000-0000-00008BB70000}"/>
    <cellStyle name="Normal 7 6 3 9" xfId="13485" xr:uid="{00000000-0005-0000-0000-00008CB70000}"/>
    <cellStyle name="Normal 7 6 4" xfId="2243" xr:uid="{00000000-0005-0000-0000-00008DB70000}"/>
    <cellStyle name="Normal 7 6 4 2" xfId="8777" xr:uid="{00000000-0005-0000-0000-00008EB70000}"/>
    <cellStyle name="Normal 7 6 4 2 2" xfId="40518" xr:uid="{00000000-0005-0000-0000-00008FB70000}"/>
    <cellStyle name="Normal 7 6 4 2 2 2" xfId="56618" xr:uid="{00000000-0005-0000-0000-000090B70000}"/>
    <cellStyle name="Normal 7 6 4 2 3" xfId="47051" xr:uid="{00000000-0005-0000-0000-000091B70000}"/>
    <cellStyle name="Normal 7 6 4 2 4" xfId="30951" xr:uid="{00000000-0005-0000-0000-000092B70000}"/>
    <cellStyle name="Normal 7 6 4 2 5" xfId="21382" xr:uid="{00000000-0005-0000-0000-000093B70000}"/>
    <cellStyle name="Normal 7 6 4 3" xfId="11813" xr:uid="{00000000-0005-0000-0000-000094B70000}"/>
    <cellStyle name="Normal 7 6 4 3 2" xfId="50087" xr:uid="{00000000-0005-0000-0000-000095B70000}"/>
    <cellStyle name="Normal 7 6 4 3 3" xfId="33987" xr:uid="{00000000-0005-0000-0000-000096B70000}"/>
    <cellStyle name="Normal 7 6 4 3 4" xfId="24418" xr:uid="{00000000-0005-0000-0000-000097B70000}"/>
    <cellStyle name="Normal 7 6 4 4" xfId="5741" xr:uid="{00000000-0005-0000-0000-000098B70000}"/>
    <cellStyle name="Normal 7 6 4 4 2" xfId="53582" xr:uid="{00000000-0005-0000-0000-000099B70000}"/>
    <cellStyle name="Normal 7 6 4 4 3" xfId="37482" xr:uid="{00000000-0005-0000-0000-00009AB70000}"/>
    <cellStyle name="Normal 7 6 4 4 4" xfId="18346" xr:uid="{00000000-0005-0000-0000-00009BB70000}"/>
    <cellStyle name="Normal 7 6 4 5" xfId="44015" xr:uid="{00000000-0005-0000-0000-00009CB70000}"/>
    <cellStyle name="Normal 7 6 4 6" xfId="27915" xr:uid="{00000000-0005-0000-0000-00009DB70000}"/>
    <cellStyle name="Normal 7 6 4 7" xfId="14851" xr:uid="{00000000-0005-0000-0000-00009EB70000}"/>
    <cellStyle name="Normal 7 6 5" xfId="1204" xr:uid="{00000000-0005-0000-0000-00009FB70000}"/>
    <cellStyle name="Normal 7 6 5 2" xfId="7738" xr:uid="{00000000-0005-0000-0000-0000A0B70000}"/>
    <cellStyle name="Normal 7 6 5 2 2" xfId="39479" xr:uid="{00000000-0005-0000-0000-0000A1B70000}"/>
    <cellStyle name="Normal 7 6 5 2 2 2" xfId="55579" xr:uid="{00000000-0005-0000-0000-0000A2B70000}"/>
    <cellStyle name="Normal 7 6 5 2 3" xfId="46012" xr:uid="{00000000-0005-0000-0000-0000A3B70000}"/>
    <cellStyle name="Normal 7 6 5 2 4" xfId="29912" xr:uid="{00000000-0005-0000-0000-0000A4B70000}"/>
    <cellStyle name="Normal 7 6 5 2 5" xfId="20343" xr:uid="{00000000-0005-0000-0000-0000A5B70000}"/>
    <cellStyle name="Normal 7 6 5 3" xfId="10774" xr:uid="{00000000-0005-0000-0000-0000A6B70000}"/>
    <cellStyle name="Normal 7 6 5 3 2" xfId="49048" xr:uid="{00000000-0005-0000-0000-0000A7B70000}"/>
    <cellStyle name="Normal 7 6 5 3 3" xfId="32948" xr:uid="{00000000-0005-0000-0000-0000A8B70000}"/>
    <cellStyle name="Normal 7 6 5 3 4" xfId="23379" xr:uid="{00000000-0005-0000-0000-0000A9B70000}"/>
    <cellStyle name="Normal 7 6 5 4" xfId="4702" xr:uid="{00000000-0005-0000-0000-0000AAB70000}"/>
    <cellStyle name="Normal 7 6 5 4 2" xfId="52543" xr:uid="{00000000-0005-0000-0000-0000ABB70000}"/>
    <cellStyle name="Normal 7 6 5 4 3" xfId="36443" xr:uid="{00000000-0005-0000-0000-0000ACB70000}"/>
    <cellStyle name="Normal 7 6 5 4 4" xfId="17307" xr:uid="{00000000-0005-0000-0000-0000ADB70000}"/>
    <cellStyle name="Normal 7 6 5 5" xfId="42976" xr:uid="{00000000-0005-0000-0000-0000AEB70000}"/>
    <cellStyle name="Normal 7 6 5 6" xfId="26876" xr:uid="{00000000-0005-0000-0000-0000AFB70000}"/>
    <cellStyle name="Normal 7 6 5 7" xfId="13812" xr:uid="{00000000-0005-0000-0000-0000B0B70000}"/>
    <cellStyle name="Normal 7 6 6" xfId="3692" xr:uid="{00000000-0005-0000-0000-0000B1B70000}"/>
    <cellStyle name="Normal 7 6 6 2" xfId="35433" xr:uid="{00000000-0005-0000-0000-0000B2B70000}"/>
    <cellStyle name="Normal 7 6 6 2 2" xfId="51533" xr:uid="{00000000-0005-0000-0000-0000B3B70000}"/>
    <cellStyle name="Normal 7 6 6 3" xfId="41966" xr:uid="{00000000-0005-0000-0000-0000B4B70000}"/>
    <cellStyle name="Normal 7 6 6 4" xfId="25866" xr:uid="{00000000-0005-0000-0000-0000B5B70000}"/>
    <cellStyle name="Normal 7 6 6 5" xfId="16297" xr:uid="{00000000-0005-0000-0000-0000B6B70000}"/>
    <cellStyle name="Normal 7 6 7" xfId="6728" xr:uid="{00000000-0005-0000-0000-0000B7B70000}"/>
    <cellStyle name="Normal 7 6 7 2" xfId="38469" xr:uid="{00000000-0005-0000-0000-0000B8B70000}"/>
    <cellStyle name="Normal 7 6 7 2 2" xfId="54569" xr:uid="{00000000-0005-0000-0000-0000B9B70000}"/>
    <cellStyle name="Normal 7 6 7 3" xfId="45002" xr:uid="{00000000-0005-0000-0000-0000BAB70000}"/>
    <cellStyle name="Normal 7 6 7 4" xfId="28902" xr:uid="{00000000-0005-0000-0000-0000BBB70000}"/>
    <cellStyle name="Normal 7 6 7 5" xfId="19333" xr:uid="{00000000-0005-0000-0000-0000BCB70000}"/>
    <cellStyle name="Normal 7 6 8" xfId="9764" xr:uid="{00000000-0005-0000-0000-0000BDB70000}"/>
    <cellStyle name="Normal 7 6 8 2" xfId="48038" xr:uid="{00000000-0005-0000-0000-0000BEB70000}"/>
    <cellStyle name="Normal 7 6 8 3" xfId="31938" xr:uid="{00000000-0005-0000-0000-0000BFB70000}"/>
    <cellStyle name="Normal 7 6 8 4" xfId="22369" xr:uid="{00000000-0005-0000-0000-0000C0B70000}"/>
    <cellStyle name="Normal 7 6 9" xfId="3232" xr:uid="{00000000-0005-0000-0000-0000C1B70000}"/>
    <cellStyle name="Normal 7 6 9 2" xfId="51074" xr:uid="{00000000-0005-0000-0000-0000C2B70000}"/>
    <cellStyle name="Normal 7 6 9 3" xfId="34974" xr:uid="{00000000-0005-0000-0000-0000C3B70000}"/>
    <cellStyle name="Normal 7 6 9 4" xfId="15838" xr:uid="{00000000-0005-0000-0000-0000C4B70000}"/>
    <cellStyle name="Normal 7 7" xfId="41" xr:uid="{00000000-0005-0000-0000-0000C5B70000}"/>
    <cellStyle name="Normal 7 7 10" xfId="41524" xr:uid="{00000000-0005-0000-0000-0000C6B70000}"/>
    <cellStyle name="Normal 7 7 11" xfId="25424" xr:uid="{00000000-0005-0000-0000-0000C7B70000}"/>
    <cellStyle name="Normal 7 7 12" xfId="12819" xr:uid="{00000000-0005-0000-0000-0000C8B70000}"/>
    <cellStyle name="Normal 7 7 2" xfId="894" xr:uid="{00000000-0005-0000-0000-0000C9B70000}"/>
    <cellStyle name="Normal 7 7 2 10" xfId="13502" xr:uid="{00000000-0005-0000-0000-0000CAB70000}"/>
    <cellStyle name="Normal 7 7 2 2" xfId="2922" xr:uid="{00000000-0005-0000-0000-0000CBB70000}"/>
    <cellStyle name="Normal 7 7 2 2 2" xfId="9454" xr:uid="{00000000-0005-0000-0000-0000CCB70000}"/>
    <cellStyle name="Normal 7 7 2 2 2 2" xfId="41195" xr:uid="{00000000-0005-0000-0000-0000CDB70000}"/>
    <cellStyle name="Normal 7 7 2 2 2 2 2" xfId="57295" xr:uid="{00000000-0005-0000-0000-0000CEB70000}"/>
    <cellStyle name="Normal 7 7 2 2 2 3" xfId="47728" xr:uid="{00000000-0005-0000-0000-0000CFB70000}"/>
    <cellStyle name="Normal 7 7 2 2 2 4" xfId="31628" xr:uid="{00000000-0005-0000-0000-0000D0B70000}"/>
    <cellStyle name="Normal 7 7 2 2 2 5" xfId="22059" xr:uid="{00000000-0005-0000-0000-0000D1B70000}"/>
    <cellStyle name="Normal 7 7 2 2 3" xfId="12490" xr:uid="{00000000-0005-0000-0000-0000D2B70000}"/>
    <cellStyle name="Normal 7 7 2 2 3 2" xfId="50764" xr:uid="{00000000-0005-0000-0000-0000D3B70000}"/>
    <cellStyle name="Normal 7 7 2 2 3 3" xfId="34664" xr:uid="{00000000-0005-0000-0000-0000D4B70000}"/>
    <cellStyle name="Normal 7 7 2 2 3 4" xfId="25095" xr:uid="{00000000-0005-0000-0000-0000D5B70000}"/>
    <cellStyle name="Normal 7 7 2 2 4" xfId="6418" xr:uid="{00000000-0005-0000-0000-0000D6B70000}"/>
    <cellStyle name="Normal 7 7 2 2 4 2" xfId="54259" xr:uid="{00000000-0005-0000-0000-0000D7B70000}"/>
    <cellStyle name="Normal 7 7 2 2 4 3" xfId="38159" xr:uid="{00000000-0005-0000-0000-0000D8B70000}"/>
    <cellStyle name="Normal 7 7 2 2 4 4" xfId="19023" xr:uid="{00000000-0005-0000-0000-0000D9B70000}"/>
    <cellStyle name="Normal 7 7 2 2 5" xfId="44692" xr:uid="{00000000-0005-0000-0000-0000DAB70000}"/>
    <cellStyle name="Normal 7 7 2 2 6" xfId="28592" xr:uid="{00000000-0005-0000-0000-0000DBB70000}"/>
    <cellStyle name="Normal 7 7 2 2 7" xfId="15528" xr:uid="{00000000-0005-0000-0000-0000DCB70000}"/>
    <cellStyle name="Normal 7 7 2 3" xfId="1904" xr:uid="{00000000-0005-0000-0000-0000DDB70000}"/>
    <cellStyle name="Normal 7 7 2 3 2" xfId="8438" xr:uid="{00000000-0005-0000-0000-0000DEB70000}"/>
    <cellStyle name="Normal 7 7 2 3 2 2" xfId="40179" xr:uid="{00000000-0005-0000-0000-0000DFB70000}"/>
    <cellStyle name="Normal 7 7 2 3 2 2 2" xfId="56279" xr:uid="{00000000-0005-0000-0000-0000E0B70000}"/>
    <cellStyle name="Normal 7 7 2 3 2 3" xfId="46712" xr:uid="{00000000-0005-0000-0000-0000E1B70000}"/>
    <cellStyle name="Normal 7 7 2 3 2 4" xfId="30612" xr:uid="{00000000-0005-0000-0000-0000E2B70000}"/>
    <cellStyle name="Normal 7 7 2 3 2 5" xfId="21043" xr:uid="{00000000-0005-0000-0000-0000E3B70000}"/>
    <cellStyle name="Normal 7 7 2 3 3" xfId="11474" xr:uid="{00000000-0005-0000-0000-0000E4B70000}"/>
    <cellStyle name="Normal 7 7 2 3 3 2" xfId="49748" xr:uid="{00000000-0005-0000-0000-0000E5B70000}"/>
    <cellStyle name="Normal 7 7 2 3 3 3" xfId="33648" xr:uid="{00000000-0005-0000-0000-0000E6B70000}"/>
    <cellStyle name="Normal 7 7 2 3 3 4" xfId="24079" xr:uid="{00000000-0005-0000-0000-0000E7B70000}"/>
    <cellStyle name="Normal 7 7 2 3 4" xfId="5402" xr:uid="{00000000-0005-0000-0000-0000E8B70000}"/>
    <cellStyle name="Normal 7 7 2 3 4 2" xfId="53243" xr:uid="{00000000-0005-0000-0000-0000E9B70000}"/>
    <cellStyle name="Normal 7 7 2 3 4 3" xfId="37143" xr:uid="{00000000-0005-0000-0000-0000EAB70000}"/>
    <cellStyle name="Normal 7 7 2 3 4 4" xfId="18007" xr:uid="{00000000-0005-0000-0000-0000EBB70000}"/>
    <cellStyle name="Normal 7 7 2 3 5" xfId="43676" xr:uid="{00000000-0005-0000-0000-0000ECB70000}"/>
    <cellStyle name="Normal 7 7 2 3 6" xfId="27576" xr:uid="{00000000-0005-0000-0000-0000EDB70000}"/>
    <cellStyle name="Normal 7 7 2 3 7" xfId="14512" xr:uid="{00000000-0005-0000-0000-0000EEB70000}"/>
    <cellStyle name="Normal 7 7 2 4" xfId="4392" xr:uid="{00000000-0005-0000-0000-0000EFB70000}"/>
    <cellStyle name="Normal 7 7 2 4 2" xfId="36133" xr:uid="{00000000-0005-0000-0000-0000F0B70000}"/>
    <cellStyle name="Normal 7 7 2 4 2 2" xfId="52233" xr:uid="{00000000-0005-0000-0000-0000F1B70000}"/>
    <cellStyle name="Normal 7 7 2 4 3" xfId="42666" xr:uid="{00000000-0005-0000-0000-0000F2B70000}"/>
    <cellStyle name="Normal 7 7 2 4 4" xfId="26566" xr:uid="{00000000-0005-0000-0000-0000F3B70000}"/>
    <cellStyle name="Normal 7 7 2 4 5" xfId="16997" xr:uid="{00000000-0005-0000-0000-0000F4B70000}"/>
    <cellStyle name="Normal 7 7 2 5" xfId="7428" xr:uid="{00000000-0005-0000-0000-0000F5B70000}"/>
    <cellStyle name="Normal 7 7 2 5 2" xfId="39169" xr:uid="{00000000-0005-0000-0000-0000F6B70000}"/>
    <cellStyle name="Normal 7 7 2 5 2 2" xfId="55269" xr:uid="{00000000-0005-0000-0000-0000F7B70000}"/>
    <cellStyle name="Normal 7 7 2 5 3" xfId="45702" xr:uid="{00000000-0005-0000-0000-0000F8B70000}"/>
    <cellStyle name="Normal 7 7 2 5 4" xfId="29602" xr:uid="{00000000-0005-0000-0000-0000F9B70000}"/>
    <cellStyle name="Normal 7 7 2 5 5" xfId="20033" xr:uid="{00000000-0005-0000-0000-0000FAB70000}"/>
    <cellStyle name="Normal 7 7 2 6" xfId="10464" xr:uid="{00000000-0005-0000-0000-0000FBB70000}"/>
    <cellStyle name="Normal 7 7 2 6 2" xfId="48738" xr:uid="{00000000-0005-0000-0000-0000FCB70000}"/>
    <cellStyle name="Normal 7 7 2 6 3" xfId="32638" xr:uid="{00000000-0005-0000-0000-0000FDB70000}"/>
    <cellStyle name="Normal 7 7 2 6 4" xfId="23069" xr:uid="{00000000-0005-0000-0000-0000FEB70000}"/>
    <cellStyle name="Normal 7 7 2 7" xfId="3487" xr:uid="{00000000-0005-0000-0000-0000FFB70000}"/>
    <cellStyle name="Normal 7 7 2 7 2" xfId="51328" xr:uid="{00000000-0005-0000-0000-000000B80000}"/>
    <cellStyle name="Normal 7 7 2 7 3" xfId="35228" xr:uid="{00000000-0005-0000-0000-000001B80000}"/>
    <cellStyle name="Normal 7 7 2 7 4" xfId="16092" xr:uid="{00000000-0005-0000-0000-000002B80000}"/>
    <cellStyle name="Normal 7 7 2 8" xfId="41761" xr:uid="{00000000-0005-0000-0000-000003B80000}"/>
    <cellStyle name="Normal 7 7 2 9" xfId="25661" xr:uid="{00000000-0005-0000-0000-000004B80000}"/>
    <cellStyle name="Normal 7 7 3" xfId="672" xr:uid="{00000000-0005-0000-0000-000005B80000}"/>
    <cellStyle name="Normal 7 7 3 2" xfId="2700" xr:uid="{00000000-0005-0000-0000-000006B80000}"/>
    <cellStyle name="Normal 7 7 3 2 2" xfId="9232" xr:uid="{00000000-0005-0000-0000-000007B80000}"/>
    <cellStyle name="Normal 7 7 3 2 2 2" xfId="40973" xr:uid="{00000000-0005-0000-0000-000008B80000}"/>
    <cellStyle name="Normal 7 7 3 2 2 2 2" xfId="57073" xr:uid="{00000000-0005-0000-0000-000009B80000}"/>
    <cellStyle name="Normal 7 7 3 2 2 3" xfId="47506" xr:uid="{00000000-0005-0000-0000-00000AB80000}"/>
    <cellStyle name="Normal 7 7 3 2 2 4" xfId="31406" xr:uid="{00000000-0005-0000-0000-00000BB80000}"/>
    <cellStyle name="Normal 7 7 3 2 2 5" xfId="21837" xr:uid="{00000000-0005-0000-0000-00000CB80000}"/>
    <cellStyle name="Normal 7 7 3 2 3" xfId="12268" xr:uid="{00000000-0005-0000-0000-00000DB80000}"/>
    <cellStyle name="Normal 7 7 3 2 3 2" xfId="50542" xr:uid="{00000000-0005-0000-0000-00000EB80000}"/>
    <cellStyle name="Normal 7 7 3 2 3 3" xfId="34442" xr:uid="{00000000-0005-0000-0000-00000FB80000}"/>
    <cellStyle name="Normal 7 7 3 2 3 4" xfId="24873" xr:uid="{00000000-0005-0000-0000-000010B80000}"/>
    <cellStyle name="Normal 7 7 3 2 4" xfId="6196" xr:uid="{00000000-0005-0000-0000-000011B80000}"/>
    <cellStyle name="Normal 7 7 3 2 4 2" xfId="54037" xr:uid="{00000000-0005-0000-0000-000012B80000}"/>
    <cellStyle name="Normal 7 7 3 2 4 3" xfId="37937" xr:uid="{00000000-0005-0000-0000-000013B80000}"/>
    <cellStyle name="Normal 7 7 3 2 4 4" xfId="18801" xr:uid="{00000000-0005-0000-0000-000014B80000}"/>
    <cellStyle name="Normal 7 7 3 2 5" xfId="44470" xr:uid="{00000000-0005-0000-0000-000015B80000}"/>
    <cellStyle name="Normal 7 7 3 2 6" xfId="28370" xr:uid="{00000000-0005-0000-0000-000016B80000}"/>
    <cellStyle name="Normal 7 7 3 2 7" xfId="15306" xr:uid="{00000000-0005-0000-0000-000017B80000}"/>
    <cellStyle name="Normal 7 7 3 3" xfId="1682" xr:uid="{00000000-0005-0000-0000-000018B80000}"/>
    <cellStyle name="Normal 7 7 3 3 2" xfId="8216" xr:uid="{00000000-0005-0000-0000-000019B80000}"/>
    <cellStyle name="Normal 7 7 3 3 2 2" xfId="39957" xr:uid="{00000000-0005-0000-0000-00001AB80000}"/>
    <cellStyle name="Normal 7 7 3 3 2 2 2" xfId="56057" xr:uid="{00000000-0005-0000-0000-00001BB80000}"/>
    <cellStyle name="Normal 7 7 3 3 2 3" xfId="46490" xr:uid="{00000000-0005-0000-0000-00001CB80000}"/>
    <cellStyle name="Normal 7 7 3 3 2 4" xfId="30390" xr:uid="{00000000-0005-0000-0000-00001DB80000}"/>
    <cellStyle name="Normal 7 7 3 3 2 5" xfId="20821" xr:uid="{00000000-0005-0000-0000-00001EB80000}"/>
    <cellStyle name="Normal 7 7 3 3 3" xfId="11252" xr:uid="{00000000-0005-0000-0000-00001FB80000}"/>
    <cellStyle name="Normal 7 7 3 3 3 2" xfId="49526" xr:uid="{00000000-0005-0000-0000-000020B80000}"/>
    <cellStyle name="Normal 7 7 3 3 3 3" xfId="33426" xr:uid="{00000000-0005-0000-0000-000021B80000}"/>
    <cellStyle name="Normal 7 7 3 3 3 4" xfId="23857" xr:uid="{00000000-0005-0000-0000-000022B80000}"/>
    <cellStyle name="Normal 7 7 3 3 4" xfId="5180" xr:uid="{00000000-0005-0000-0000-000023B80000}"/>
    <cellStyle name="Normal 7 7 3 3 4 2" xfId="53021" xr:uid="{00000000-0005-0000-0000-000024B80000}"/>
    <cellStyle name="Normal 7 7 3 3 4 3" xfId="36921" xr:uid="{00000000-0005-0000-0000-000025B80000}"/>
    <cellStyle name="Normal 7 7 3 3 4 4" xfId="17785" xr:uid="{00000000-0005-0000-0000-000026B80000}"/>
    <cellStyle name="Normal 7 7 3 3 5" xfId="43454" xr:uid="{00000000-0005-0000-0000-000027B80000}"/>
    <cellStyle name="Normal 7 7 3 3 6" xfId="27354" xr:uid="{00000000-0005-0000-0000-000028B80000}"/>
    <cellStyle name="Normal 7 7 3 3 7" xfId="14290" xr:uid="{00000000-0005-0000-0000-000029B80000}"/>
    <cellStyle name="Normal 7 7 3 4" xfId="7206" xr:uid="{00000000-0005-0000-0000-00002AB80000}"/>
    <cellStyle name="Normal 7 7 3 4 2" xfId="38947" xr:uid="{00000000-0005-0000-0000-00002BB80000}"/>
    <cellStyle name="Normal 7 7 3 4 2 2" xfId="55047" xr:uid="{00000000-0005-0000-0000-00002CB80000}"/>
    <cellStyle name="Normal 7 7 3 4 3" xfId="45480" xr:uid="{00000000-0005-0000-0000-00002DB80000}"/>
    <cellStyle name="Normal 7 7 3 4 4" xfId="29380" xr:uid="{00000000-0005-0000-0000-00002EB80000}"/>
    <cellStyle name="Normal 7 7 3 4 5" xfId="19811" xr:uid="{00000000-0005-0000-0000-00002FB80000}"/>
    <cellStyle name="Normal 7 7 3 5" xfId="10242" xr:uid="{00000000-0005-0000-0000-000030B80000}"/>
    <cellStyle name="Normal 7 7 3 5 2" xfId="48516" xr:uid="{00000000-0005-0000-0000-000031B80000}"/>
    <cellStyle name="Normal 7 7 3 5 3" xfId="32416" xr:uid="{00000000-0005-0000-0000-000032B80000}"/>
    <cellStyle name="Normal 7 7 3 5 4" xfId="22847" xr:uid="{00000000-0005-0000-0000-000033B80000}"/>
    <cellStyle name="Normal 7 7 3 6" xfId="4170" xr:uid="{00000000-0005-0000-0000-000034B80000}"/>
    <cellStyle name="Normal 7 7 3 6 2" xfId="52011" xr:uid="{00000000-0005-0000-0000-000035B80000}"/>
    <cellStyle name="Normal 7 7 3 6 3" xfId="35911" xr:uid="{00000000-0005-0000-0000-000036B80000}"/>
    <cellStyle name="Normal 7 7 3 6 4" xfId="16775" xr:uid="{00000000-0005-0000-0000-000037B80000}"/>
    <cellStyle name="Normal 7 7 3 7" xfId="42444" xr:uid="{00000000-0005-0000-0000-000038B80000}"/>
    <cellStyle name="Normal 7 7 3 8" xfId="26344" xr:uid="{00000000-0005-0000-0000-000039B80000}"/>
    <cellStyle name="Normal 7 7 3 9" xfId="13280" xr:uid="{00000000-0005-0000-0000-00003AB80000}"/>
    <cellStyle name="Normal 7 7 4" xfId="2472" xr:uid="{00000000-0005-0000-0000-00003BB80000}"/>
    <cellStyle name="Normal 7 7 4 2" xfId="9004" xr:uid="{00000000-0005-0000-0000-00003CB80000}"/>
    <cellStyle name="Normal 7 7 4 2 2" xfId="40745" xr:uid="{00000000-0005-0000-0000-00003DB80000}"/>
    <cellStyle name="Normal 7 7 4 2 2 2" xfId="56845" xr:uid="{00000000-0005-0000-0000-00003EB80000}"/>
    <cellStyle name="Normal 7 7 4 2 3" xfId="47278" xr:uid="{00000000-0005-0000-0000-00003FB80000}"/>
    <cellStyle name="Normal 7 7 4 2 4" xfId="31178" xr:uid="{00000000-0005-0000-0000-000040B80000}"/>
    <cellStyle name="Normal 7 7 4 2 5" xfId="21609" xr:uid="{00000000-0005-0000-0000-000041B80000}"/>
    <cellStyle name="Normal 7 7 4 3" xfId="12040" xr:uid="{00000000-0005-0000-0000-000042B80000}"/>
    <cellStyle name="Normal 7 7 4 3 2" xfId="50314" xr:uid="{00000000-0005-0000-0000-000043B80000}"/>
    <cellStyle name="Normal 7 7 4 3 3" xfId="34214" xr:uid="{00000000-0005-0000-0000-000044B80000}"/>
    <cellStyle name="Normal 7 7 4 3 4" xfId="24645" xr:uid="{00000000-0005-0000-0000-000045B80000}"/>
    <cellStyle name="Normal 7 7 4 4" xfId="5968" xr:uid="{00000000-0005-0000-0000-000046B80000}"/>
    <cellStyle name="Normal 7 7 4 4 2" xfId="53809" xr:uid="{00000000-0005-0000-0000-000047B80000}"/>
    <cellStyle name="Normal 7 7 4 4 3" xfId="37709" xr:uid="{00000000-0005-0000-0000-000048B80000}"/>
    <cellStyle name="Normal 7 7 4 4 4" xfId="18573" xr:uid="{00000000-0005-0000-0000-000049B80000}"/>
    <cellStyle name="Normal 7 7 4 5" xfId="44242" xr:uid="{00000000-0005-0000-0000-00004AB80000}"/>
    <cellStyle name="Normal 7 7 4 6" xfId="28142" xr:uid="{00000000-0005-0000-0000-00004BB80000}"/>
    <cellStyle name="Normal 7 7 4 7" xfId="15078" xr:uid="{00000000-0005-0000-0000-00004CB80000}"/>
    <cellStyle name="Normal 7 7 5" xfId="1221" xr:uid="{00000000-0005-0000-0000-00004DB80000}"/>
    <cellStyle name="Normal 7 7 5 2" xfId="7755" xr:uid="{00000000-0005-0000-0000-00004EB80000}"/>
    <cellStyle name="Normal 7 7 5 2 2" xfId="39496" xr:uid="{00000000-0005-0000-0000-00004FB80000}"/>
    <cellStyle name="Normal 7 7 5 2 2 2" xfId="55596" xr:uid="{00000000-0005-0000-0000-000050B80000}"/>
    <cellStyle name="Normal 7 7 5 2 3" xfId="46029" xr:uid="{00000000-0005-0000-0000-000051B80000}"/>
    <cellStyle name="Normal 7 7 5 2 4" xfId="29929" xr:uid="{00000000-0005-0000-0000-000052B80000}"/>
    <cellStyle name="Normal 7 7 5 2 5" xfId="20360" xr:uid="{00000000-0005-0000-0000-000053B80000}"/>
    <cellStyle name="Normal 7 7 5 3" xfId="10791" xr:uid="{00000000-0005-0000-0000-000054B80000}"/>
    <cellStyle name="Normal 7 7 5 3 2" xfId="49065" xr:uid="{00000000-0005-0000-0000-000055B80000}"/>
    <cellStyle name="Normal 7 7 5 3 3" xfId="32965" xr:uid="{00000000-0005-0000-0000-000056B80000}"/>
    <cellStyle name="Normal 7 7 5 3 4" xfId="23396" xr:uid="{00000000-0005-0000-0000-000057B80000}"/>
    <cellStyle name="Normal 7 7 5 4" xfId="4719" xr:uid="{00000000-0005-0000-0000-000058B80000}"/>
    <cellStyle name="Normal 7 7 5 4 2" xfId="52560" xr:uid="{00000000-0005-0000-0000-000059B80000}"/>
    <cellStyle name="Normal 7 7 5 4 3" xfId="36460" xr:uid="{00000000-0005-0000-0000-00005AB80000}"/>
    <cellStyle name="Normal 7 7 5 4 4" xfId="17324" xr:uid="{00000000-0005-0000-0000-00005BB80000}"/>
    <cellStyle name="Normal 7 7 5 5" xfId="42993" xr:uid="{00000000-0005-0000-0000-00005CB80000}"/>
    <cellStyle name="Normal 7 7 5 6" xfId="26893" xr:uid="{00000000-0005-0000-0000-00005DB80000}"/>
    <cellStyle name="Normal 7 7 5 7" xfId="13829" xr:uid="{00000000-0005-0000-0000-00005EB80000}"/>
    <cellStyle name="Normal 7 7 6" xfId="3709" xr:uid="{00000000-0005-0000-0000-00005FB80000}"/>
    <cellStyle name="Normal 7 7 6 2" xfId="35450" xr:uid="{00000000-0005-0000-0000-000060B80000}"/>
    <cellStyle name="Normal 7 7 6 2 2" xfId="51550" xr:uid="{00000000-0005-0000-0000-000061B80000}"/>
    <cellStyle name="Normal 7 7 6 3" xfId="41983" xr:uid="{00000000-0005-0000-0000-000062B80000}"/>
    <cellStyle name="Normal 7 7 6 4" xfId="25883" xr:uid="{00000000-0005-0000-0000-000063B80000}"/>
    <cellStyle name="Normal 7 7 6 5" xfId="16314" xr:uid="{00000000-0005-0000-0000-000064B80000}"/>
    <cellStyle name="Normal 7 7 7" xfId="6745" xr:uid="{00000000-0005-0000-0000-000065B80000}"/>
    <cellStyle name="Normal 7 7 7 2" xfId="38486" xr:uid="{00000000-0005-0000-0000-000066B80000}"/>
    <cellStyle name="Normal 7 7 7 2 2" xfId="54586" xr:uid="{00000000-0005-0000-0000-000067B80000}"/>
    <cellStyle name="Normal 7 7 7 3" xfId="45019" xr:uid="{00000000-0005-0000-0000-000068B80000}"/>
    <cellStyle name="Normal 7 7 7 4" xfId="28919" xr:uid="{00000000-0005-0000-0000-000069B80000}"/>
    <cellStyle name="Normal 7 7 7 5" xfId="19350" xr:uid="{00000000-0005-0000-0000-00006AB80000}"/>
    <cellStyle name="Normal 7 7 8" xfId="9781" xr:uid="{00000000-0005-0000-0000-00006BB80000}"/>
    <cellStyle name="Normal 7 7 8 2" xfId="48055" xr:uid="{00000000-0005-0000-0000-00006CB80000}"/>
    <cellStyle name="Normal 7 7 8 3" xfId="31955" xr:uid="{00000000-0005-0000-0000-00006DB80000}"/>
    <cellStyle name="Normal 7 7 8 4" xfId="22386" xr:uid="{00000000-0005-0000-0000-00006EB80000}"/>
    <cellStyle name="Normal 7 7 9" xfId="3249" xr:uid="{00000000-0005-0000-0000-00006FB80000}"/>
    <cellStyle name="Normal 7 7 9 2" xfId="51091" xr:uid="{00000000-0005-0000-0000-000070B80000}"/>
    <cellStyle name="Normal 7 7 9 3" xfId="34991" xr:uid="{00000000-0005-0000-0000-000071B80000}"/>
    <cellStyle name="Normal 7 7 9 4" xfId="15855" xr:uid="{00000000-0005-0000-0000-000072B80000}"/>
    <cellStyle name="Normal 7 8" xfId="458" xr:uid="{00000000-0005-0000-0000-000073B80000}"/>
    <cellStyle name="Normal 7 8 10" xfId="41541" xr:uid="{00000000-0005-0000-0000-000074B80000}"/>
    <cellStyle name="Normal 7 8 11" xfId="25441" xr:uid="{00000000-0005-0000-0000-000075B80000}"/>
    <cellStyle name="Normal 7 8 12" xfId="12836" xr:uid="{00000000-0005-0000-0000-000076B80000}"/>
    <cellStyle name="Normal 7 8 2" xfId="911" xr:uid="{00000000-0005-0000-0000-000077B80000}"/>
    <cellStyle name="Normal 7 8 2 10" xfId="13519" xr:uid="{00000000-0005-0000-0000-000078B80000}"/>
    <cellStyle name="Normal 7 8 2 2" xfId="2939" xr:uid="{00000000-0005-0000-0000-000079B80000}"/>
    <cellStyle name="Normal 7 8 2 2 2" xfId="9471" xr:uid="{00000000-0005-0000-0000-00007AB80000}"/>
    <cellStyle name="Normal 7 8 2 2 2 2" xfId="41212" xr:uid="{00000000-0005-0000-0000-00007BB80000}"/>
    <cellStyle name="Normal 7 8 2 2 2 2 2" xfId="57312" xr:uid="{00000000-0005-0000-0000-00007CB80000}"/>
    <cellStyle name="Normal 7 8 2 2 2 3" xfId="47745" xr:uid="{00000000-0005-0000-0000-00007DB80000}"/>
    <cellStyle name="Normal 7 8 2 2 2 4" xfId="31645" xr:uid="{00000000-0005-0000-0000-00007EB80000}"/>
    <cellStyle name="Normal 7 8 2 2 2 5" xfId="22076" xr:uid="{00000000-0005-0000-0000-00007FB80000}"/>
    <cellStyle name="Normal 7 8 2 2 3" xfId="12507" xr:uid="{00000000-0005-0000-0000-000080B80000}"/>
    <cellStyle name="Normal 7 8 2 2 3 2" xfId="50781" xr:uid="{00000000-0005-0000-0000-000081B80000}"/>
    <cellStyle name="Normal 7 8 2 2 3 3" xfId="34681" xr:uid="{00000000-0005-0000-0000-000082B80000}"/>
    <cellStyle name="Normal 7 8 2 2 3 4" xfId="25112" xr:uid="{00000000-0005-0000-0000-000083B80000}"/>
    <cellStyle name="Normal 7 8 2 2 4" xfId="6435" xr:uid="{00000000-0005-0000-0000-000084B80000}"/>
    <cellStyle name="Normal 7 8 2 2 4 2" xfId="54276" xr:uid="{00000000-0005-0000-0000-000085B80000}"/>
    <cellStyle name="Normal 7 8 2 2 4 3" xfId="38176" xr:uid="{00000000-0005-0000-0000-000086B80000}"/>
    <cellStyle name="Normal 7 8 2 2 4 4" xfId="19040" xr:uid="{00000000-0005-0000-0000-000087B80000}"/>
    <cellStyle name="Normal 7 8 2 2 5" xfId="44709" xr:uid="{00000000-0005-0000-0000-000088B80000}"/>
    <cellStyle name="Normal 7 8 2 2 6" xfId="28609" xr:uid="{00000000-0005-0000-0000-000089B80000}"/>
    <cellStyle name="Normal 7 8 2 2 7" xfId="15545" xr:uid="{00000000-0005-0000-0000-00008AB80000}"/>
    <cellStyle name="Normal 7 8 2 3" xfId="1921" xr:uid="{00000000-0005-0000-0000-00008BB80000}"/>
    <cellStyle name="Normal 7 8 2 3 2" xfId="8455" xr:uid="{00000000-0005-0000-0000-00008CB80000}"/>
    <cellStyle name="Normal 7 8 2 3 2 2" xfId="40196" xr:uid="{00000000-0005-0000-0000-00008DB80000}"/>
    <cellStyle name="Normal 7 8 2 3 2 2 2" xfId="56296" xr:uid="{00000000-0005-0000-0000-00008EB80000}"/>
    <cellStyle name="Normal 7 8 2 3 2 3" xfId="46729" xr:uid="{00000000-0005-0000-0000-00008FB80000}"/>
    <cellStyle name="Normal 7 8 2 3 2 4" xfId="30629" xr:uid="{00000000-0005-0000-0000-000090B80000}"/>
    <cellStyle name="Normal 7 8 2 3 2 5" xfId="21060" xr:uid="{00000000-0005-0000-0000-000091B80000}"/>
    <cellStyle name="Normal 7 8 2 3 3" xfId="11491" xr:uid="{00000000-0005-0000-0000-000092B80000}"/>
    <cellStyle name="Normal 7 8 2 3 3 2" xfId="49765" xr:uid="{00000000-0005-0000-0000-000093B80000}"/>
    <cellStyle name="Normal 7 8 2 3 3 3" xfId="33665" xr:uid="{00000000-0005-0000-0000-000094B80000}"/>
    <cellStyle name="Normal 7 8 2 3 3 4" xfId="24096" xr:uid="{00000000-0005-0000-0000-000095B80000}"/>
    <cellStyle name="Normal 7 8 2 3 4" xfId="5419" xr:uid="{00000000-0005-0000-0000-000096B80000}"/>
    <cellStyle name="Normal 7 8 2 3 4 2" xfId="53260" xr:uid="{00000000-0005-0000-0000-000097B80000}"/>
    <cellStyle name="Normal 7 8 2 3 4 3" xfId="37160" xr:uid="{00000000-0005-0000-0000-000098B80000}"/>
    <cellStyle name="Normal 7 8 2 3 4 4" xfId="18024" xr:uid="{00000000-0005-0000-0000-000099B80000}"/>
    <cellStyle name="Normal 7 8 2 3 5" xfId="43693" xr:uid="{00000000-0005-0000-0000-00009AB80000}"/>
    <cellStyle name="Normal 7 8 2 3 6" xfId="27593" xr:uid="{00000000-0005-0000-0000-00009BB80000}"/>
    <cellStyle name="Normal 7 8 2 3 7" xfId="14529" xr:uid="{00000000-0005-0000-0000-00009CB80000}"/>
    <cellStyle name="Normal 7 8 2 4" xfId="4409" xr:uid="{00000000-0005-0000-0000-00009DB80000}"/>
    <cellStyle name="Normal 7 8 2 4 2" xfId="36150" xr:uid="{00000000-0005-0000-0000-00009EB80000}"/>
    <cellStyle name="Normal 7 8 2 4 2 2" xfId="52250" xr:uid="{00000000-0005-0000-0000-00009FB80000}"/>
    <cellStyle name="Normal 7 8 2 4 3" xfId="42683" xr:uid="{00000000-0005-0000-0000-0000A0B80000}"/>
    <cellStyle name="Normal 7 8 2 4 4" xfId="26583" xr:uid="{00000000-0005-0000-0000-0000A1B80000}"/>
    <cellStyle name="Normal 7 8 2 4 5" xfId="17014" xr:uid="{00000000-0005-0000-0000-0000A2B80000}"/>
    <cellStyle name="Normal 7 8 2 5" xfId="7445" xr:uid="{00000000-0005-0000-0000-0000A3B80000}"/>
    <cellStyle name="Normal 7 8 2 5 2" xfId="39186" xr:uid="{00000000-0005-0000-0000-0000A4B80000}"/>
    <cellStyle name="Normal 7 8 2 5 2 2" xfId="55286" xr:uid="{00000000-0005-0000-0000-0000A5B80000}"/>
    <cellStyle name="Normal 7 8 2 5 3" xfId="45719" xr:uid="{00000000-0005-0000-0000-0000A6B80000}"/>
    <cellStyle name="Normal 7 8 2 5 4" xfId="29619" xr:uid="{00000000-0005-0000-0000-0000A7B80000}"/>
    <cellStyle name="Normal 7 8 2 5 5" xfId="20050" xr:uid="{00000000-0005-0000-0000-0000A8B80000}"/>
    <cellStyle name="Normal 7 8 2 6" xfId="10481" xr:uid="{00000000-0005-0000-0000-0000A9B80000}"/>
    <cellStyle name="Normal 7 8 2 6 2" xfId="48755" xr:uid="{00000000-0005-0000-0000-0000AAB80000}"/>
    <cellStyle name="Normal 7 8 2 6 3" xfId="32655" xr:uid="{00000000-0005-0000-0000-0000ABB80000}"/>
    <cellStyle name="Normal 7 8 2 6 4" xfId="23086" xr:uid="{00000000-0005-0000-0000-0000ACB80000}"/>
    <cellStyle name="Normal 7 8 2 7" xfId="3504" xr:uid="{00000000-0005-0000-0000-0000ADB80000}"/>
    <cellStyle name="Normal 7 8 2 7 2" xfId="51345" xr:uid="{00000000-0005-0000-0000-0000AEB80000}"/>
    <cellStyle name="Normal 7 8 2 7 3" xfId="35245" xr:uid="{00000000-0005-0000-0000-0000AFB80000}"/>
    <cellStyle name="Normal 7 8 2 7 4" xfId="16109" xr:uid="{00000000-0005-0000-0000-0000B0B80000}"/>
    <cellStyle name="Normal 7 8 2 8" xfId="41778" xr:uid="{00000000-0005-0000-0000-0000B1B80000}"/>
    <cellStyle name="Normal 7 8 2 9" xfId="25678" xr:uid="{00000000-0005-0000-0000-0000B2B80000}"/>
    <cellStyle name="Normal 7 8 3" xfId="689" xr:uid="{00000000-0005-0000-0000-0000B3B80000}"/>
    <cellStyle name="Normal 7 8 3 2" xfId="2717" xr:uid="{00000000-0005-0000-0000-0000B4B80000}"/>
    <cellStyle name="Normal 7 8 3 2 2" xfId="9249" xr:uid="{00000000-0005-0000-0000-0000B5B80000}"/>
    <cellStyle name="Normal 7 8 3 2 2 2" xfId="40990" xr:uid="{00000000-0005-0000-0000-0000B6B80000}"/>
    <cellStyle name="Normal 7 8 3 2 2 2 2" xfId="57090" xr:uid="{00000000-0005-0000-0000-0000B7B80000}"/>
    <cellStyle name="Normal 7 8 3 2 2 3" xfId="47523" xr:uid="{00000000-0005-0000-0000-0000B8B80000}"/>
    <cellStyle name="Normal 7 8 3 2 2 4" xfId="31423" xr:uid="{00000000-0005-0000-0000-0000B9B80000}"/>
    <cellStyle name="Normal 7 8 3 2 2 5" xfId="21854" xr:uid="{00000000-0005-0000-0000-0000BAB80000}"/>
    <cellStyle name="Normal 7 8 3 2 3" xfId="12285" xr:uid="{00000000-0005-0000-0000-0000BBB80000}"/>
    <cellStyle name="Normal 7 8 3 2 3 2" xfId="50559" xr:uid="{00000000-0005-0000-0000-0000BCB80000}"/>
    <cellStyle name="Normal 7 8 3 2 3 3" xfId="34459" xr:uid="{00000000-0005-0000-0000-0000BDB80000}"/>
    <cellStyle name="Normal 7 8 3 2 3 4" xfId="24890" xr:uid="{00000000-0005-0000-0000-0000BEB80000}"/>
    <cellStyle name="Normal 7 8 3 2 4" xfId="6213" xr:uid="{00000000-0005-0000-0000-0000BFB80000}"/>
    <cellStyle name="Normal 7 8 3 2 4 2" xfId="54054" xr:uid="{00000000-0005-0000-0000-0000C0B80000}"/>
    <cellStyle name="Normal 7 8 3 2 4 3" xfId="37954" xr:uid="{00000000-0005-0000-0000-0000C1B80000}"/>
    <cellStyle name="Normal 7 8 3 2 4 4" xfId="18818" xr:uid="{00000000-0005-0000-0000-0000C2B80000}"/>
    <cellStyle name="Normal 7 8 3 2 5" xfId="44487" xr:uid="{00000000-0005-0000-0000-0000C3B80000}"/>
    <cellStyle name="Normal 7 8 3 2 6" xfId="28387" xr:uid="{00000000-0005-0000-0000-0000C4B80000}"/>
    <cellStyle name="Normal 7 8 3 2 7" xfId="15323" xr:uid="{00000000-0005-0000-0000-0000C5B80000}"/>
    <cellStyle name="Normal 7 8 3 3" xfId="1699" xr:uid="{00000000-0005-0000-0000-0000C6B80000}"/>
    <cellStyle name="Normal 7 8 3 3 2" xfId="8233" xr:uid="{00000000-0005-0000-0000-0000C7B80000}"/>
    <cellStyle name="Normal 7 8 3 3 2 2" xfId="39974" xr:uid="{00000000-0005-0000-0000-0000C8B80000}"/>
    <cellStyle name="Normal 7 8 3 3 2 2 2" xfId="56074" xr:uid="{00000000-0005-0000-0000-0000C9B80000}"/>
    <cellStyle name="Normal 7 8 3 3 2 3" xfId="46507" xr:uid="{00000000-0005-0000-0000-0000CAB80000}"/>
    <cellStyle name="Normal 7 8 3 3 2 4" xfId="30407" xr:uid="{00000000-0005-0000-0000-0000CBB80000}"/>
    <cellStyle name="Normal 7 8 3 3 2 5" xfId="20838" xr:uid="{00000000-0005-0000-0000-0000CCB80000}"/>
    <cellStyle name="Normal 7 8 3 3 3" xfId="11269" xr:uid="{00000000-0005-0000-0000-0000CDB80000}"/>
    <cellStyle name="Normal 7 8 3 3 3 2" xfId="49543" xr:uid="{00000000-0005-0000-0000-0000CEB80000}"/>
    <cellStyle name="Normal 7 8 3 3 3 3" xfId="33443" xr:uid="{00000000-0005-0000-0000-0000CFB80000}"/>
    <cellStyle name="Normal 7 8 3 3 3 4" xfId="23874" xr:uid="{00000000-0005-0000-0000-0000D0B80000}"/>
    <cellStyle name="Normal 7 8 3 3 4" xfId="5197" xr:uid="{00000000-0005-0000-0000-0000D1B80000}"/>
    <cellStyle name="Normal 7 8 3 3 4 2" xfId="53038" xr:uid="{00000000-0005-0000-0000-0000D2B80000}"/>
    <cellStyle name="Normal 7 8 3 3 4 3" xfId="36938" xr:uid="{00000000-0005-0000-0000-0000D3B80000}"/>
    <cellStyle name="Normal 7 8 3 3 4 4" xfId="17802" xr:uid="{00000000-0005-0000-0000-0000D4B80000}"/>
    <cellStyle name="Normal 7 8 3 3 5" xfId="43471" xr:uid="{00000000-0005-0000-0000-0000D5B80000}"/>
    <cellStyle name="Normal 7 8 3 3 6" xfId="27371" xr:uid="{00000000-0005-0000-0000-0000D6B80000}"/>
    <cellStyle name="Normal 7 8 3 3 7" xfId="14307" xr:uid="{00000000-0005-0000-0000-0000D7B80000}"/>
    <cellStyle name="Normal 7 8 3 4" xfId="7223" xr:uid="{00000000-0005-0000-0000-0000D8B80000}"/>
    <cellStyle name="Normal 7 8 3 4 2" xfId="38964" xr:uid="{00000000-0005-0000-0000-0000D9B80000}"/>
    <cellStyle name="Normal 7 8 3 4 2 2" xfId="55064" xr:uid="{00000000-0005-0000-0000-0000DAB80000}"/>
    <cellStyle name="Normal 7 8 3 4 3" xfId="45497" xr:uid="{00000000-0005-0000-0000-0000DBB80000}"/>
    <cellStyle name="Normal 7 8 3 4 4" xfId="29397" xr:uid="{00000000-0005-0000-0000-0000DCB80000}"/>
    <cellStyle name="Normal 7 8 3 4 5" xfId="19828" xr:uid="{00000000-0005-0000-0000-0000DDB80000}"/>
    <cellStyle name="Normal 7 8 3 5" xfId="10259" xr:uid="{00000000-0005-0000-0000-0000DEB80000}"/>
    <cellStyle name="Normal 7 8 3 5 2" xfId="48533" xr:uid="{00000000-0005-0000-0000-0000DFB80000}"/>
    <cellStyle name="Normal 7 8 3 5 3" xfId="32433" xr:uid="{00000000-0005-0000-0000-0000E0B80000}"/>
    <cellStyle name="Normal 7 8 3 5 4" xfId="22864" xr:uid="{00000000-0005-0000-0000-0000E1B80000}"/>
    <cellStyle name="Normal 7 8 3 6" xfId="4187" xr:uid="{00000000-0005-0000-0000-0000E2B80000}"/>
    <cellStyle name="Normal 7 8 3 6 2" xfId="52028" xr:uid="{00000000-0005-0000-0000-0000E3B80000}"/>
    <cellStyle name="Normal 7 8 3 6 3" xfId="35928" xr:uid="{00000000-0005-0000-0000-0000E4B80000}"/>
    <cellStyle name="Normal 7 8 3 6 4" xfId="16792" xr:uid="{00000000-0005-0000-0000-0000E5B80000}"/>
    <cellStyle name="Normal 7 8 3 7" xfId="42461" xr:uid="{00000000-0005-0000-0000-0000E6B80000}"/>
    <cellStyle name="Normal 7 8 3 8" xfId="26361" xr:uid="{00000000-0005-0000-0000-0000E7B80000}"/>
    <cellStyle name="Normal 7 8 3 9" xfId="13297" xr:uid="{00000000-0005-0000-0000-0000E8B80000}"/>
    <cellStyle name="Normal 7 8 4" xfId="2489" xr:uid="{00000000-0005-0000-0000-0000E9B80000}"/>
    <cellStyle name="Normal 7 8 4 2" xfId="9021" xr:uid="{00000000-0005-0000-0000-0000EAB80000}"/>
    <cellStyle name="Normal 7 8 4 2 2" xfId="40762" xr:uid="{00000000-0005-0000-0000-0000EBB80000}"/>
    <cellStyle name="Normal 7 8 4 2 2 2" xfId="56862" xr:uid="{00000000-0005-0000-0000-0000ECB80000}"/>
    <cellStyle name="Normal 7 8 4 2 3" xfId="47295" xr:uid="{00000000-0005-0000-0000-0000EDB80000}"/>
    <cellStyle name="Normal 7 8 4 2 4" xfId="31195" xr:uid="{00000000-0005-0000-0000-0000EEB80000}"/>
    <cellStyle name="Normal 7 8 4 2 5" xfId="21626" xr:uid="{00000000-0005-0000-0000-0000EFB80000}"/>
    <cellStyle name="Normal 7 8 4 3" xfId="12057" xr:uid="{00000000-0005-0000-0000-0000F0B80000}"/>
    <cellStyle name="Normal 7 8 4 3 2" xfId="50331" xr:uid="{00000000-0005-0000-0000-0000F1B80000}"/>
    <cellStyle name="Normal 7 8 4 3 3" xfId="34231" xr:uid="{00000000-0005-0000-0000-0000F2B80000}"/>
    <cellStyle name="Normal 7 8 4 3 4" xfId="24662" xr:uid="{00000000-0005-0000-0000-0000F3B80000}"/>
    <cellStyle name="Normal 7 8 4 4" xfId="5985" xr:uid="{00000000-0005-0000-0000-0000F4B80000}"/>
    <cellStyle name="Normal 7 8 4 4 2" xfId="53826" xr:uid="{00000000-0005-0000-0000-0000F5B80000}"/>
    <cellStyle name="Normal 7 8 4 4 3" xfId="37726" xr:uid="{00000000-0005-0000-0000-0000F6B80000}"/>
    <cellStyle name="Normal 7 8 4 4 4" xfId="18590" xr:uid="{00000000-0005-0000-0000-0000F7B80000}"/>
    <cellStyle name="Normal 7 8 4 5" xfId="44259" xr:uid="{00000000-0005-0000-0000-0000F8B80000}"/>
    <cellStyle name="Normal 7 8 4 6" xfId="28159" xr:uid="{00000000-0005-0000-0000-0000F9B80000}"/>
    <cellStyle name="Normal 7 8 4 7" xfId="15095" xr:uid="{00000000-0005-0000-0000-0000FAB80000}"/>
    <cellStyle name="Normal 7 8 5" xfId="1238" xr:uid="{00000000-0005-0000-0000-0000FBB80000}"/>
    <cellStyle name="Normal 7 8 5 2" xfId="7772" xr:uid="{00000000-0005-0000-0000-0000FCB80000}"/>
    <cellStyle name="Normal 7 8 5 2 2" xfId="39513" xr:uid="{00000000-0005-0000-0000-0000FDB80000}"/>
    <cellStyle name="Normal 7 8 5 2 2 2" xfId="55613" xr:uid="{00000000-0005-0000-0000-0000FEB80000}"/>
    <cellStyle name="Normal 7 8 5 2 3" xfId="46046" xr:uid="{00000000-0005-0000-0000-0000FFB80000}"/>
    <cellStyle name="Normal 7 8 5 2 4" xfId="29946" xr:uid="{00000000-0005-0000-0000-000000B90000}"/>
    <cellStyle name="Normal 7 8 5 2 5" xfId="20377" xr:uid="{00000000-0005-0000-0000-000001B90000}"/>
    <cellStyle name="Normal 7 8 5 3" xfId="10808" xr:uid="{00000000-0005-0000-0000-000002B90000}"/>
    <cellStyle name="Normal 7 8 5 3 2" xfId="49082" xr:uid="{00000000-0005-0000-0000-000003B90000}"/>
    <cellStyle name="Normal 7 8 5 3 3" xfId="32982" xr:uid="{00000000-0005-0000-0000-000004B90000}"/>
    <cellStyle name="Normal 7 8 5 3 4" xfId="23413" xr:uid="{00000000-0005-0000-0000-000005B90000}"/>
    <cellStyle name="Normal 7 8 5 4" xfId="4736" xr:uid="{00000000-0005-0000-0000-000006B90000}"/>
    <cellStyle name="Normal 7 8 5 4 2" xfId="52577" xr:uid="{00000000-0005-0000-0000-000007B90000}"/>
    <cellStyle name="Normal 7 8 5 4 3" xfId="36477" xr:uid="{00000000-0005-0000-0000-000008B90000}"/>
    <cellStyle name="Normal 7 8 5 4 4" xfId="17341" xr:uid="{00000000-0005-0000-0000-000009B90000}"/>
    <cellStyle name="Normal 7 8 5 5" xfId="43010" xr:uid="{00000000-0005-0000-0000-00000AB90000}"/>
    <cellStyle name="Normal 7 8 5 6" xfId="26910" xr:uid="{00000000-0005-0000-0000-00000BB90000}"/>
    <cellStyle name="Normal 7 8 5 7" xfId="13846" xr:uid="{00000000-0005-0000-0000-00000CB90000}"/>
    <cellStyle name="Normal 7 8 6" xfId="3726" xr:uid="{00000000-0005-0000-0000-00000DB90000}"/>
    <cellStyle name="Normal 7 8 6 2" xfId="35467" xr:uid="{00000000-0005-0000-0000-00000EB90000}"/>
    <cellStyle name="Normal 7 8 6 2 2" xfId="51567" xr:uid="{00000000-0005-0000-0000-00000FB90000}"/>
    <cellStyle name="Normal 7 8 6 3" xfId="42000" xr:uid="{00000000-0005-0000-0000-000010B90000}"/>
    <cellStyle name="Normal 7 8 6 4" xfId="25900" xr:uid="{00000000-0005-0000-0000-000011B90000}"/>
    <cellStyle name="Normal 7 8 6 5" xfId="16331" xr:uid="{00000000-0005-0000-0000-000012B90000}"/>
    <cellStyle name="Normal 7 8 7" xfId="6762" xr:uid="{00000000-0005-0000-0000-000013B90000}"/>
    <cellStyle name="Normal 7 8 7 2" xfId="38503" xr:uid="{00000000-0005-0000-0000-000014B90000}"/>
    <cellStyle name="Normal 7 8 7 2 2" xfId="54603" xr:uid="{00000000-0005-0000-0000-000015B90000}"/>
    <cellStyle name="Normal 7 8 7 3" xfId="45036" xr:uid="{00000000-0005-0000-0000-000016B90000}"/>
    <cellStyle name="Normal 7 8 7 4" xfId="28936" xr:uid="{00000000-0005-0000-0000-000017B90000}"/>
    <cellStyle name="Normal 7 8 7 5" xfId="19367" xr:uid="{00000000-0005-0000-0000-000018B90000}"/>
    <cellStyle name="Normal 7 8 8" xfId="9798" xr:uid="{00000000-0005-0000-0000-000019B90000}"/>
    <cellStyle name="Normal 7 8 8 2" xfId="48072" xr:uid="{00000000-0005-0000-0000-00001AB90000}"/>
    <cellStyle name="Normal 7 8 8 3" xfId="31972" xr:uid="{00000000-0005-0000-0000-00001BB90000}"/>
    <cellStyle name="Normal 7 8 8 4" xfId="22403" xr:uid="{00000000-0005-0000-0000-00001CB90000}"/>
    <cellStyle name="Normal 7 8 9" xfId="3266" xr:uid="{00000000-0005-0000-0000-00001DB90000}"/>
    <cellStyle name="Normal 7 8 9 2" xfId="51108" xr:uid="{00000000-0005-0000-0000-00001EB90000}"/>
    <cellStyle name="Normal 7 8 9 3" xfId="35008" xr:uid="{00000000-0005-0000-0000-00001FB90000}"/>
    <cellStyle name="Normal 7 8 9 4" xfId="15872" xr:uid="{00000000-0005-0000-0000-000020B90000}"/>
    <cellStyle name="Normal 7 9" xfId="475" xr:uid="{00000000-0005-0000-0000-000021B90000}"/>
    <cellStyle name="Normal 7 9 10" xfId="41558" xr:uid="{00000000-0005-0000-0000-000022B90000}"/>
    <cellStyle name="Normal 7 9 11" xfId="25458" xr:uid="{00000000-0005-0000-0000-000023B90000}"/>
    <cellStyle name="Normal 7 9 12" xfId="12853" xr:uid="{00000000-0005-0000-0000-000024B90000}"/>
    <cellStyle name="Normal 7 9 2" xfId="928" xr:uid="{00000000-0005-0000-0000-000025B90000}"/>
    <cellStyle name="Normal 7 9 2 10" xfId="13536" xr:uid="{00000000-0005-0000-0000-000026B90000}"/>
    <cellStyle name="Normal 7 9 2 2" xfId="2956" xr:uid="{00000000-0005-0000-0000-000027B90000}"/>
    <cellStyle name="Normal 7 9 2 2 2" xfId="9488" xr:uid="{00000000-0005-0000-0000-000028B90000}"/>
    <cellStyle name="Normal 7 9 2 2 2 2" xfId="41229" xr:uid="{00000000-0005-0000-0000-000029B90000}"/>
    <cellStyle name="Normal 7 9 2 2 2 2 2" xfId="57329" xr:uid="{00000000-0005-0000-0000-00002AB90000}"/>
    <cellStyle name="Normal 7 9 2 2 2 3" xfId="47762" xr:uid="{00000000-0005-0000-0000-00002BB90000}"/>
    <cellStyle name="Normal 7 9 2 2 2 4" xfId="31662" xr:uid="{00000000-0005-0000-0000-00002CB90000}"/>
    <cellStyle name="Normal 7 9 2 2 2 5" xfId="22093" xr:uid="{00000000-0005-0000-0000-00002DB90000}"/>
    <cellStyle name="Normal 7 9 2 2 3" xfId="12524" xr:uid="{00000000-0005-0000-0000-00002EB90000}"/>
    <cellStyle name="Normal 7 9 2 2 3 2" xfId="50798" xr:uid="{00000000-0005-0000-0000-00002FB90000}"/>
    <cellStyle name="Normal 7 9 2 2 3 3" xfId="34698" xr:uid="{00000000-0005-0000-0000-000030B90000}"/>
    <cellStyle name="Normal 7 9 2 2 3 4" xfId="25129" xr:uid="{00000000-0005-0000-0000-000031B90000}"/>
    <cellStyle name="Normal 7 9 2 2 4" xfId="6452" xr:uid="{00000000-0005-0000-0000-000032B90000}"/>
    <cellStyle name="Normal 7 9 2 2 4 2" xfId="54293" xr:uid="{00000000-0005-0000-0000-000033B90000}"/>
    <cellStyle name="Normal 7 9 2 2 4 3" xfId="38193" xr:uid="{00000000-0005-0000-0000-000034B90000}"/>
    <cellStyle name="Normal 7 9 2 2 4 4" xfId="19057" xr:uid="{00000000-0005-0000-0000-000035B90000}"/>
    <cellStyle name="Normal 7 9 2 2 5" xfId="44726" xr:uid="{00000000-0005-0000-0000-000036B90000}"/>
    <cellStyle name="Normal 7 9 2 2 6" xfId="28626" xr:uid="{00000000-0005-0000-0000-000037B90000}"/>
    <cellStyle name="Normal 7 9 2 2 7" xfId="15562" xr:uid="{00000000-0005-0000-0000-000038B90000}"/>
    <cellStyle name="Normal 7 9 2 3" xfId="1938" xr:uid="{00000000-0005-0000-0000-000039B90000}"/>
    <cellStyle name="Normal 7 9 2 3 2" xfId="8472" xr:uid="{00000000-0005-0000-0000-00003AB90000}"/>
    <cellStyle name="Normal 7 9 2 3 2 2" xfId="40213" xr:uid="{00000000-0005-0000-0000-00003BB90000}"/>
    <cellStyle name="Normal 7 9 2 3 2 2 2" xfId="56313" xr:uid="{00000000-0005-0000-0000-00003CB90000}"/>
    <cellStyle name="Normal 7 9 2 3 2 3" xfId="46746" xr:uid="{00000000-0005-0000-0000-00003DB90000}"/>
    <cellStyle name="Normal 7 9 2 3 2 4" xfId="30646" xr:uid="{00000000-0005-0000-0000-00003EB90000}"/>
    <cellStyle name="Normal 7 9 2 3 2 5" xfId="21077" xr:uid="{00000000-0005-0000-0000-00003FB90000}"/>
    <cellStyle name="Normal 7 9 2 3 3" xfId="11508" xr:uid="{00000000-0005-0000-0000-000040B90000}"/>
    <cellStyle name="Normal 7 9 2 3 3 2" xfId="49782" xr:uid="{00000000-0005-0000-0000-000041B90000}"/>
    <cellStyle name="Normal 7 9 2 3 3 3" xfId="33682" xr:uid="{00000000-0005-0000-0000-000042B90000}"/>
    <cellStyle name="Normal 7 9 2 3 3 4" xfId="24113" xr:uid="{00000000-0005-0000-0000-000043B90000}"/>
    <cellStyle name="Normal 7 9 2 3 4" xfId="5436" xr:uid="{00000000-0005-0000-0000-000044B90000}"/>
    <cellStyle name="Normal 7 9 2 3 4 2" xfId="53277" xr:uid="{00000000-0005-0000-0000-000045B90000}"/>
    <cellStyle name="Normal 7 9 2 3 4 3" xfId="37177" xr:uid="{00000000-0005-0000-0000-000046B90000}"/>
    <cellStyle name="Normal 7 9 2 3 4 4" xfId="18041" xr:uid="{00000000-0005-0000-0000-000047B90000}"/>
    <cellStyle name="Normal 7 9 2 3 5" xfId="43710" xr:uid="{00000000-0005-0000-0000-000048B90000}"/>
    <cellStyle name="Normal 7 9 2 3 6" xfId="27610" xr:uid="{00000000-0005-0000-0000-000049B90000}"/>
    <cellStyle name="Normal 7 9 2 3 7" xfId="14546" xr:uid="{00000000-0005-0000-0000-00004AB90000}"/>
    <cellStyle name="Normal 7 9 2 4" xfId="4426" xr:uid="{00000000-0005-0000-0000-00004BB90000}"/>
    <cellStyle name="Normal 7 9 2 4 2" xfId="36167" xr:uid="{00000000-0005-0000-0000-00004CB90000}"/>
    <cellStyle name="Normal 7 9 2 4 2 2" xfId="52267" xr:uid="{00000000-0005-0000-0000-00004DB90000}"/>
    <cellStyle name="Normal 7 9 2 4 3" xfId="42700" xr:uid="{00000000-0005-0000-0000-00004EB90000}"/>
    <cellStyle name="Normal 7 9 2 4 4" xfId="26600" xr:uid="{00000000-0005-0000-0000-00004FB90000}"/>
    <cellStyle name="Normal 7 9 2 4 5" xfId="17031" xr:uid="{00000000-0005-0000-0000-000050B90000}"/>
    <cellStyle name="Normal 7 9 2 5" xfId="7462" xr:uid="{00000000-0005-0000-0000-000051B90000}"/>
    <cellStyle name="Normal 7 9 2 5 2" xfId="39203" xr:uid="{00000000-0005-0000-0000-000052B90000}"/>
    <cellStyle name="Normal 7 9 2 5 2 2" xfId="55303" xr:uid="{00000000-0005-0000-0000-000053B90000}"/>
    <cellStyle name="Normal 7 9 2 5 3" xfId="45736" xr:uid="{00000000-0005-0000-0000-000054B90000}"/>
    <cellStyle name="Normal 7 9 2 5 4" xfId="29636" xr:uid="{00000000-0005-0000-0000-000055B90000}"/>
    <cellStyle name="Normal 7 9 2 5 5" xfId="20067" xr:uid="{00000000-0005-0000-0000-000056B90000}"/>
    <cellStyle name="Normal 7 9 2 6" xfId="10498" xr:uid="{00000000-0005-0000-0000-000057B90000}"/>
    <cellStyle name="Normal 7 9 2 6 2" xfId="48772" xr:uid="{00000000-0005-0000-0000-000058B90000}"/>
    <cellStyle name="Normal 7 9 2 6 3" xfId="32672" xr:uid="{00000000-0005-0000-0000-000059B90000}"/>
    <cellStyle name="Normal 7 9 2 6 4" xfId="23103" xr:uid="{00000000-0005-0000-0000-00005AB90000}"/>
    <cellStyle name="Normal 7 9 2 7" xfId="3521" xr:uid="{00000000-0005-0000-0000-00005BB90000}"/>
    <cellStyle name="Normal 7 9 2 7 2" xfId="51362" xr:uid="{00000000-0005-0000-0000-00005CB90000}"/>
    <cellStyle name="Normal 7 9 2 7 3" xfId="35262" xr:uid="{00000000-0005-0000-0000-00005DB90000}"/>
    <cellStyle name="Normal 7 9 2 7 4" xfId="16126" xr:uid="{00000000-0005-0000-0000-00005EB90000}"/>
    <cellStyle name="Normal 7 9 2 8" xfId="41795" xr:uid="{00000000-0005-0000-0000-00005FB90000}"/>
    <cellStyle name="Normal 7 9 2 9" xfId="25695" xr:uid="{00000000-0005-0000-0000-000060B90000}"/>
    <cellStyle name="Normal 7 9 3" xfId="706" xr:uid="{00000000-0005-0000-0000-000061B90000}"/>
    <cellStyle name="Normal 7 9 3 2" xfId="2734" xr:uid="{00000000-0005-0000-0000-000062B90000}"/>
    <cellStyle name="Normal 7 9 3 2 2" xfId="9266" xr:uid="{00000000-0005-0000-0000-000063B90000}"/>
    <cellStyle name="Normal 7 9 3 2 2 2" xfId="41007" xr:uid="{00000000-0005-0000-0000-000064B90000}"/>
    <cellStyle name="Normal 7 9 3 2 2 2 2" xfId="57107" xr:uid="{00000000-0005-0000-0000-000065B90000}"/>
    <cellStyle name="Normal 7 9 3 2 2 3" xfId="47540" xr:uid="{00000000-0005-0000-0000-000066B90000}"/>
    <cellStyle name="Normal 7 9 3 2 2 4" xfId="31440" xr:uid="{00000000-0005-0000-0000-000067B90000}"/>
    <cellStyle name="Normal 7 9 3 2 2 5" xfId="21871" xr:uid="{00000000-0005-0000-0000-000068B90000}"/>
    <cellStyle name="Normal 7 9 3 2 3" xfId="12302" xr:uid="{00000000-0005-0000-0000-000069B90000}"/>
    <cellStyle name="Normal 7 9 3 2 3 2" xfId="50576" xr:uid="{00000000-0005-0000-0000-00006AB90000}"/>
    <cellStyle name="Normal 7 9 3 2 3 3" xfId="34476" xr:uid="{00000000-0005-0000-0000-00006BB90000}"/>
    <cellStyle name="Normal 7 9 3 2 3 4" xfId="24907" xr:uid="{00000000-0005-0000-0000-00006CB90000}"/>
    <cellStyle name="Normal 7 9 3 2 4" xfId="6230" xr:uid="{00000000-0005-0000-0000-00006DB90000}"/>
    <cellStyle name="Normal 7 9 3 2 4 2" xfId="54071" xr:uid="{00000000-0005-0000-0000-00006EB90000}"/>
    <cellStyle name="Normal 7 9 3 2 4 3" xfId="37971" xr:uid="{00000000-0005-0000-0000-00006FB90000}"/>
    <cellStyle name="Normal 7 9 3 2 4 4" xfId="18835" xr:uid="{00000000-0005-0000-0000-000070B90000}"/>
    <cellStyle name="Normal 7 9 3 2 5" xfId="44504" xr:uid="{00000000-0005-0000-0000-000071B90000}"/>
    <cellStyle name="Normal 7 9 3 2 6" xfId="28404" xr:uid="{00000000-0005-0000-0000-000072B90000}"/>
    <cellStyle name="Normal 7 9 3 2 7" xfId="15340" xr:uid="{00000000-0005-0000-0000-000073B90000}"/>
    <cellStyle name="Normal 7 9 3 3" xfId="1716" xr:uid="{00000000-0005-0000-0000-000074B90000}"/>
    <cellStyle name="Normal 7 9 3 3 2" xfId="8250" xr:uid="{00000000-0005-0000-0000-000075B90000}"/>
    <cellStyle name="Normal 7 9 3 3 2 2" xfId="39991" xr:uid="{00000000-0005-0000-0000-000076B90000}"/>
    <cellStyle name="Normal 7 9 3 3 2 2 2" xfId="56091" xr:uid="{00000000-0005-0000-0000-000077B90000}"/>
    <cellStyle name="Normal 7 9 3 3 2 3" xfId="46524" xr:uid="{00000000-0005-0000-0000-000078B90000}"/>
    <cellStyle name="Normal 7 9 3 3 2 4" xfId="30424" xr:uid="{00000000-0005-0000-0000-000079B90000}"/>
    <cellStyle name="Normal 7 9 3 3 2 5" xfId="20855" xr:uid="{00000000-0005-0000-0000-00007AB90000}"/>
    <cellStyle name="Normal 7 9 3 3 3" xfId="11286" xr:uid="{00000000-0005-0000-0000-00007BB90000}"/>
    <cellStyle name="Normal 7 9 3 3 3 2" xfId="49560" xr:uid="{00000000-0005-0000-0000-00007CB90000}"/>
    <cellStyle name="Normal 7 9 3 3 3 3" xfId="33460" xr:uid="{00000000-0005-0000-0000-00007DB90000}"/>
    <cellStyle name="Normal 7 9 3 3 3 4" xfId="23891" xr:uid="{00000000-0005-0000-0000-00007EB90000}"/>
    <cellStyle name="Normal 7 9 3 3 4" xfId="5214" xr:uid="{00000000-0005-0000-0000-00007FB90000}"/>
    <cellStyle name="Normal 7 9 3 3 4 2" xfId="53055" xr:uid="{00000000-0005-0000-0000-000080B90000}"/>
    <cellStyle name="Normal 7 9 3 3 4 3" xfId="36955" xr:uid="{00000000-0005-0000-0000-000081B90000}"/>
    <cellStyle name="Normal 7 9 3 3 4 4" xfId="17819" xr:uid="{00000000-0005-0000-0000-000082B90000}"/>
    <cellStyle name="Normal 7 9 3 3 5" xfId="43488" xr:uid="{00000000-0005-0000-0000-000083B90000}"/>
    <cellStyle name="Normal 7 9 3 3 6" xfId="27388" xr:uid="{00000000-0005-0000-0000-000084B90000}"/>
    <cellStyle name="Normal 7 9 3 3 7" xfId="14324" xr:uid="{00000000-0005-0000-0000-000085B90000}"/>
    <cellStyle name="Normal 7 9 3 4" xfId="7240" xr:uid="{00000000-0005-0000-0000-000086B90000}"/>
    <cellStyle name="Normal 7 9 3 4 2" xfId="38981" xr:uid="{00000000-0005-0000-0000-000087B90000}"/>
    <cellStyle name="Normal 7 9 3 4 2 2" xfId="55081" xr:uid="{00000000-0005-0000-0000-000088B90000}"/>
    <cellStyle name="Normal 7 9 3 4 3" xfId="45514" xr:uid="{00000000-0005-0000-0000-000089B90000}"/>
    <cellStyle name="Normal 7 9 3 4 4" xfId="29414" xr:uid="{00000000-0005-0000-0000-00008AB90000}"/>
    <cellStyle name="Normal 7 9 3 4 5" xfId="19845" xr:uid="{00000000-0005-0000-0000-00008BB90000}"/>
    <cellStyle name="Normal 7 9 3 5" xfId="10276" xr:uid="{00000000-0005-0000-0000-00008CB90000}"/>
    <cellStyle name="Normal 7 9 3 5 2" xfId="48550" xr:uid="{00000000-0005-0000-0000-00008DB90000}"/>
    <cellStyle name="Normal 7 9 3 5 3" xfId="32450" xr:uid="{00000000-0005-0000-0000-00008EB90000}"/>
    <cellStyle name="Normal 7 9 3 5 4" xfId="22881" xr:uid="{00000000-0005-0000-0000-00008FB90000}"/>
    <cellStyle name="Normal 7 9 3 6" xfId="4204" xr:uid="{00000000-0005-0000-0000-000090B90000}"/>
    <cellStyle name="Normal 7 9 3 6 2" xfId="52045" xr:uid="{00000000-0005-0000-0000-000091B90000}"/>
    <cellStyle name="Normal 7 9 3 6 3" xfId="35945" xr:uid="{00000000-0005-0000-0000-000092B90000}"/>
    <cellStyle name="Normal 7 9 3 6 4" xfId="16809" xr:uid="{00000000-0005-0000-0000-000093B90000}"/>
    <cellStyle name="Normal 7 9 3 7" xfId="42478" xr:uid="{00000000-0005-0000-0000-000094B90000}"/>
    <cellStyle name="Normal 7 9 3 8" xfId="26378" xr:uid="{00000000-0005-0000-0000-000095B90000}"/>
    <cellStyle name="Normal 7 9 3 9" xfId="13314" xr:uid="{00000000-0005-0000-0000-000096B90000}"/>
    <cellStyle name="Normal 7 9 4" xfId="2506" xr:uid="{00000000-0005-0000-0000-000097B90000}"/>
    <cellStyle name="Normal 7 9 4 2" xfId="9038" xr:uid="{00000000-0005-0000-0000-000098B90000}"/>
    <cellStyle name="Normal 7 9 4 2 2" xfId="40779" xr:uid="{00000000-0005-0000-0000-000099B90000}"/>
    <cellStyle name="Normal 7 9 4 2 2 2" xfId="56879" xr:uid="{00000000-0005-0000-0000-00009AB90000}"/>
    <cellStyle name="Normal 7 9 4 2 3" xfId="47312" xr:uid="{00000000-0005-0000-0000-00009BB90000}"/>
    <cellStyle name="Normal 7 9 4 2 4" xfId="31212" xr:uid="{00000000-0005-0000-0000-00009CB90000}"/>
    <cellStyle name="Normal 7 9 4 2 5" xfId="21643" xr:uid="{00000000-0005-0000-0000-00009DB90000}"/>
    <cellStyle name="Normal 7 9 4 3" xfId="12074" xr:uid="{00000000-0005-0000-0000-00009EB90000}"/>
    <cellStyle name="Normal 7 9 4 3 2" xfId="50348" xr:uid="{00000000-0005-0000-0000-00009FB90000}"/>
    <cellStyle name="Normal 7 9 4 3 3" xfId="34248" xr:uid="{00000000-0005-0000-0000-0000A0B90000}"/>
    <cellStyle name="Normal 7 9 4 3 4" xfId="24679" xr:uid="{00000000-0005-0000-0000-0000A1B90000}"/>
    <cellStyle name="Normal 7 9 4 4" xfId="6002" xr:uid="{00000000-0005-0000-0000-0000A2B90000}"/>
    <cellStyle name="Normal 7 9 4 4 2" xfId="53843" xr:uid="{00000000-0005-0000-0000-0000A3B90000}"/>
    <cellStyle name="Normal 7 9 4 4 3" xfId="37743" xr:uid="{00000000-0005-0000-0000-0000A4B90000}"/>
    <cellStyle name="Normal 7 9 4 4 4" xfId="18607" xr:uid="{00000000-0005-0000-0000-0000A5B90000}"/>
    <cellStyle name="Normal 7 9 4 5" xfId="44276" xr:uid="{00000000-0005-0000-0000-0000A6B90000}"/>
    <cellStyle name="Normal 7 9 4 6" xfId="28176" xr:uid="{00000000-0005-0000-0000-0000A7B90000}"/>
    <cellStyle name="Normal 7 9 4 7" xfId="15112" xr:uid="{00000000-0005-0000-0000-0000A8B90000}"/>
    <cellStyle name="Normal 7 9 5" xfId="1255" xr:uid="{00000000-0005-0000-0000-0000A9B90000}"/>
    <cellStyle name="Normal 7 9 5 2" xfId="7789" xr:uid="{00000000-0005-0000-0000-0000AAB90000}"/>
    <cellStyle name="Normal 7 9 5 2 2" xfId="39530" xr:uid="{00000000-0005-0000-0000-0000ABB90000}"/>
    <cellStyle name="Normal 7 9 5 2 2 2" xfId="55630" xr:uid="{00000000-0005-0000-0000-0000ACB90000}"/>
    <cellStyle name="Normal 7 9 5 2 3" xfId="46063" xr:uid="{00000000-0005-0000-0000-0000ADB90000}"/>
    <cellStyle name="Normal 7 9 5 2 4" xfId="29963" xr:uid="{00000000-0005-0000-0000-0000AEB90000}"/>
    <cellStyle name="Normal 7 9 5 2 5" xfId="20394" xr:uid="{00000000-0005-0000-0000-0000AFB90000}"/>
    <cellStyle name="Normal 7 9 5 3" xfId="10825" xr:uid="{00000000-0005-0000-0000-0000B0B90000}"/>
    <cellStyle name="Normal 7 9 5 3 2" xfId="49099" xr:uid="{00000000-0005-0000-0000-0000B1B90000}"/>
    <cellStyle name="Normal 7 9 5 3 3" xfId="32999" xr:uid="{00000000-0005-0000-0000-0000B2B90000}"/>
    <cellStyle name="Normal 7 9 5 3 4" xfId="23430" xr:uid="{00000000-0005-0000-0000-0000B3B90000}"/>
    <cellStyle name="Normal 7 9 5 4" xfId="4753" xr:uid="{00000000-0005-0000-0000-0000B4B90000}"/>
    <cellStyle name="Normal 7 9 5 4 2" xfId="52594" xr:uid="{00000000-0005-0000-0000-0000B5B90000}"/>
    <cellStyle name="Normal 7 9 5 4 3" xfId="36494" xr:uid="{00000000-0005-0000-0000-0000B6B90000}"/>
    <cellStyle name="Normal 7 9 5 4 4" xfId="17358" xr:uid="{00000000-0005-0000-0000-0000B7B90000}"/>
    <cellStyle name="Normal 7 9 5 5" xfId="43027" xr:uid="{00000000-0005-0000-0000-0000B8B90000}"/>
    <cellStyle name="Normal 7 9 5 6" xfId="26927" xr:uid="{00000000-0005-0000-0000-0000B9B90000}"/>
    <cellStyle name="Normal 7 9 5 7" xfId="13863" xr:uid="{00000000-0005-0000-0000-0000BAB90000}"/>
    <cellStyle name="Normal 7 9 6" xfId="3743" xr:uid="{00000000-0005-0000-0000-0000BBB90000}"/>
    <cellStyle name="Normal 7 9 6 2" xfId="35484" xr:uid="{00000000-0005-0000-0000-0000BCB90000}"/>
    <cellStyle name="Normal 7 9 6 2 2" xfId="51584" xr:uid="{00000000-0005-0000-0000-0000BDB90000}"/>
    <cellStyle name="Normal 7 9 6 3" xfId="42017" xr:uid="{00000000-0005-0000-0000-0000BEB90000}"/>
    <cellStyle name="Normal 7 9 6 4" xfId="25917" xr:uid="{00000000-0005-0000-0000-0000BFB90000}"/>
    <cellStyle name="Normal 7 9 6 5" xfId="16348" xr:uid="{00000000-0005-0000-0000-0000C0B90000}"/>
    <cellStyle name="Normal 7 9 7" xfId="6779" xr:uid="{00000000-0005-0000-0000-0000C1B90000}"/>
    <cellStyle name="Normal 7 9 7 2" xfId="38520" xr:uid="{00000000-0005-0000-0000-0000C2B90000}"/>
    <cellStyle name="Normal 7 9 7 2 2" xfId="54620" xr:uid="{00000000-0005-0000-0000-0000C3B90000}"/>
    <cellStyle name="Normal 7 9 7 3" xfId="45053" xr:uid="{00000000-0005-0000-0000-0000C4B90000}"/>
    <cellStyle name="Normal 7 9 7 4" xfId="28953" xr:uid="{00000000-0005-0000-0000-0000C5B90000}"/>
    <cellStyle name="Normal 7 9 7 5" xfId="19384" xr:uid="{00000000-0005-0000-0000-0000C6B90000}"/>
    <cellStyle name="Normal 7 9 8" xfId="9815" xr:uid="{00000000-0005-0000-0000-0000C7B90000}"/>
    <cellStyle name="Normal 7 9 8 2" xfId="48089" xr:uid="{00000000-0005-0000-0000-0000C8B90000}"/>
    <cellStyle name="Normal 7 9 8 3" xfId="31989" xr:uid="{00000000-0005-0000-0000-0000C9B90000}"/>
    <cellStyle name="Normal 7 9 8 4" xfId="22420" xr:uid="{00000000-0005-0000-0000-0000CAB90000}"/>
    <cellStyle name="Normal 7 9 9" xfId="3283" xr:uid="{00000000-0005-0000-0000-0000CBB90000}"/>
    <cellStyle name="Normal 7 9 9 2" xfId="51125" xr:uid="{00000000-0005-0000-0000-0000CCB90000}"/>
    <cellStyle name="Normal 7 9 9 3" xfId="35025" xr:uid="{00000000-0005-0000-0000-0000CDB90000}"/>
    <cellStyle name="Normal 7 9 9 4" xfId="15889" xr:uid="{00000000-0005-0000-0000-0000CEB90000}"/>
    <cellStyle name="Normal 8" xfId="15" xr:uid="{00000000-0005-0000-0000-0000CFB90000}"/>
    <cellStyle name="Normal 8 10" xfId="476" xr:uid="{00000000-0005-0000-0000-0000D0B90000}"/>
    <cellStyle name="Normal 8 10 10" xfId="41559" xr:uid="{00000000-0005-0000-0000-0000D1B90000}"/>
    <cellStyle name="Normal 8 10 11" xfId="25459" xr:uid="{00000000-0005-0000-0000-0000D2B90000}"/>
    <cellStyle name="Normal 8 10 12" xfId="12854" xr:uid="{00000000-0005-0000-0000-0000D3B90000}"/>
    <cellStyle name="Normal 8 10 2" xfId="929" xr:uid="{00000000-0005-0000-0000-0000D4B90000}"/>
    <cellStyle name="Normal 8 10 2 10" xfId="13537" xr:uid="{00000000-0005-0000-0000-0000D5B90000}"/>
    <cellStyle name="Normal 8 10 2 2" xfId="2957" xr:uid="{00000000-0005-0000-0000-0000D6B90000}"/>
    <cellStyle name="Normal 8 10 2 2 2" xfId="9489" xr:uid="{00000000-0005-0000-0000-0000D7B90000}"/>
    <cellStyle name="Normal 8 10 2 2 2 2" xfId="41230" xr:uid="{00000000-0005-0000-0000-0000D8B90000}"/>
    <cellStyle name="Normal 8 10 2 2 2 2 2" xfId="57330" xr:uid="{00000000-0005-0000-0000-0000D9B90000}"/>
    <cellStyle name="Normal 8 10 2 2 2 3" xfId="47763" xr:uid="{00000000-0005-0000-0000-0000DAB90000}"/>
    <cellStyle name="Normal 8 10 2 2 2 4" xfId="31663" xr:uid="{00000000-0005-0000-0000-0000DBB90000}"/>
    <cellStyle name="Normal 8 10 2 2 2 5" xfId="22094" xr:uid="{00000000-0005-0000-0000-0000DCB90000}"/>
    <cellStyle name="Normal 8 10 2 2 3" xfId="12525" xr:uid="{00000000-0005-0000-0000-0000DDB90000}"/>
    <cellStyle name="Normal 8 10 2 2 3 2" xfId="50799" xr:uid="{00000000-0005-0000-0000-0000DEB90000}"/>
    <cellStyle name="Normal 8 10 2 2 3 3" xfId="34699" xr:uid="{00000000-0005-0000-0000-0000DFB90000}"/>
    <cellStyle name="Normal 8 10 2 2 3 4" xfId="25130" xr:uid="{00000000-0005-0000-0000-0000E0B90000}"/>
    <cellStyle name="Normal 8 10 2 2 4" xfId="6453" xr:uid="{00000000-0005-0000-0000-0000E1B90000}"/>
    <cellStyle name="Normal 8 10 2 2 4 2" xfId="54294" xr:uid="{00000000-0005-0000-0000-0000E2B90000}"/>
    <cellStyle name="Normal 8 10 2 2 4 3" xfId="38194" xr:uid="{00000000-0005-0000-0000-0000E3B90000}"/>
    <cellStyle name="Normal 8 10 2 2 4 4" xfId="19058" xr:uid="{00000000-0005-0000-0000-0000E4B90000}"/>
    <cellStyle name="Normal 8 10 2 2 5" xfId="44727" xr:uid="{00000000-0005-0000-0000-0000E5B90000}"/>
    <cellStyle name="Normal 8 10 2 2 6" xfId="28627" xr:uid="{00000000-0005-0000-0000-0000E6B90000}"/>
    <cellStyle name="Normal 8 10 2 2 7" xfId="15563" xr:uid="{00000000-0005-0000-0000-0000E7B90000}"/>
    <cellStyle name="Normal 8 10 2 3" xfId="1939" xr:uid="{00000000-0005-0000-0000-0000E8B90000}"/>
    <cellStyle name="Normal 8 10 2 3 2" xfId="8473" xr:uid="{00000000-0005-0000-0000-0000E9B90000}"/>
    <cellStyle name="Normal 8 10 2 3 2 2" xfId="40214" xr:uid="{00000000-0005-0000-0000-0000EAB90000}"/>
    <cellStyle name="Normal 8 10 2 3 2 2 2" xfId="56314" xr:uid="{00000000-0005-0000-0000-0000EBB90000}"/>
    <cellStyle name="Normal 8 10 2 3 2 3" xfId="46747" xr:uid="{00000000-0005-0000-0000-0000ECB90000}"/>
    <cellStyle name="Normal 8 10 2 3 2 4" xfId="30647" xr:uid="{00000000-0005-0000-0000-0000EDB90000}"/>
    <cellStyle name="Normal 8 10 2 3 2 5" xfId="21078" xr:uid="{00000000-0005-0000-0000-0000EEB90000}"/>
    <cellStyle name="Normal 8 10 2 3 3" xfId="11509" xr:uid="{00000000-0005-0000-0000-0000EFB90000}"/>
    <cellStyle name="Normal 8 10 2 3 3 2" xfId="49783" xr:uid="{00000000-0005-0000-0000-0000F0B90000}"/>
    <cellStyle name="Normal 8 10 2 3 3 3" xfId="33683" xr:uid="{00000000-0005-0000-0000-0000F1B90000}"/>
    <cellStyle name="Normal 8 10 2 3 3 4" xfId="24114" xr:uid="{00000000-0005-0000-0000-0000F2B90000}"/>
    <cellStyle name="Normal 8 10 2 3 4" xfId="5437" xr:uid="{00000000-0005-0000-0000-0000F3B90000}"/>
    <cellStyle name="Normal 8 10 2 3 4 2" xfId="53278" xr:uid="{00000000-0005-0000-0000-0000F4B90000}"/>
    <cellStyle name="Normal 8 10 2 3 4 3" xfId="37178" xr:uid="{00000000-0005-0000-0000-0000F5B90000}"/>
    <cellStyle name="Normal 8 10 2 3 4 4" xfId="18042" xr:uid="{00000000-0005-0000-0000-0000F6B90000}"/>
    <cellStyle name="Normal 8 10 2 3 5" xfId="43711" xr:uid="{00000000-0005-0000-0000-0000F7B90000}"/>
    <cellStyle name="Normal 8 10 2 3 6" xfId="27611" xr:uid="{00000000-0005-0000-0000-0000F8B90000}"/>
    <cellStyle name="Normal 8 10 2 3 7" xfId="14547" xr:uid="{00000000-0005-0000-0000-0000F9B90000}"/>
    <cellStyle name="Normal 8 10 2 4" xfId="4427" xr:uid="{00000000-0005-0000-0000-0000FAB90000}"/>
    <cellStyle name="Normal 8 10 2 4 2" xfId="36168" xr:uid="{00000000-0005-0000-0000-0000FBB90000}"/>
    <cellStyle name="Normal 8 10 2 4 2 2" xfId="52268" xr:uid="{00000000-0005-0000-0000-0000FCB90000}"/>
    <cellStyle name="Normal 8 10 2 4 3" xfId="42701" xr:uid="{00000000-0005-0000-0000-0000FDB90000}"/>
    <cellStyle name="Normal 8 10 2 4 4" xfId="26601" xr:uid="{00000000-0005-0000-0000-0000FEB90000}"/>
    <cellStyle name="Normal 8 10 2 4 5" xfId="17032" xr:uid="{00000000-0005-0000-0000-0000FFB90000}"/>
    <cellStyle name="Normal 8 10 2 5" xfId="7463" xr:uid="{00000000-0005-0000-0000-000000BA0000}"/>
    <cellStyle name="Normal 8 10 2 5 2" xfId="39204" xr:uid="{00000000-0005-0000-0000-000001BA0000}"/>
    <cellStyle name="Normal 8 10 2 5 2 2" xfId="55304" xr:uid="{00000000-0005-0000-0000-000002BA0000}"/>
    <cellStyle name="Normal 8 10 2 5 3" xfId="45737" xr:uid="{00000000-0005-0000-0000-000003BA0000}"/>
    <cellStyle name="Normal 8 10 2 5 4" xfId="29637" xr:uid="{00000000-0005-0000-0000-000004BA0000}"/>
    <cellStyle name="Normal 8 10 2 5 5" xfId="20068" xr:uid="{00000000-0005-0000-0000-000005BA0000}"/>
    <cellStyle name="Normal 8 10 2 6" xfId="10499" xr:uid="{00000000-0005-0000-0000-000006BA0000}"/>
    <cellStyle name="Normal 8 10 2 6 2" xfId="48773" xr:uid="{00000000-0005-0000-0000-000007BA0000}"/>
    <cellStyle name="Normal 8 10 2 6 3" xfId="32673" xr:uid="{00000000-0005-0000-0000-000008BA0000}"/>
    <cellStyle name="Normal 8 10 2 6 4" xfId="23104" xr:uid="{00000000-0005-0000-0000-000009BA0000}"/>
    <cellStyle name="Normal 8 10 2 7" xfId="3522" xr:uid="{00000000-0005-0000-0000-00000ABA0000}"/>
    <cellStyle name="Normal 8 10 2 7 2" xfId="51363" xr:uid="{00000000-0005-0000-0000-00000BBA0000}"/>
    <cellStyle name="Normal 8 10 2 7 3" xfId="35263" xr:uid="{00000000-0005-0000-0000-00000CBA0000}"/>
    <cellStyle name="Normal 8 10 2 7 4" xfId="16127" xr:uid="{00000000-0005-0000-0000-00000DBA0000}"/>
    <cellStyle name="Normal 8 10 2 8" xfId="41796" xr:uid="{00000000-0005-0000-0000-00000EBA0000}"/>
    <cellStyle name="Normal 8 10 2 9" xfId="25696" xr:uid="{00000000-0005-0000-0000-00000FBA0000}"/>
    <cellStyle name="Normal 8 10 3" xfId="707" xr:uid="{00000000-0005-0000-0000-000010BA0000}"/>
    <cellStyle name="Normal 8 10 3 2" xfId="2735" xr:uid="{00000000-0005-0000-0000-000011BA0000}"/>
    <cellStyle name="Normal 8 10 3 2 2" xfId="9267" xr:uid="{00000000-0005-0000-0000-000012BA0000}"/>
    <cellStyle name="Normal 8 10 3 2 2 2" xfId="41008" xr:uid="{00000000-0005-0000-0000-000013BA0000}"/>
    <cellStyle name="Normal 8 10 3 2 2 2 2" xfId="57108" xr:uid="{00000000-0005-0000-0000-000014BA0000}"/>
    <cellStyle name="Normal 8 10 3 2 2 3" xfId="47541" xr:uid="{00000000-0005-0000-0000-000015BA0000}"/>
    <cellStyle name="Normal 8 10 3 2 2 4" xfId="31441" xr:uid="{00000000-0005-0000-0000-000016BA0000}"/>
    <cellStyle name="Normal 8 10 3 2 2 5" xfId="21872" xr:uid="{00000000-0005-0000-0000-000017BA0000}"/>
    <cellStyle name="Normal 8 10 3 2 3" xfId="12303" xr:uid="{00000000-0005-0000-0000-000018BA0000}"/>
    <cellStyle name="Normal 8 10 3 2 3 2" xfId="50577" xr:uid="{00000000-0005-0000-0000-000019BA0000}"/>
    <cellStyle name="Normal 8 10 3 2 3 3" xfId="34477" xr:uid="{00000000-0005-0000-0000-00001ABA0000}"/>
    <cellStyle name="Normal 8 10 3 2 3 4" xfId="24908" xr:uid="{00000000-0005-0000-0000-00001BBA0000}"/>
    <cellStyle name="Normal 8 10 3 2 4" xfId="6231" xr:uid="{00000000-0005-0000-0000-00001CBA0000}"/>
    <cellStyle name="Normal 8 10 3 2 4 2" xfId="54072" xr:uid="{00000000-0005-0000-0000-00001DBA0000}"/>
    <cellStyle name="Normal 8 10 3 2 4 3" xfId="37972" xr:uid="{00000000-0005-0000-0000-00001EBA0000}"/>
    <cellStyle name="Normal 8 10 3 2 4 4" xfId="18836" xr:uid="{00000000-0005-0000-0000-00001FBA0000}"/>
    <cellStyle name="Normal 8 10 3 2 5" xfId="44505" xr:uid="{00000000-0005-0000-0000-000020BA0000}"/>
    <cellStyle name="Normal 8 10 3 2 6" xfId="28405" xr:uid="{00000000-0005-0000-0000-000021BA0000}"/>
    <cellStyle name="Normal 8 10 3 2 7" xfId="15341" xr:uid="{00000000-0005-0000-0000-000022BA0000}"/>
    <cellStyle name="Normal 8 10 3 3" xfId="1717" xr:uid="{00000000-0005-0000-0000-000023BA0000}"/>
    <cellStyle name="Normal 8 10 3 3 2" xfId="8251" xr:uid="{00000000-0005-0000-0000-000024BA0000}"/>
    <cellStyle name="Normal 8 10 3 3 2 2" xfId="39992" xr:uid="{00000000-0005-0000-0000-000025BA0000}"/>
    <cellStyle name="Normal 8 10 3 3 2 2 2" xfId="56092" xr:uid="{00000000-0005-0000-0000-000026BA0000}"/>
    <cellStyle name="Normal 8 10 3 3 2 3" xfId="46525" xr:uid="{00000000-0005-0000-0000-000027BA0000}"/>
    <cellStyle name="Normal 8 10 3 3 2 4" xfId="30425" xr:uid="{00000000-0005-0000-0000-000028BA0000}"/>
    <cellStyle name="Normal 8 10 3 3 2 5" xfId="20856" xr:uid="{00000000-0005-0000-0000-000029BA0000}"/>
    <cellStyle name="Normal 8 10 3 3 3" xfId="11287" xr:uid="{00000000-0005-0000-0000-00002ABA0000}"/>
    <cellStyle name="Normal 8 10 3 3 3 2" xfId="49561" xr:uid="{00000000-0005-0000-0000-00002BBA0000}"/>
    <cellStyle name="Normal 8 10 3 3 3 3" xfId="33461" xr:uid="{00000000-0005-0000-0000-00002CBA0000}"/>
    <cellStyle name="Normal 8 10 3 3 3 4" xfId="23892" xr:uid="{00000000-0005-0000-0000-00002DBA0000}"/>
    <cellStyle name="Normal 8 10 3 3 4" xfId="5215" xr:uid="{00000000-0005-0000-0000-00002EBA0000}"/>
    <cellStyle name="Normal 8 10 3 3 4 2" xfId="53056" xr:uid="{00000000-0005-0000-0000-00002FBA0000}"/>
    <cellStyle name="Normal 8 10 3 3 4 3" xfId="36956" xr:uid="{00000000-0005-0000-0000-000030BA0000}"/>
    <cellStyle name="Normal 8 10 3 3 4 4" xfId="17820" xr:uid="{00000000-0005-0000-0000-000031BA0000}"/>
    <cellStyle name="Normal 8 10 3 3 5" xfId="43489" xr:uid="{00000000-0005-0000-0000-000032BA0000}"/>
    <cellStyle name="Normal 8 10 3 3 6" xfId="27389" xr:uid="{00000000-0005-0000-0000-000033BA0000}"/>
    <cellStyle name="Normal 8 10 3 3 7" xfId="14325" xr:uid="{00000000-0005-0000-0000-000034BA0000}"/>
    <cellStyle name="Normal 8 10 3 4" xfId="7241" xr:uid="{00000000-0005-0000-0000-000035BA0000}"/>
    <cellStyle name="Normal 8 10 3 4 2" xfId="38982" xr:uid="{00000000-0005-0000-0000-000036BA0000}"/>
    <cellStyle name="Normal 8 10 3 4 2 2" xfId="55082" xr:uid="{00000000-0005-0000-0000-000037BA0000}"/>
    <cellStyle name="Normal 8 10 3 4 3" xfId="45515" xr:uid="{00000000-0005-0000-0000-000038BA0000}"/>
    <cellStyle name="Normal 8 10 3 4 4" xfId="29415" xr:uid="{00000000-0005-0000-0000-000039BA0000}"/>
    <cellStyle name="Normal 8 10 3 4 5" xfId="19846" xr:uid="{00000000-0005-0000-0000-00003ABA0000}"/>
    <cellStyle name="Normal 8 10 3 5" xfId="10277" xr:uid="{00000000-0005-0000-0000-00003BBA0000}"/>
    <cellStyle name="Normal 8 10 3 5 2" xfId="48551" xr:uid="{00000000-0005-0000-0000-00003CBA0000}"/>
    <cellStyle name="Normal 8 10 3 5 3" xfId="32451" xr:uid="{00000000-0005-0000-0000-00003DBA0000}"/>
    <cellStyle name="Normal 8 10 3 5 4" xfId="22882" xr:uid="{00000000-0005-0000-0000-00003EBA0000}"/>
    <cellStyle name="Normal 8 10 3 6" xfId="4205" xr:uid="{00000000-0005-0000-0000-00003FBA0000}"/>
    <cellStyle name="Normal 8 10 3 6 2" xfId="52046" xr:uid="{00000000-0005-0000-0000-000040BA0000}"/>
    <cellStyle name="Normal 8 10 3 6 3" xfId="35946" xr:uid="{00000000-0005-0000-0000-000041BA0000}"/>
    <cellStyle name="Normal 8 10 3 6 4" xfId="16810" xr:uid="{00000000-0005-0000-0000-000042BA0000}"/>
    <cellStyle name="Normal 8 10 3 7" xfId="42479" xr:uid="{00000000-0005-0000-0000-000043BA0000}"/>
    <cellStyle name="Normal 8 10 3 8" xfId="26379" xr:uid="{00000000-0005-0000-0000-000044BA0000}"/>
    <cellStyle name="Normal 8 10 3 9" xfId="13315" xr:uid="{00000000-0005-0000-0000-000045BA0000}"/>
    <cellStyle name="Normal 8 10 4" xfId="2507" xr:uid="{00000000-0005-0000-0000-000046BA0000}"/>
    <cellStyle name="Normal 8 10 4 2" xfId="9039" xr:uid="{00000000-0005-0000-0000-000047BA0000}"/>
    <cellStyle name="Normal 8 10 4 2 2" xfId="40780" xr:uid="{00000000-0005-0000-0000-000048BA0000}"/>
    <cellStyle name="Normal 8 10 4 2 2 2" xfId="56880" xr:uid="{00000000-0005-0000-0000-000049BA0000}"/>
    <cellStyle name="Normal 8 10 4 2 3" xfId="47313" xr:uid="{00000000-0005-0000-0000-00004ABA0000}"/>
    <cellStyle name="Normal 8 10 4 2 4" xfId="31213" xr:uid="{00000000-0005-0000-0000-00004BBA0000}"/>
    <cellStyle name="Normal 8 10 4 2 5" xfId="21644" xr:uid="{00000000-0005-0000-0000-00004CBA0000}"/>
    <cellStyle name="Normal 8 10 4 3" xfId="12075" xr:uid="{00000000-0005-0000-0000-00004DBA0000}"/>
    <cellStyle name="Normal 8 10 4 3 2" xfId="50349" xr:uid="{00000000-0005-0000-0000-00004EBA0000}"/>
    <cellStyle name="Normal 8 10 4 3 3" xfId="34249" xr:uid="{00000000-0005-0000-0000-00004FBA0000}"/>
    <cellStyle name="Normal 8 10 4 3 4" xfId="24680" xr:uid="{00000000-0005-0000-0000-000050BA0000}"/>
    <cellStyle name="Normal 8 10 4 4" xfId="6003" xr:uid="{00000000-0005-0000-0000-000051BA0000}"/>
    <cellStyle name="Normal 8 10 4 4 2" xfId="53844" xr:uid="{00000000-0005-0000-0000-000052BA0000}"/>
    <cellStyle name="Normal 8 10 4 4 3" xfId="37744" xr:uid="{00000000-0005-0000-0000-000053BA0000}"/>
    <cellStyle name="Normal 8 10 4 4 4" xfId="18608" xr:uid="{00000000-0005-0000-0000-000054BA0000}"/>
    <cellStyle name="Normal 8 10 4 5" xfId="44277" xr:uid="{00000000-0005-0000-0000-000055BA0000}"/>
    <cellStyle name="Normal 8 10 4 6" xfId="28177" xr:uid="{00000000-0005-0000-0000-000056BA0000}"/>
    <cellStyle name="Normal 8 10 4 7" xfId="15113" xr:uid="{00000000-0005-0000-0000-000057BA0000}"/>
    <cellStyle name="Normal 8 10 5" xfId="1256" xr:uid="{00000000-0005-0000-0000-000058BA0000}"/>
    <cellStyle name="Normal 8 10 5 2" xfId="7790" xr:uid="{00000000-0005-0000-0000-000059BA0000}"/>
    <cellStyle name="Normal 8 10 5 2 2" xfId="39531" xr:uid="{00000000-0005-0000-0000-00005ABA0000}"/>
    <cellStyle name="Normal 8 10 5 2 2 2" xfId="55631" xr:uid="{00000000-0005-0000-0000-00005BBA0000}"/>
    <cellStyle name="Normal 8 10 5 2 3" xfId="46064" xr:uid="{00000000-0005-0000-0000-00005CBA0000}"/>
    <cellStyle name="Normal 8 10 5 2 4" xfId="29964" xr:uid="{00000000-0005-0000-0000-00005DBA0000}"/>
    <cellStyle name="Normal 8 10 5 2 5" xfId="20395" xr:uid="{00000000-0005-0000-0000-00005EBA0000}"/>
    <cellStyle name="Normal 8 10 5 3" xfId="10826" xr:uid="{00000000-0005-0000-0000-00005FBA0000}"/>
    <cellStyle name="Normal 8 10 5 3 2" xfId="49100" xr:uid="{00000000-0005-0000-0000-000060BA0000}"/>
    <cellStyle name="Normal 8 10 5 3 3" xfId="33000" xr:uid="{00000000-0005-0000-0000-000061BA0000}"/>
    <cellStyle name="Normal 8 10 5 3 4" xfId="23431" xr:uid="{00000000-0005-0000-0000-000062BA0000}"/>
    <cellStyle name="Normal 8 10 5 4" xfId="4754" xr:uid="{00000000-0005-0000-0000-000063BA0000}"/>
    <cellStyle name="Normal 8 10 5 4 2" xfId="52595" xr:uid="{00000000-0005-0000-0000-000064BA0000}"/>
    <cellStyle name="Normal 8 10 5 4 3" xfId="36495" xr:uid="{00000000-0005-0000-0000-000065BA0000}"/>
    <cellStyle name="Normal 8 10 5 4 4" xfId="17359" xr:uid="{00000000-0005-0000-0000-000066BA0000}"/>
    <cellStyle name="Normal 8 10 5 5" xfId="43028" xr:uid="{00000000-0005-0000-0000-000067BA0000}"/>
    <cellStyle name="Normal 8 10 5 6" xfId="26928" xr:uid="{00000000-0005-0000-0000-000068BA0000}"/>
    <cellStyle name="Normal 8 10 5 7" xfId="13864" xr:uid="{00000000-0005-0000-0000-000069BA0000}"/>
    <cellStyle name="Normal 8 10 6" xfId="3744" xr:uid="{00000000-0005-0000-0000-00006ABA0000}"/>
    <cellStyle name="Normal 8 10 6 2" xfId="35485" xr:uid="{00000000-0005-0000-0000-00006BBA0000}"/>
    <cellStyle name="Normal 8 10 6 2 2" xfId="51585" xr:uid="{00000000-0005-0000-0000-00006CBA0000}"/>
    <cellStyle name="Normal 8 10 6 3" xfId="42018" xr:uid="{00000000-0005-0000-0000-00006DBA0000}"/>
    <cellStyle name="Normal 8 10 6 4" xfId="25918" xr:uid="{00000000-0005-0000-0000-00006EBA0000}"/>
    <cellStyle name="Normal 8 10 6 5" xfId="16349" xr:uid="{00000000-0005-0000-0000-00006FBA0000}"/>
    <cellStyle name="Normal 8 10 7" xfId="6780" xr:uid="{00000000-0005-0000-0000-000070BA0000}"/>
    <cellStyle name="Normal 8 10 7 2" xfId="38521" xr:uid="{00000000-0005-0000-0000-000071BA0000}"/>
    <cellStyle name="Normal 8 10 7 2 2" xfId="54621" xr:uid="{00000000-0005-0000-0000-000072BA0000}"/>
    <cellStyle name="Normal 8 10 7 3" xfId="45054" xr:uid="{00000000-0005-0000-0000-000073BA0000}"/>
    <cellStyle name="Normal 8 10 7 4" xfId="28954" xr:uid="{00000000-0005-0000-0000-000074BA0000}"/>
    <cellStyle name="Normal 8 10 7 5" xfId="19385" xr:uid="{00000000-0005-0000-0000-000075BA0000}"/>
    <cellStyle name="Normal 8 10 8" xfId="9816" xr:uid="{00000000-0005-0000-0000-000076BA0000}"/>
    <cellStyle name="Normal 8 10 8 2" xfId="48090" xr:uid="{00000000-0005-0000-0000-000077BA0000}"/>
    <cellStyle name="Normal 8 10 8 3" xfId="31990" xr:uid="{00000000-0005-0000-0000-000078BA0000}"/>
    <cellStyle name="Normal 8 10 8 4" xfId="22421" xr:uid="{00000000-0005-0000-0000-000079BA0000}"/>
    <cellStyle name="Normal 8 10 9" xfId="3284" xr:uid="{00000000-0005-0000-0000-00007ABA0000}"/>
    <cellStyle name="Normal 8 10 9 2" xfId="51126" xr:uid="{00000000-0005-0000-0000-00007BBA0000}"/>
    <cellStyle name="Normal 8 10 9 3" xfId="35026" xr:uid="{00000000-0005-0000-0000-00007CBA0000}"/>
    <cellStyle name="Normal 8 10 9 4" xfId="15890" xr:uid="{00000000-0005-0000-0000-00007DBA0000}"/>
    <cellStyle name="Normal 8 11" xfId="493" xr:uid="{00000000-0005-0000-0000-00007EBA0000}"/>
    <cellStyle name="Normal 8 11 10" xfId="41576" xr:uid="{00000000-0005-0000-0000-00007FBA0000}"/>
    <cellStyle name="Normal 8 11 11" xfId="25476" xr:uid="{00000000-0005-0000-0000-000080BA0000}"/>
    <cellStyle name="Normal 8 11 12" xfId="12871" xr:uid="{00000000-0005-0000-0000-000081BA0000}"/>
    <cellStyle name="Normal 8 11 2" xfId="946" xr:uid="{00000000-0005-0000-0000-000082BA0000}"/>
    <cellStyle name="Normal 8 11 2 10" xfId="13554" xr:uid="{00000000-0005-0000-0000-000083BA0000}"/>
    <cellStyle name="Normal 8 11 2 2" xfId="2974" xr:uid="{00000000-0005-0000-0000-000084BA0000}"/>
    <cellStyle name="Normal 8 11 2 2 2" xfId="9506" xr:uid="{00000000-0005-0000-0000-000085BA0000}"/>
    <cellStyle name="Normal 8 11 2 2 2 2" xfId="41247" xr:uid="{00000000-0005-0000-0000-000086BA0000}"/>
    <cellStyle name="Normal 8 11 2 2 2 2 2" xfId="57347" xr:uid="{00000000-0005-0000-0000-000087BA0000}"/>
    <cellStyle name="Normal 8 11 2 2 2 3" xfId="47780" xr:uid="{00000000-0005-0000-0000-000088BA0000}"/>
    <cellStyle name="Normal 8 11 2 2 2 4" xfId="31680" xr:uid="{00000000-0005-0000-0000-000089BA0000}"/>
    <cellStyle name="Normal 8 11 2 2 2 5" xfId="22111" xr:uid="{00000000-0005-0000-0000-00008ABA0000}"/>
    <cellStyle name="Normal 8 11 2 2 3" xfId="12542" xr:uid="{00000000-0005-0000-0000-00008BBA0000}"/>
    <cellStyle name="Normal 8 11 2 2 3 2" xfId="50816" xr:uid="{00000000-0005-0000-0000-00008CBA0000}"/>
    <cellStyle name="Normal 8 11 2 2 3 3" xfId="34716" xr:uid="{00000000-0005-0000-0000-00008DBA0000}"/>
    <cellStyle name="Normal 8 11 2 2 3 4" xfId="25147" xr:uid="{00000000-0005-0000-0000-00008EBA0000}"/>
    <cellStyle name="Normal 8 11 2 2 4" xfId="6470" xr:uid="{00000000-0005-0000-0000-00008FBA0000}"/>
    <cellStyle name="Normal 8 11 2 2 4 2" xfId="54311" xr:uid="{00000000-0005-0000-0000-000090BA0000}"/>
    <cellStyle name="Normal 8 11 2 2 4 3" xfId="38211" xr:uid="{00000000-0005-0000-0000-000091BA0000}"/>
    <cellStyle name="Normal 8 11 2 2 4 4" xfId="19075" xr:uid="{00000000-0005-0000-0000-000092BA0000}"/>
    <cellStyle name="Normal 8 11 2 2 5" xfId="44744" xr:uid="{00000000-0005-0000-0000-000093BA0000}"/>
    <cellStyle name="Normal 8 11 2 2 6" xfId="28644" xr:uid="{00000000-0005-0000-0000-000094BA0000}"/>
    <cellStyle name="Normal 8 11 2 2 7" xfId="15580" xr:uid="{00000000-0005-0000-0000-000095BA0000}"/>
    <cellStyle name="Normal 8 11 2 3" xfId="1956" xr:uid="{00000000-0005-0000-0000-000096BA0000}"/>
    <cellStyle name="Normal 8 11 2 3 2" xfId="8490" xr:uid="{00000000-0005-0000-0000-000097BA0000}"/>
    <cellStyle name="Normal 8 11 2 3 2 2" xfId="40231" xr:uid="{00000000-0005-0000-0000-000098BA0000}"/>
    <cellStyle name="Normal 8 11 2 3 2 2 2" xfId="56331" xr:uid="{00000000-0005-0000-0000-000099BA0000}"/>
    <cellStyle name="Normal 8 11 2 3 2 3" xfId="46764" xr:uid="{00000000-0005-0000-0000-00009ABA0000}"/>
    <cellStyle name="Normal 8 11 2 3 2 4" xfId="30664" xr:uid="{00000000-0005-0000-0000-00009BBA0000}"/>
    <cellStyle name="Normal 8 11 2 3 2 5" xfId="21095" xr:uid="{00000000-0005-0000-0000-00009CBA0000}"/>
    <cellStyle name="Normal 8 11 2 3 3" xfId="11526" xr:uid="{00000000-0005-0000-0000-00009DBA0000}"/>
    <cellStyle name="Normal 8 11 2 3 3 2" xfId="49800" xr:uid="{00000000-0005-0000-0000-00009EBA0000}"/>
    <cellStyle name="Normal 8 11 2 3 3 3" xfId="33700" xr:uid="{00000000-0005-0000-0000-00009FBA0000}"/>
    <cellStyle name="Normal 8 11 2 3 3 4" xfId="24131" xr:uid="{00000000-0005-0000-0000-0000A0BA0000}"/>
    <cellStyle name="Normal 8 11 2 3 4" xfId="5454" xr:uid="{00000000-0005-0000-0000-0000A1BA0000}"/>
    <cellStyle name="Normal 8 11 2 3 4 2" xfId="53295" xr:uid="{00000000-0005-0000-0000-0000A2BA0000}"/>
    <cellStyle name="Normal 8 11 2 3 4 3" xfId="37195" xr:uid="{00000000-0005-0000-0000-0000A3BA0000}"/>
    <cellStyle name="Normal 8 11 2 3 4 4" xfId="18059" xr:uid="{00000000-0005-0000-0000-0000A4BA0000}"/>
    <cellStyle name="Normal 8 11 2 3 5" xfId="43728" xr:uid="{00000000-0005-0000-0000-0000A5BA0000}"/>
    <cellStyle name="Normal 8 11 2 3 6" xfId="27628" xr:uid="{00000000-0005-0000-0000-0000A6BA0000}"/>
    <cellStyle name="Normal 8 11 2 3 7" xfId="14564" xr:uid="{00000000-0005-0000-0000-0000A7BA0000}"/>
    <cellStyle name="Normal 8 11 2 4" xfId="4444" xr:uid="{00000000-0005-0000-0000-0000A8BA0000}"/>
    <cellStyle name="Normal 8 11 2 4 2" xfId="36185" xr:uid="{00000000-0005-0000-0000-0000A9BA0000}"/>
    <cellStyle name="Normal 8 11 2 4 2 2" xfId="52285" xr:uid="{00000000-0005-0000-0000-0000AABA0000}"/>
    <cellStyle name="Normal 8 11 2 4 3" xfId="42718" xr:uid="{00000000-0005-0000-0000-0000ABBA0000}"/>
    <cellStyle name="Normal 8 11 2 4 4" xfId="26618" xr:uid="{00000000-0005-0000-0000-0000ACBA0000}"/>
    <cellStyle name="Normal 8 11 2 4 5" xfId="17049" xr:uid="{00000000-0005-0000-0000-0000ADBA0000}"/>
    <cellStyle name="Normal 8 11 2 5" xfId="7480" xr:uid="{00000000-0005-0000-0000-0000AEBA0000}"/>
    <cellStyle name="Normal 8 11 2 5 2" xfId="39221" xr:uid="{00000000-0005-0000-0000-0000AFBA0000}"/>
    <cellStyle name="Normal 8 11 2 5 2 2" xfId="55321" xr:uid="{00000000-0005-0000-0000-0000B0BA0000}"/>
    <cellStyle name="Normal 8 11 2 5 3" xfId="45754" xr:uid="{00000000-0005-0000-0000-0000B1BA0000}"/>
    <cellStyle name="Normal 8 11 2 5 4" xfId="29654" xr:uid="{00000000-0005-0000-0000-0000B2BA0000}"/>
    <cellStyle name="Normal 8 11 2 5 5" xfId="20085" xr:uid="{00000000-0005-0000-0000-0000B3BA0000}"/>
    <cellStyle name="Normal 8 11 2 6" xfId="10516" xr:uid="{00000000-0005-0000-0000-0000B4BA0000}"/>
    <cellStyle name="Normal 8 11 2 6 2" xfId="48790" xr:uid="{00000000-0005-0000-0000-0000B5BA0000}"/>
    <cellStyle name="Normal 8 11 2 6 3" xfId="32690" xr:uid="{00000000-0005-0000-0000-0000B6BA0000}"/>
    <cellStyle name="Normal 8 11 2 6 4" xfId="23121" xr:uid="{00000000-0005-0000-0000-0000B7BA0000}"/>
    <cellStyle name="Normal 8 11 2 7" xfId="3539" xr:uid="{00000000-0005-0000-0000-0000B8BA0000}"/>
    <cellStyle name="Normal 8 11 2 7 2" xfId="51380" xr:uid="{00000000-0005-0000-0000-0000B9BA0000}"/>
    <cellStyle name="Normal 8 11 2 7 3" xfId="35280" xr:uid="{00000000-0005-0000-0000-0000BABA0000}"/>
    <cellStyle name="Normal 8 11 2 7 4" xfId="16144" xr:uid="{00000000-0005-0000-0000-0000BBBA0000}"/>
    <cellStyle name="Normal 8 11 2 8" xfId="41813" xr:uid="{00000000-0005-0000-0000-0000BCBA0000}"/>
    <cellStyle name="Normal 8 11 2 9" xfId="25713" xr:uid="{00000000-0005-0000-0000-0000BDBA0000}"/>
    <cellStyle name="Normal 8 11 3" xfId="724" xr:uid="{00000000-0005-0000-0000-0000BEBA0000}"/>
    <cellStyle name="Normal 8 11 3 2" xfId="2752" xr:uid="{00000000-0005-0000-0000-0000BFBA0000}"/>
    <cellStyle name="Normal 8 11 3 2 2" xfId="9284" xr:uid="{00000000-0005-0000-0000-0000C0BA0000}"/>
    <cellStyle name="Normal 8 11 3 2 2 2" xfId="41025" xr:uid="{00000000-0005-0000-0000-0000C1BA0000}"/>
    <cellStyle name="Normal 8 11 3 2 2 2 2" xfId="57125" xr:uid="{00000000-0005-0000-0000-0000C2BA0000}"/>
    <cellStyle name="Normal 8 11 3 2 2 3" xfId="47558" xr:uid="{00000000-0005-0000-0000-0000C3BA0000}"/>
    <cellStyle name="Normal 8 11 3 2 2 4" xfId="31458" xr:uid="{00000000-0005-0000-0000-0000C4BA0000}"/>
    <cellStyle name="Normal 8 11 3 2 2 5" xfId="21889" xr:uid="{00000000-0005-0000-0000-0000C5BA0000}"/>
    <cellStyle name="Normal 8 11 3 2 3" xfId="12320" xr:uid="{00000000-0005-0000-0000-0000C6BA0000}"/>
    <cellStyle name="Normal 8 11 3 2 3 2" xfId="50594" xr:uid="{00000000-0005-0000-0000-0000C7BA0000}"/>
    <cellStyle name="Normal 8 11 3 2 3 3" xfId="34494" xr:uid="{00000000-0005-0000-0000-0000C8BA0000}"/>
    <cellStyle name="Normal 8 11 3 2 3 4" xfId="24925" xr:uid="{00000000-0005-0000-0000-0000C9BA0000}"/>
    <cellStyle name="Normal 8 11 3 2 4" xfId="6248" xr:uid="{00000000-0005-0000-0000-0000CABA0000}"/>
    <cellStyle name="Normal 8 11 3 2 4 2" xfId="54089" xr:uid="{00000000-0005-0000-0000-0000CBBA0000}"/>
    <cellStyle name="Normal 8 11 3 2 4 3" xfId="37989" xr:uid="{00000000-0005-0000-0000-0000CCBA0000}"/>
    <cellStyle name="Normal 8 11 3 2 4 4" xfId="18853" xr:uid="{00000000-0005-0000-0000-0000CDBA0000}"/>
    <cellStyle name="Normal 8 11 3 2 5" xfId="44522" xr:uid="{00000000-0005-0000-0000-0000CEBA0000}"/>
    <cellStyle name="Normal 8 11 3 2 6" xfId="28422" xr:uid="{00000000-0005-0000-0000-0000CFBA0000}"/>
    <cellStyle name="Normal 8 11 3 2 7" xfId="15358" xr:uid="{00000000-0005-0000-0000-0000D0BA0000}"/>
    <cellStyle name="Normal 8 11 3 3" xfId="1734" xr:uid="{00000000-0005-0000-0000-0000D1BA0000}"/>
    <cellStyle name="Normal 8 11 3 3 2" xfId="8268" xr:uid="{00000000-0005-0000-0000-0000D2BA0000}"/>
    <cellStyle name="Normal 8 11 3 3 2 2" xfId="40009" xr:uid="{00000000-0005-0000-0000-0000D3BA0000}"/>
    <cellStyle name="Normal 8 11 3 3 2 2 2" xfId="56109" xr:uid="{00000000-0005-0000-0000-0000D4BA0000}"/>
    <cellStyle name="Normal 8 11 3 3 2 3" xfId="46542" xr:uid="{00000000-0005-0000-0000-0000D5BA0000}"/>
    <cellStyle name="Normal 8 11 3 3 2 4" xfId="30442" xr:uid="{00000000-0005-0000-0000-0000D6BA0000}"/>
    <cellStyle name="Normal 8 11 3 3 2 5" xfId="20873" xr:uid="{00000000-0005-0000-0000-0000D7BA0000}"/>
    <cellStyle name="Normal 8 11 3 3 3" xfId="11304" xr:uid="{00000000-0005-0000-0000-0000D8BA0000}"/>
    <cellStyle name="Normal 8 11 3 3 3 2" xfId="49578" xr:uid="{00000000-0005-0000-0000-0000D9BA0000}"/>
    <cellStyle name="Normal 8 11 3 3 3 3" xfId="33478" xr:uid="{00000000-0005-0000-0000-0000DABA0000}"/>
    <cellStyle name="Normal 8 11 3 3 3 4" xfId="23909" xr:uid="{00000000-0005-0000-0000-0000DBBA0000}"/>
    <cellStyle name="Normal 8 11 3 3 4" xfId="5232" xr:uid="{00000000-0005-0000-0000-0000DCBA0000}"/>
    <cellStyle name="Normal 8 11 3 3 4 2" xfId="53073" xr:uid="{00000000-0005-0000-0000-0000DDBA0000}"/>
    <cellStyle name="Normal 8 11 3 3 4 3" xfId="36973" xr:uid="{00000000-0005-0000-0000-0000DEBA0000}"/>
    <cellStyle name="Normal 8 11 3 3 4 4" xfId="17837" xr:uid="{00000000-0005-0000-0000-0000DFBA0000}"/>
    <cellStyle name="Normal 8 11 3 3 5" xfId="43506" xr:uid="{00000000-0005-0000-0000-0000E0BA0000}"/>
    <cellStyle name="Normal 8 11 3 3 6" xfId="27406" xr:uid="{00000000-0005-0000-0000-0000E1BA0000}"/>
    <cellStyle name="Normal 8 11 3 3 7" xfId="14342" xr:uid="{00000000-0005-0000-0000-0000E2BA0000}"/>
    <cellStyle name="Normal 8 11 3 4" xfId="7258" xr:uid="{00000000-0005-0000-0000-0000E3BA0000}"/>
    <cellStyle name="Normal 8 11 3 4 2" xfId="38999" xr:uid="{00000000-0005-0000-0000-0000E4BA0000}"/>
    <cellStyle name="Normal 8 11 3 4 2 2" xfId="55099" xr:uid="{00000000-0005-0000-0000-0000E5BA0000}"/>
    <cellStyle name="Normal 8 11 3 4 3" xfId="45532" xr:uid="{00000000-0005-0000-0000-0000E6BA0000}"/>
    <cellStyle name="Normal 8 11 3 4 4" xfId="29432" xr:uid="{00000000-0005-0000-0000-0000E7BA0000}"/>
    <cellStyle name="Normal 8 11 3 4 5" xfId="19863" xr:uid="{00000000-0005-0000-0000-0000E8BA0000}"/>
    <cellStyle name="Normal 8 11 3 5" xfId="10294" xr:uid="{00000000-0005-0000-0000-0000E9BA0000}"/>
    <cellStyle name="Normal 8 11 3 5 2" xfId="48568" xr:uid="{00000000-0005-0000-0000-0000EABA0000}"/>
    <cellStyle name="Normal 8 11 3 5 3" xfId="32468" xr:uid="{00000000-0005-0000-0000-0000EBBA0000}"/>
    <cellStyle name="Normal 8 11 3 5 4" xfId="22899" xr:uid="{00000000-0005-0000-0000-0000ECBA0000}"/>
    <cellStyle name="Normal 8 11 3 6" xfId="4222" xr:uid="{00000000-0005-0000-0000-0000EDBA0000}"/>
    <cellStyle name="Normal 8 11 3 6 2" xfId="52063" xr:uid="{00000000-0005-0000-0000-0000EEBA0000}"/>
    <cellStyle name="Normal 8 11 3 6 3" xfId="35963" xr:uid="{00000000-0005-0000-0000-0000EFBA0000}"/>
    <cellStyle name="Normal 8 11 3 6 4" xfId="16827" xr:uid="{00000000-0005-0000-0000-0000F0BA0000}"/>
    <cellStyle name="Normal 8 11 3 7" xfId="42496" xr:uid="{00000000-0005-0000-0000-0000F1BA0000}"/>
    <cellStyle name="Normal 8 11 3 8" xfId="26396" xr:uid="{00000000-0005-0000-0000-0000F2BA0000}"/>
    <cellStyle name="Normal 8 11 3 9" xfId="13332" xr:uid="{00000000-0005-0000-0000-0000F3BA0000}"/>
    <cellStyle name="Normal 8 11 4" xfId="2524" xr:uid="{00000000-0005-0000-0000-0000F4BA0000}"/>
    <cellStyle name="Normal 8 11 4 2" xfId="9056" xr:uid="{00000000-0005-0000-0000-0000F5BA0000}"/>
    <cellStyle name="Normal 8 11 4 2 2" xfId="40797" xr:uid="{00000000-0005-0000-0000-0000F6BA0000}"/>
    <cellStyle name="Normal 8 11 4 2 2 2" xfId="56897" xr:uid="{00000000-0005-0000-0000-0000F7BA0000}"/>
    <cellStyle name="Normal 8 11 4 2 3" xfId="47330" xr:uid="{00000000-0005-0000-0000-0000F8BA0000}"/>
    <cellStyle name="Normal 8 11 4 2 4" xfId="31230" xr:uid="{00000000-0005-0000-0000-0000F9BA0000}"/>
    <cellStyle name="Normal 8 11 4 2 5" xfId="21661" xr:uid="{00000000-0005-0000-0000-0000FABA0000}"/>
    <cellStyle name="Normal 8 11 4 3" xfId="12092" xr:uid="{00000000-0005-0000-0000-0000FBBA0000}"/>
    <cellStyle name="Normal 8 11 4 3 2" xfId="50366" xr:uid="{00000000-0005-0000-0000-0000FCBA0000}"/>
    <cellStyle name="Normal 8 11 4 3 3" xfId="34266" xr:uid="{00000000-0005-0000-0000-0000FDBA0000}"/>
    <cellStyle name="Normal 8 11 4 3 4" xfId="24697" xr:uid="{00000000-0005-0000-0000-0000FEBA0000}"/>
    <cellStyle name="Normal 8 11 4 4" xfId="6020" xr:uid="{00000000-0005-0000-0000-0000FFBA0000}"/>
    <cellStyle name="Normal 8 11 4 4 2" xfId="53861" xr:uid="{00000000-0005-0000-0000-000000BB0000}"/>
    <cellStyle name="Normal 8 11 4 4 3" xfId="37761" xr:uid="{00000000-0005-0000-0000-000001BB0000}"/>
    <cellStyle name="Normal 8 11 4 4 4" xfId="18625" xr:uid="{00000000-0005-0000-0000-000002BB0000}"/>
    <cellStyle name="Normal 8 11 4 5" xfId="44294" xr:uid="{00000000-0005-0000-0000-000003BB0000}"/>
    <cellStyle name="Normal 8 11 4 6" xfId="28194" xr:uid="{00000000-0005-0000-0000-000004BB0000}"/>
    <cellStyle name="Normal 8 11 4 7" xfId="15130" xr:uid="{00000000-0005-0000-0000-000005BB0000}"/>
    <cellStyle name="Normal 8 11 5" xfId="1273" xr:uid="{00000000-0005-0000-0000-000006BB0000}"/>
    <cellStyle name="Normal 8 11 5 2" xfId="7807" xr:uid="{00000000-0005-0000-0000-000007BB0000}"/>
    <cellStyle name="Normal 8 11 5 2 2" xfId="39548" xr:uid="{00000000-0005-0000-0000-000008BB0000}"/>
    <cellStyle name="Normal 8 11 5 2 2 2" xfId="55648" xr:uid="{00000000-0005-0000-0000-000009BB0000}"/>
    <cellStyle name="Normal 8 11 5 2 3" xfId="46081" xr:uid="{00000000-0005-0000-0000-00000ABB0000}"/>
    <cellStyle name="Normal 8 11 5 2 4" xfId="29981" xr:uid="{00000000-0005-0000-0000-00000BBB0000}"/>
    <cellStyle name="Normal 8 11 5 2 5" xfId="20412" xr:uid="{00000000-0005-0000-0000-00000CBB0000}"/>
    <cellStyle name="Normal 8 11 5 3" xfId="10843" xr:uid="{00000000-0005-0000-0000-00000DBB0000}"/>
    <cellStyle name="Normal 8 11 5 3 2" xfId="49117" xr:uid="{00000000-0005-0000-0000-00000EBB0000}"/>
    <cellStyle name="Normal 8 11 5 3 3" xfId="33017" xr:uid="{00000000-0005-0000-0000-00000FBB0000}"/>
    <cellStyle name="Normal 8 11 5 3 4" xfId="23448" xr:uid="{00000000-0005-0000-0000-000010BB0000}"/>
    <cellStyle name="Normal 8 11 5 4" xfId="4771" xr:uid="{00000000-0005-0000-0000-000011BB0000}"/>
    <cellStyle name="Normal 8 11 5 4 2" xfId="52612" xr:uid="{00000000-0005-0000-0000-000012BB0000}"/>
    <cellStyle name="Normal 8 11 5 4 3" xfId="36512" xr:uid="{00000000-0005-0000-0000-000013BB0000}"/>
    <cellStyle name="Normal 8 11 5 4 4" xfId="17376" xr:uid="{00000000-0005-0000-0000-000014BB0000}"/>
    <cellStyle name="Normal 8 11 5 5" xfId="43045" xr:uid="{00000000-0005-0000-0000-000015BB0000}"/>
    <cellStyle name="Normal 8 11 5 6" xfId="26945" xr:uid="{00000000-0005-0000-0000-000016BB0000}"/>
    <cellStyle name="Normal 8 11 5 7" xfId="13881" xr:uid="{00000000-0005-0000-0000-000017BB0000}"/>
    <cellStyle name="Normal 8 11 6" xfId="3761" xr:uid="{00000000-0005-0000-0000-000018BB0000}"/>
    <cellStyle name="Normal 8 11 6 2" xfId="35502" xr:uid="{00000000-0005-0000-0000-000019BB0000}"/>
    <cellStyle name="Normal 8 11 6 2 2" xfId="51602" xr:uid="{00000000-0005-0000-0000-00001ABB0000}"/>
    <cellStyle name="Normal 8 11 6 3" xfId="42035" xr:uid="{00000000-0005-0000-0000-00001BBB0000}"/>
    <cellStyle name="Normal 8 11 6 4" xfId="25935" xr:uid="{00000000-0005-0000-0000-00001CBB0000}"/>
    <cellStyle name="Normal 8 11 6 5" xfId="16366" xr:uid="{00000000-0005-0000-0000-00001DBB0000}"/>
    <cellStyle name="Normal 8 11 7" xfId="6797" xr:uid="{00000000-0005-0000-0000-00001EBB0000}"/>
    <cellStyle name="Normal 8 11 7 2" xfId="38538" xr:uid="{00000000-0005-0000-0000-00001FBB0000}"/>
    <cellStyle name="Normal 8 11 7 2 2" xfId="54638" xr:uid="{00000000-0005-0000-0000-000020BB0000}"/>
    <cellStyle name="Normal 8 11 7 3" xfId="45071" xr:uid="{00000000-0005-0000-0000-000021BB0000}"/>
    <cellStyle name="Normal 8 11 7 4" xfId="28971" xr:uid="{00000000-0005-0000-0000-000022BB0000}"/>
    <cellStyle name="Normal 8 11 7 5" xfId="19402" xr:uid="{00000000-0005-0000-0000-000023BB0000}"/>
    <cellStyle name="Normal 8 11 8" xfId="9833" xr:uid="{00000000-0005-0000-0000-000024BB0000}"/>
    <cellStyle name="Normal 8 11 8 2" xfId="48107" xr:uid="{00000000-0005-0000-0000-000025BB0000}"/>
    <cellStyle name="Normal 8 11 8 3" xfId="32007" xr:uid="{00000000-0005-0000-0000-000026BB0000}"/>
    <cellStyle name="Normal 8 11 8 4" xfId="22438" xr:uid="{00000000-0005-0000-0000-000027BB0000}"/>
    <cellStyle name="Normal 8 11 9" xfId="3301" xr:uid="{00000000-0005-0000-0000-000028BB0000}"/>
    <cellStyle name="Normal 8 11 9 2" xfId="51143" xr:uid="{00000000-0005-0000-0000-000029BB0000}"/>
    <cellStyle name="Normal 8 11 9 3" xfId="35043" xr:uid="{00000000-0005-0000-0000-00002ABB0000}"/>
    <cellStyle name="Normal 8 11 9 4" xfId="15907" xr:uid="{00000000-0005-0000-0000-00002BBB0000}"/>
    <cellStyle name="Normal 8 12" xfId="436" xr:uid="{00000000-0005-0000-0000-00002CBB0000}"/>
    <cellStyle name="Normal 8 12 10" xfId="41423" xr:uid="{00000000-0005-0000-0000-00002DBB0000}"/>
    <cellStyle name="Normal 8 12 11" xfId="25323" xr:uid="{00000000-0005-0000-0000-00002EBB0000}"/>
    <cellStyle name="Normal 8 12 12" xfId="12718" xr:uid="{00000000-0005-0000-0000-00002FBB0000}"/>
    <cellStyle name="Normal 8 12 2" xfId="793" xr:uid="{00000000-0005-0000-0000-000030BB0000}"/>
    <cellStyle name="Normal 8 12 2 10" xfId="13401" xr:uid="{00000000-0005-0000-0000-000031BB0000}"/>
    <cellStyle name="Normal 8 12 2 2" xfId="2821" xr:uid="{00000000-0005-0000-0000-000032BB0000}"/>
    <cellStyle name="Normal 8 12 2 2 2" xfId="9353" xr:uid="{00000000-0005-0000-0000-000033BB0000}"/>
    <cellStyle name="Normal 8 12 2 2 2 2" xfId="41094" xr:uid="{00000000-0005-0000-0000-000034BB0000}"/>
    <cellStyle name="Normal 8 12 2 2 2 2 2" xfId="57194" xr:uid="{00000000-0005-0000-0000-000035BB0000}"/>
    <cellStyle name="Normal 8 12 2 2 2 3" xfId="47627" xr:uid="{00000000-0005-0000-0000-000036BB0000}"/>
    <cellStyle name="Normal 8 12 2 2 2 4" xfId="31527" xr:uid="{00000000-0005-0000-0000-000037BB0000}"/>
    <cellStyle name="Normal 8 12 2 2 2 5" xfId="21958" xr:uid="{00000000-0005-0000-0000-000038BB0000}"/>
    <cellStyle name="Normal 8 12 2 2 3" xfId="12389" xr:uid="{00000000-0005-0000-0000-000039BB0000}"/>
    <cellStyle name="Normal 8 12 2 2 3 2" xfId="50663" xr:uid="{00000000-0005-0000-0000-00003ABB0000}"/>
    <cellStyle name="Normal 8 12 2 2 3 3" xfId="34563" xr:uid="{00000000-0005-0000-0000-00003BBB0000}"/>
    <cellStyle name="Normal 8 12 2 2 3 4" xfId="24994" xr:uid="{00000000-0005-0000-0000-00003CBB0000}"/>
    <cellStyle name="Normal 8 12 2 2 4" xfId="6317" xr:uid="{00000000-0005-0000-0000-00003DBB0000}"/>
    <cellStyle name="Normal 8 12 2 2 4 2" xfId="54158" xr:uid="{00000000-0005-0000-0000-00003EBB0000}"/>
    <cellStyle name="Normal 8 12 2 2 4 3" xfId="38058" xr:uid="{00000000-0005-0000-0000-00003FBB0000}"/>
    <cellStyle name="Normal 8 12 2 2 4 4" xfId="18922" xr:uid="{00000000-0005-0000-0000-000040BB0000}"/>
    <cellStyle name="Normal 8 12 2 2 5" xfId="44591" xr:uid="{00000000-0005-0000-0000-000041BB0000}"/>
    <cellStyle name="Normal 8 12 2 2 6" xfId="28491" xr:uid="{00000000-0005-0000-0000-000042BB0000}"/>
    <cellStyle name="Normal 8 12 2 2 7" xfId="15427" xr:uid="{00000000-0005-0000-0000-000043BB0000}"/>
    <cellStyle name="Normal 8 12 2 3" xfId="1803" xr:uid="{00000000-0005-0000-0000-000044BB0000}"/>
    <cellStyle name="Normal 8 12 2 3 2" xfId="8337" xr:uid="{00000000-0005-0000-0000-000045BB0000}"/>
    <cellStyle name="Normal 8 12 2 3 2 2" xfId="40078" xr:uid="{00000000-0005-0000-0000-000046BB0000}"/>
    <cellStyle name="Normal 8 12 2 3 2 2 2" xfId="56178" xr:uid="{00000000-0005-0000-0000-000047BB0000}"/>
    <cellStyle name="Normal 8 12 2 3 2 3" xfId="46611" xr:uid="{00000000-0005-0000-0000-000048BB0000}"/>
    <cellStyle name="Normal 8 12 2 3 2 4" xfId="30511" xr:uid="{00000000-0005-0000-0000-000049BB0000}"/>
    <cellStyle name="Normal 8 12 2 3 2 5" xfId="20942" xr:uid="{00000000-0005-0000-0000-00004ABB0000}"/>
    <cellStyle name="Normal 8 12 2 3 3" xfId="11373" xr:uid="{00000000-0005-0000-0000-00004BBB0000}"/>
    <cellStyle name="Normal 8 12 2 3 3 2" xfId="49647" xr:uid="{00000000-0005-0000-0000-00004CBB0000}"/>
    <cellStyle name="Normal 8 12 2 3 3 3" xfId="33547" xr:uid="{00000000-0005-0000-0000-00004DBB0000}"/>
    <cellStyle name="Normal 8 12 2 3 3 4" xfId="23978" xr:uid="{00000000-0005-0000-0000-00004EBB0000}"/>
    <cellStyle name="Normal 8 12 2 3 4" xfId="5301" xr:uid="{00000000-0005-0000-0000-00004FBB0000}"/>
    <cellStyle name="Normal 8 12 2 3 4 2" xfId="53142" xr:uid="{00000000-0005-0000-0000-000050BB0000}"/>
    <cellStyle name="Normal 8 12 2 3 4 3" xfId="37042" xr:uid="{00000000-0005-0000-0000-000051BB0000}"/>
    <cellStyle name="Normal 8 12 2 3 4 4" xfId="17906" xr:uid="{00000000-0005-0000-0000-000052BB0000}"/>
    <cellStyle name="Normal 8 12 2 3 5" xfId="43575" xr:uid="{00000000-0005-0000-0000-000053BB0000}"/>
    <cellStyle name="Normal 8 12 2 3 6" xfId="27475" xr:uid="{00000000-0005-0000-0000-000054BB0000}"/>
    <cellStyle name="Normal 8 12 2 3 7" xfId="14411" xr:uid="{00000000-0005-0000-0000-000055BB0000}"/>
    <cellStyle name="Normal 8 12 2 4" xfId="4291" xr:uid="{00000000-0005-0000-0000-000056BB0000}"/>
    <cellStyle name="Normal 8 12 2 4 2" xfId="36032" xr:uid="{00000000-0005-0000-0000-000057BB0000}"/>
    <cellStyle name="Normal 8 12 2 4 2 2" xfId="52132" xr:uid="{00000000-0005-0000-0000-000058BB0000}"/>
    <cellStyle name="Normal 8 12 2 4 3" xfId="42565" xr:uid="{00000000-0005-0000-0000-000059BB0000}"/>
    <cellStyle name="Normal 8 12 2 4 4" xfId="26465" xr:uid="{00000000-0005-0000-0000-00005ABB0000}"/>
    <cellStyle name="Normal 8 12 2 4 5" xfId="16896" xr:uid="{00000000-0005-0000-0000-00005BBB0000}"/>
    <cellStyle name="Normal 8 12 2 5" xfId="7327" xr:uid="{00000000-0005-0000-0000-00005CBB0000}"/>
    <cellStyle name="Normal 8 12 2 5 2" xfId="39068" xr:uid="{00000000-0005-0000-0000-00005DBB0000}"/>
    <cellStyle name="Normal 8 12 2 5 2 2" xfId="55168" xr:uid="{00000000-0005-0000-0000-00005EBB0000}"/>
    <cellStyle name="Normal 8 12 2 5 3" xfId="45601" xr:uid="{00000000-0005-0000-0000-00005FBB0000}"/>
    <cellStyle name="Normal 8 12 2 5 4" xfId="29501" xr:uid="{00000000-0005-0000-0000-000060BB0000}"/>
    <cellStyle name="Normal 8 12 2 5 5" xfId="19932" xr:uid="{00000000-0005-0000-0000-000061BB0000}"/>
    <cellStyle name="Normal 8 12 2 6" xfId="10363" xr:uid="{00000000-0005-0000-0000-000062BB0000}"/>
    <cellStyle name="Normal 8 12 2 6 2" xfId="48637" xr:uid="{00000000-0005-0000-0000-000063BB0000}"/>
    <cellStyle name="Normal 8 12 2 6 3" xfId="32537" xr:uid="{00000000-0005-0000-0000-000064BB0000}"/>
    <cellStyle name="Normal 8 12 2 6 4" xfId="22968" xr:uid="{00000000-0005-0000-0000-000065BB0000}"/>
    <cellStyle name="Normal 8 12 2 7" xfId="3386" xr:uid="{00000000-0005-0000-0000-000066BB0000}"/>
    <cellStyle name="Normal 8 12 2 7 2" xfId="51227" xr:uid="{00000000-0005-0000-0000-000067BB0000}"/>
    <cellStyle name="Normal 8 12 2 7 3" xfId="35127" xr:uid="{00000000-0005-0000-0000-000068BB0000}"/>
    <cellStyle name="Normal 8 12 2 7 4" xfId="15991" xr:uid="{00000000-0005-0000-0000-000069BB0000}"/>
    <cellStyle name="Normal 8 12 2 8" xfId="41660" xr:uid="{00000000-0005-0000-0000-00006ABB0000}"/>
    <cellStyle name="Normal 8 12 2 9" xfId="25560" xr:uid="{00000000-0005-0000-0000-00006BBB0000}"/>
    <cellStyle name="Normal 8 12 3" xfId="651" xr:uid="{00000000-0005-0000-0000-00006CBB0000}"/>
    <cellStyle name="Normal 8 12 3 2" xfId="2679" xr:uid="{00000000-0005-0000-0000-00006DBB0000}"/>
    <cellStyle name="Normal 8 12 3 2 2" xfId="9211" xr:uid="{00000000-0005-0000-0000-00006EBB0000}"/>
    <cellStyle name="Normal 8 12 3 2 2 2" xfId="40952" xr:uid="{00000000-0005-0000-0000-00006FBB0000}"/>
    <cellStyle name="Normal 8 12 3 2 2 2 2" xfId="57052" xr:uid="{00000000-0005-0000-0000-000070BB0000}"/>
    <cellStyle name="Normal 8 12 3 2 2 3" xfId="47485" xr:uid="{00000000-0005-0000-0000-000071BB0000}"/>
    <cellStyle name="Normal 8 12 3 2 2 4" xfId="31385" xr:uid="{00000000-0005-0000-0000-000072BB0000}"/>
    <cellStyle name="Normal 8 12 3 2 2 5" xfId="21816" xr:uid="{00000000-0005-0000-0000-000073BB0000}"/>
    <cellStyle name="Normal 8 12 3 2 3" xfId="12247" xr:uid="{00000000-0005-0000-0000-000074BB0000}"/>
    <cellStyle name="Normal 8 12 3 2 3 2" xfId="50521" xr:uid="{00000000-0005-0000-0000-000075BB0000}"/>
    <cellStyle name="Normal 8 12 3 2 3 3" xfId="34421" xr:uid="{00000000-0005-0000-0000-000076BB0000}"/>
    <cellStyle name="Normal 8 12 3 2 3 4" xfId="24852" xr:uid="{00000000-0005-0000-0000-000077BB0000}"/>
    <cellStyle name="Normal 8 12 3 2 4" xfId="6175" xr:uid="{00000000-0005-0000-0000-000078BB0000}"/>
    <cellStyle name="Normal 8 12 3 2 4 2" xfId="54016" xr:uid="{00000000-0005-0000-0000-000079BB0000}"/>
    <cellStyle name="Normal 8 12 3 2 4 3" xfId="37916" xr:uid="{00000000-0005-0000-0000-00007ABB0000}"/>
    <cellStyle name="Normal 8 12 3 2 4 4" xfId="18780" xr:uid="{00000000-0005-0000-0000-00007BBB0000}"/>
    <cellStyle name="Normal 8 12 3 2 5" xfId="44449" xr:uid="{00000000-0005-0000-0000-00007CBB0000}"/>
    <cellStyle name="Normal 8 12 3 2 6" xfId="28349" xr:uid="{00000000-0005-0000-0000-00007DBB0000}"/>
    <cellStyle name="Normal 8 12 3 2 7" xfId="15285" xr:uid="{00000000-0005-0000-0000-00007EBB0000}"/>
    <cellStyle name="Normal 8 12 3 3" xfId="1661" xr:uid="{00000000-0005-0000-0000-00007FBB0000}"/>
    <cellStyle name="Normal 8 12 3 3 2" xfId="8195" xr:uid="{00000000-0005-0000-0000-000080BB0000}"/>
    <cellStyle name="Normal 8 12 3 3 2 2" xfId="39936" xr:uid="{00000000-0005-0000-0000-000081BB0000}"/>
    <cellStyle name="Normal 8 12 3 3 2 2 2" xfId="56036" xr:uid="{00000000-0005-0000-0000-000082BB0000}"/>
    <cellStyle name="Normal 8 12 3 3 2 3" xfId="46469" xr:uid="{00000000-0005-0000-0000-000083BB0000}"/>
    <cellStyle name="Normal 8 12 3 3 2 4" xfId="30369" xr:uid="{00000000-0005-0000-0000-000084BB0000}"/>
    <cellStyle name="Normal 8 12 3 3 2 5" xfId="20800" xr:uid="{00000000-0005-0000-0000-000085BB0000}"/>
    <cellStyle name="Normal 8 12 3 3 3" xfId="11231" xr:uid="{00000000-0005-0000-0000-000086BB0000}"/>
    <cellStyle name="Normal 8 12 3 3 3 2" xfId="49505" xr:uid="{00000000-0005-0000-0000-000087BB0000}"/>
    <cellStyle name="Normal 8 12 3 3 3 3" xfId="33405" xr:uid="{00000000-0005-0000-0000-000088BB0000}"/>
    <cellStyle name="Normal 8 12 3 3 3 4" xfId="23836" xr:uid="{00000000-0005-0000-0000-000089BB0000}"/>
    <cellStyle name="Normal 8 12 3 3 4" xfId="5159" xr:uid="{00000000-0005-0000-0000-00008ABB0000}"/>
    <cellStyle name="Normal 8 12 3 3 4 2" xfId="53000" xr:uid="{00000000-0005-0000-0000-00008BBB0000}"/>
    <cellStyle name="Normal 8 12 3 3 4 3" xfId="36900" xr:uid="{00000000-0005-0000-0000-00008CBB0000}"/>
    <cellStyle name="Normal 8 12 3 3 4 4" xfId="17764" xr:uid="{00000000-0005-0000-0000-00008DBB0000}"/>
    <cellStyle name="Normal 8 12 3 3 5" xfId="43433" xr:uid="{00000000-0005-0000-0000-00008EBB0000}"/>
    <cellStyle name="Normal 8 12 3 3 6" xfId="27333" xr:uid="{00000000-0005-0000-0000-00008FBB0000}"/>
    <cellStyle name="Normal 8 12 3 3 7" xfId="14269" xr:uid="{00000000-0005-0000-0000-000090BB0000}"/>
    <cellStyle name="Normal 8 12 3 4" xfId="7185" xr:uid="{00000000-0005-0000-0000-000091BB0000}"/>
    <cellStyle name="Normal 8 12 3 4 2" xfId="38926" xr:uid="{00000000-0005-0000-0000-000092BB0000}"/>
    <cellStyle name="Normal 8 12 3 4 2 2" xfId="55026" xr:uid="{00000000-0005-0000-0000-000093BB0000}"/>
    <cellStyle name="Normal 8 12 3 4 3" xfId="45459" xr:uid="{00000000-0005-0000-0000-000094BB0000}"/>
    <cellStyle name="Normal 8 12 3 4 4" xfId="29359" xr:uid="{00000000-0005-0000-0000-000095BB0000}"/>
    <cellStyle name="Normal 8 12 3 4 5" xfId="19790" xr:uid="{00000000-0005-0000-0000-000096BB0000}"/>
    <cellStyle name="Normal 8 12 3 5" xfId="10221" xr:uid="{00000000-0005-0000-0000-000097BB0000}"/>
    <cellStyle name="Normal 8 12 3 5 2" xfId="48495" xr:uid="{00000000-0005-0000-0000-000098BB0000}"/>
    <cellStyle name="Normal 8 12 3 5 3" xfId="32395" xr:uid="{00000000-0005-0000-0000-000099BB0000}"/>
    <cellStyle name="Normal 8 12 3 5 4" xfId="22826" xr:uid="{00000000-0005-0000-0000-00009ABB0000}"/>
    <cellStyle name="Normal 8 12 3 6" xfId="4149" xr:uid="{00000000-0005-0000-0000-00009BBB0000}"/>
    <cellStyle name="Normal 8 12 3 6 2" xfId="51990" xr:uid="{00000000-0005-0000-0000-00009CBB0000}"/>
    <cellStyle name="Normal 8 12 3 6 3" xfId="35890" xr:uid="{00000000-0005-0000-0000-00009DBB0000}"/>
    <cellStyle name="Normal 8 12 3 6 4" xfId="16754" xr:uid="{00000000-0005-0000-0000-00009EBB0000}"/>
    <cellStyle name="Normal 8 12 3 7" xfId="42423" xr:uid="{00000000-0005-0000-0000-00009FBB0000}"/>
    <cellStyle name="Normal 8 12 3 8" xfId="26323" xr:uid="{00000000-0005-0000-0000-0000A0BB0000}"/>
    <cellStyle name="Normal 8 12 3 9" xfId="13259" xr:uid="{00000000-0005-0000-0000-0000A1BB0000}"/>
    <cellStyle name="Normal 8 12 4" xfId="2451" xr:uid="{00000000-0005-0000-0000-0000A2BB0000}"/>
    <cellStyle name="Normal 8 12 4 2" xfId="8983" xr:uid="{00000000-0005-0000-0000-0000A3BB0000}"/>
    <cellStyle name="Normal 8 12 4 2 2" xfId="40724" xr:uid="{00000000-0005-0000-0000-0000A4BB0000}"/>
    <cellStyle name="Normal 8 12 4 2 2 2" xfId="56824" xr:uid="{00000000-0005-0000-0000-0000A5BB0000}"/>
    <cellStyle name="Normal 8 12 4 2 3" xfId="47257" xr:uid="{00000000-0005-0000-0000-0000A6BB0000}"/>
    <cellStyle name="Normal 8 12 4 2 4" xfId="31157" xr:uid="{00000000-0005-0000-0000-0000A7BB0000}"/>
    <cellStyle name="Normal 8 12 4 2 5" xfId="21588" xr:uid="{00000000-0005-0000-0000-0000A8BB0000}"/>
    <cellStyle name="Normal 8 12 4 3" xfId="12019" xr:uid="{00000000-0005-0000-0000-0000A9BB0000}"/>
    <cellStyle name="Normal 8 12 4 3 2" xfId="50293" xr:uid="{00000000-0005-0000-0000-0000AABB0000}"/>
    <cellStyle name="Normal 8 12 4 3 3" xfId="34193" xr:uid="{00000000-0005-0000-0000-0000ABBB0000}"/>
    <cellStyle name="Normal 8 12 4 3 4" xfId="24624" xr:uid="{00000000-0005-0000-0000-0000ACBB0000}"/>
    <cellStyle name="Normal 8 12 4 4" xfId="5947" xr:uid="{00000000-0005-0000-0000-0000ADBB0000}"/>
    <cellStyle name="Normal 8 12 4 4 2" xfId="53788" xr:uid="{00000000-0005-0000-0000-0000AEBB0000}"/>
    <cellStyle name="Normal 8 12 4 4 3" xfId="37688" xr:uid="{00000000-0005-0000-0000-0000AFBB0000}"/>
    <cellStyle name="Normal 8 12 4 4 4" xfId="18552" xr:uid="{00000000-0005-0000-0000-0000B0BB0000}"/>
    <cellStyle name="Normal 8 12 4 5" xfId="44221" xr:uid="{00000000-0005-0000-0000-0000B1BB0000}"/>
    <cellStyle name="Normal 8 12 4 6" xfId="28121" xr:uid="{00000000-0005-0000-0000-0000B2BB0000}"/>
    <cellStyle name="Normal 8 12 4 7" xfId="15057" xr:uid="{00000000-0005-0000-0000-0000B3BB0000}"/>
    <cellStyle name="Normal 8 12 5" xfId="1120" xr:uid="{00000000-0005-0000-0000-0000B4BB0000}"/>
    <cellStyle name="Normal 8 12 5 2" xfId="7654" xr:uid="{00000000-0005-0000-0000-0000B5BB0000}"/>
    <cellStyle name="Normal 8 12 5 2 2" xfId="39395" xr:uid="{00000000-0005-0000-0000-0000B6BB0000}"/>
    <cellStyle name="Normal 8 12 5 2 2 2" xfId="55495" xr:uid="{00000000-0005-0000-0000-0000B7BB0000}"/>
    <cellStyle name="Normal 8 12 5 2 3" xfId="45928" xr:uid="{00000000-0005-0000-0000-0000B8BB0000}"/>
    <cellStyle name="Normal 8 12 5 2 4" xfId="29828" xr:uid="{00000000-0005-0000-0000-0000B9BB0000}"/>
    <cellStyle name="Normal 8 12 5 2 5" xfId="20259" xr:uid="{00000000-0005-0000-0000-0000BABB0000}"/>
    <cellStyle name="Normal 8 12 5 3" xfId="10690" xr:uid="{00000000-0005-0000-0000-0000BBBB0000}"/>
    <cellStyle name="Normal 8 12 5 3 2" xfId="48964" xr:uid="{00000000-0005-0000-0000-0000BCBB0000}"/>
    <cellStyle name="Normal 8 12 5 3 3" xfId="32864" xr:uid="{00000000-0005-0000-0000-0000BDBB0000}"/>
    <cellStyle name="Normal 8 12 5 3 4" xfId="23295" xr:uid="{00000000-0005-0000-0000-0000BEBB0000}"/>
    <cellStyle name="Normal 8 12 5 4" xfId="4618" xr:uid="{00000000-0005-0000-0000-0000BFBB0000}"/>
    <cellStyle name="Normal 8 12 5 4 2" xfId="52459" xr:uid="{00000000-0005-0000-0000-0000C0BB0000}"/>
    <cellStyle name="Normal 8 12 5 4 3" xfId="36359" xr:uid="{00000000-0005-0000-0000-0000C1BB0000}"/>
    <cellStyle name="Normal 8 12 5 4 4" xfId="17223" xr:uid="{00000000-0005-0000-0000-0000C2BB0000}"/>
    <cellStyle name="Normal 8 12 5 5" xfId="42892" xr:uid="{00000000-0005-0000-0000-0000C3BB0000}"/>
    <cellStyle name="Normal 8 12 5 6" xfId="26792" xr:uid="{00000000-0005-0000-0000-0000C4BB0000}"/>
    <cellStyle name="Normal 8 12 5 7" xfId="13728" xr:uid="{00000000-0005-0000-0000-0000C5BB0000}"/>
    <cellStyle name="Normal 8 12 6" xfId="3608" xr:uid="{00000000-0005-0000-0000-0000C6BB0000}"/>
    <cellStyle name="Normal 8 12 6 2" xfId="35349" xr:uid="{00000000-0005-0000-0000-0000C7BB0000}"/>
    <cellStyle name="Normal 8 12 6 2 2" xfId="51449" xr:uid="{00000000-0005-0000-0000-0000C8BB0000}"/>
    <cellStyle name="Normal 8 12 6 3" xfId="41882" xr:uid="{00000000-0005-0000-0000-0000C9BB0000}"/>
    <cellStyle name="Normal 8 12 6 4" xfId="25782" xr:uid="{00000000-0005-0000-0000-0000CABB0000}"/>
    <cellStyle name="Normal 8 12 6 5" xfId="16213" xr:uid="{00000000-0005-0000-0000-0000CBBB0000}"/>
    <cellStyle name="Normal 8 12 7" xfId="6644" xr:uid="{00000000-0005-0000-0000-0000CCBB0000}"/>
    <cellStyle name="Normal 8 12 7 2" xfId="38385" xr:uid="{00000000-0005-0000-0000-0000CDBB0000}"/>
    <cellStyle name="Normal 8 12 7 2 2" xfId="54485" xr:uid="{00000000-0005-0000-0000-0000CEBB0000}"/>
    <cellStyle name="Normal 8 12 7 3" xfId="44918" xr:uid="{00000000-0005-0000-0000-0000CFBB0000}"/>
    <cellStyle name="Normal 8 12 7 4" xfId="28818" xr:uid="{00000000-0005-0000-0000-0000D0BB0000}"/>
    <cellStyle name="Normal 8 12 7 5" xfId="19249" xr:uid="{00000000-0005-0000-0000-0000D1BB0000}"/>
    <cellStyle name="Normal 8 12 8" xfId="9680" xr:uid="{00000000-0005-0000-0000-0000D2BB0000}"/>
    <cellStyle name="Normal 8 12 8 2" xfId="47954" xr:uid="{00000000-0005-0000-0000-0000D3BB0000}"/>
    <cellStyle name="Normal 8 12 8 3" xfId="31854" xr:uid="{00000000-0005-0000-0000-0000D4BB0000}"/>
    <cellStyle name="Normal 8 12 8 4" xfId="22285" xr:uid="{00000000-0005-0000-0000-0000D5BB0000}"/>
    <cellStyle name="Normal 8 12 9" xfId="3148" xr:uid="{00000000-0005-0000-0000-0000D6BB0000}"/>
    <cellStyle name="Normal 8 12 9 2" xfId="50990" xr:uid="{00000000-0005-0000-0000-0000D7BB0000}"/>
    <cellStyle name="Normal 8 12 9 3" xfId="34890" xr:uid="{00000000-0005-0000-0000-0000D8BB0000}"/>
    <cellStyle name="Normal 8 12 9 4" xfId="15754" xr:uid="{00000000-0005-0000-0000-0000D9BB0000}"/>
    <cellStyle name="Normal 8 13" xfId="417" xr:uid="{00000000-0005-0000-0000-0000DABB0000}"/>
    <cellStyle name="Normal 8 13 10" xfId="41406" xr:uid="{00000000-0005-0000-0000-0000DBBB0000}"/>
    <cellStyle name="Normal 8 13 11" xfId="25306" xr:uid="{00000000-0005-0000-0000-0000DCBB0000}"/>
    <cellStyle name="Normal 8 13 12" xfId="12701" xr:uid="{00000000-0005-0000-0000-0000DDBB0000}"/>
    <cellStyle name="Normal 8 13 2" xfId="776" xr:uid="{00000000-0005-0000-0000-0000DEBB0000}"/>
    <cellStyle name="Normal 8 13 2 10" xfId="13384" xr:uid="{00000000-0005-0000-0000-0000DFBB0000}"/>
    <cellStyle name="Normal 8 13 2 2" xfId="2804" xr:uid="{00000000-0005-0000-0000-0000E0BB0000}"/>
    <cellStyle name="Normal 8 13 2 2 2" xfId="9336" xr:uid="{00000000-0005-0000-0000-0000E1BB0000}"/>
    <cellStyle name="Normal 8 13 2 2 2 2" xfId="41077" xr:uid="{00000000-0005-0000-0000-0000E2BB0000}"/>
    <cellStyle name="Normal 8 13 2 2 2 2 2" xfId="57177" xr:uid="{00000000-0005-0000-0000-0000E3BB0000}"/>
    <cellStyle name="Normal 8 13 2 2 2 3" xfId="47610" xr:uid="{00000000-0005-0000-0000-0000E4BB0000}"/>
    <cellStyle name="Normal 8 13 2 2 2 4" xfId="31510" xr:uid="{00000000-0005-0000-0000-0000E5BB0000}"/>
    <cellStyle name="Normal 8 13 2 2 2 5" xfId="21941" xr:uid="{00000000-0005-0000-0000-0000E6BB0000}"/>
    <cellStyle name="Normal 8 13 2 2 3" xfId="12372" xr:uid="{00000000-0005-0000-0000-0000E7BB0000}"/>
    <cellStyle name="Normal 8 13 2 2 3 2" xfId="50646" xr:uid="{00000000-0005-0000-0000-0000E8BB0000}"/>
    <cellStyle name="Normal 8 13 2 2 3 3" xfId="34546" xr:uid="{00000000-0005-0000-0000-0000E9BB0000}"/>
    <cellStyle name="Normal 8 13 2 2 3 4" xfId="24977" xr:uid="{00000000-0005-0000-0000-0000EABB0000}"/>
    <cellStyle name="Normal 8 13 2 2 4" xfId="6300" xr:uid="{00000000-0005-0000-0000-0000EBBB0000}"/>
    <cellStyle name="Normal 8 13 2 2 4 2" xfId="54141" xr:uid="{00000000-0005-0000-0000-0000ECBB0000}"/>
    <cellStyle name="Normal 8 13 2 2 4 3" xfId="38041" xr:uid="{00000000-0005-0000-0000-0000EDBB0000}"/>
    <cellStyle name="Normal 8 13 2 2 4 4" xfId="18905" xr:uid="{00000000-0005-0000-0000-0000EEBB0000}"/>
    <cellStyle name="Normal 8 13 2 2 5" xfId="44574" xr:uid="{00000000-0005-0000-0000-0000EFBB0000}"/>
    <cellStyle name="Normal 8 13 2 2 6" xfId="28474" xr:uid="{00000000-0005-0000-0000-0000F0BB0000}"/>
    <cellStyle name="Normal 8 13 2 2 7" xfId="15410" xr:uid="{00000000-0005-0000-0000-0000F1BB0000}"/>
    <cellStyle name="Normal 8 13 2 3" xfId="1786" xr:uid="{00000000-0005-0000-0000-0000F2BB0000}"/>
    <cellStyle name="Normal 8 13 2 3 2" xfId="8320" xr:uid="{00000000-0005-0000-0000-0000F3BB0000}"/>
    <cellStyle name="Normal 8 13 2 3 2 2" xfId="40061" xr:uid="{00000000-0005-0000-0000-0000F4BB0000}"/>
    <cellStyle name="Normal 8 13 2 3 2 2 2" xfId="56161" xr:uid="{00000000-0005-0000-0000-0000F5BB0000}"/>
    <cellStyle name="Normal 8 13 2 3 2 3" xfId="46594" xr:uid="{00000000-0005-0000-0000-0000F6BB0000}"/>
    <cellStyle name="Normal 8 13 2 3 2 4" xfId="30494" xr:uid="{00000000-0005-0000-0000-0000F7BB0000}"/>
    <cellStyle name="Normal 8 13 2 3 2 5" xfId="20925" xr:uid="{00000000-0005-0000-0000-0000F8BB0000}"/>
    <cellStyle name="Normal 8 13 2 3 3" xfId="11356" xr:uid="{00000000-0005-0000-0000-0000F9BB0000}"/>
    <cellStyle name="Normal 8 13 2 3 3 2" xfId="49630" xr:uid="{00000000-0005-0000-0000-0000FABB0000}"/>
    <cellStyle name="Normal 8 13 2 3 3 3" xfId="33530" xr:uid="{00000000-0005-0000-0000-0000FBBB0000}"/>
    <cellStyle name="Normal 8 13 2 3 3 4" xfId="23961" xr:uid="{00000000-0005-0000-0000-0000FCBB0000}"/>
    <cellStyle name="Normal 8 13 2 3 4" xfId="5284" xr:uid="{00000000-0005-0000-0000-0000FDBB0000}"/>
    <cellStyle name="Normal 8 13 2 3 4 2" xfId="53125" xr:uid="{00000000-0005-0000-0000-0000FEBB0000}"/>
    <cellStyle name="Normal 8 13 2 3 4 3" xfId="37025" xr:uid="{00000000-0005-0000-0000-0000FFBB0000}"/>
    <cellStyle name="Normal 8 13 2 3 4 4" xfId="17889" xr:uid="{00000000-0005-0000-0000-000000BC0000}"/>
    <cellStyle name="Normal 8 13 2 3 5" xfId="43558" xr:uid="{00000000-0005-0000-0000-000001BC0000}"/>
    <cellStyle name="Normal 8 13 2 3 6" xfId="27458" xr:uid="{00000000-0005-0000-0000-000002BC0000}"/>
    <cellStyle name="Normal 8 13 2 3 7" xfId="14394" xr:uid="{00000000-0005-0000-0000-000003BC0000}"/>
    <cellStyle name="Normal 8 13 2 4" xfId="4274" xr:uid="{00000000-0005-0000-0000-000004BC0000}"/>
    <cellStyle name="Normal 8 13 2 4 2" xfId="36015" xr:uid="{00000000-0005-0000-0000-000005BC0000}"/>
    <cellStyle name="Normal 8 13 2 4 2 2" xfId="52115" xr:uid="{00000000-0005-0000-0000-000006BC0000}"/>
    <cellStyle name="Normal 8 13 2 4 3" xfId="42548" xr:uid="{00000000-0005-0000-0000-000007BC0000}"/>
    <cellStyle name="Normal 8 13 2 4 4" xfId="26448" xr:uid="{00000000-0005-0000-0000-000008BC0000}"/>
    <cellStyle name="Normal 8 13 2 4 5" xfId="16879" xr:uid="{00000000-0005-0000-0000-000009BC0000}"/>
    <cellStyle name="Normal 8 13 2 5" xfId="7310" xr:uid="{00000000-0005-0000-0000-00000ABC0000}"/>
    <cellStyle name="Normal 8 13 2 5 2" xfId="39051" xr:uid="{00000000-0005-0000-0000-00000BBC0000}"/>
    <cellStyle name="Normal 8 13 2 5 2 2" xfId="55151" xr:uid="{00000000-0005-0000-0000-00000CBC0000}"/>
    <cellStyle name="Normal 8 13 2 5 3" xfId="45584" xr:uid="{00000000-0005-0000-0000-00000DBC0000}"/>
    <cellStyle name="Normal 8 13 2 5 4" xfId="29484" xr:uid="{00000000-0005-0000-0000-00000EBC0000}"/>
    <cellStyle name="Normal 8 13 2 5 5" xfId="19915" xr:uid="{00000000-0005-0000-0000-00000FBC0000}"/>
    <cellStyle name="Normal 8 13 2 6" xfId="10346" xr:uid="{00000000-0005-0000-0000-000010BC0000}"/>
    <cellStyle name="Normal 8 13 2 6 2" xfId="48620" xr:uid="{00000000-0005-0000-0000-000011BC0000}"/>
    <cellStyle name="Normal 8 13 2 6 3" xfId="32520" xr:uid="{00000000-0005-0000-0000-000012BC0000}"/>
    <cellStyle name="Normal 8 13 2 6 4" xfId="22951" xr:uid="{00000000-0005-0000-0000-000013BC0000}"/>
    <cellStyle name="Normal 8 13 2 7" xfId="3369" xr:uid="{00000000-0005-0000-0000-000014BC0000}"/>
    <cellStyle name="Normal 8 13 2 7 2" xfId="51210" xr:uid="{00000000-0005-0000-0000-000015BC0000}"/>
    <cellStyle name="Normal 8 13 2 7 3" xfId="35110" xr:uid="{00000000-0005-0000-0000-000016BC0000}"/>
    <cellStyle name="Normal 8 13 2 7 4" xfId="15974" xr:uid="{00000000-0005-0000-0000-000017BC0000}"/>
    <cellStyle name="Normal 8 13 2 8" xfId="41643" xr:uid="{00000000-0005-0000-0000-000018BC0000}"/>
    <cellStyle name="Normal 8 13 2 9" xfId="25543" xr:uid="{00000000-0005-0000-0000-000019BC0000}"/>
    <cellStyle name="Normal 8 13 3" xfId="634" xr:uid="{00000000-0005-0000-0000-00001ABC0000}"/>
    <cellStyle name="Normal 8 13 3 2" xfId="2662" xr:uid="{00000000-0005-0000-0000-00001BBC0000}"/>
    <cellStyle name="Normal 8 13 3 2 2" xfId="9194" xr:uid="{00000000-0005-0000-0000-00001CBC0000}"/>
    <cellStyle name="Normal 8 13 3 2 2 2" xfId="40935" xr:uid="{00000000-0005-0000-0000-00001DBC0000}"/>
    <cellStyle name="Normal 8 13 3 2 2 2 2" xfId="57035" xr:uid="{00000000-0005-0000-0000-00001EBC0000}"/>
    <cellStyle name="Normal 8 13 3 2 2 3" xfId="47468" xr:uid="{00000000-0005-0000-0000-00001FBC0000}"/>
    <cellStyle name="Normal 8 13 3 2 2 4" xfId="31368" xr:uid="{00000000-0005-0000-0000-000020BC0000}"/>
    <cellStyle name="Normal 8 13 3 2 2 5" xfId="21799" xr:uid="{00000000-0005-0000-0000-000021BC0000}"/>
    <cellStyle name="Normal 8 13 3 2 3" xfId="12230" xr:uid="{00000000-0005-0000-0000-000022BC0000}"/>
    <cellStyle name="Normal 8 13 3 2 3 2" xfId="50504" xr:uid="{00000000-0005-0000-0000-000023BC0000}"/>
    <cellStyle name="Normal 8 13 3 2 3 3" xfId="34404" xr:uid="{00000000-0005-0000-0000-000024BC0000}"/>
    <cellStyle name="Normal 8 13 3 2 3 4" xfId="24835" xr:uid="{00000000-0005-0000-0000-000025BC0000}"/>
    <cellStyle name="Normal 8 13 3 2 4" xfId="6158" xr:uid="{00000000-0005-0000-0000-000026BC0000}"/>
    <cellStyle name="Normal 8 13 3 2 4 2" xfId="53999" xr:uid="{00000000-0005-0000-0000-000027BC0000}"/>
    <cellStyle name="Normal 8 13 3 2 4 3" xfId="37899" xr:uid="{00000000-0005-0000-0000-000028BC0000}"/>
    <cellStyle name="Normal 8 13 3 2 4 4" xfId="18763" xr:uid="{00000000-0005-0000-0000-000029BC0000}"/>
    <cellStyle name="Normal 8 13 3 2 5" xfId="44432" xr:uid="{00000000-0005-0000-0000-00002ABC0000}"/>
    <cellStyle name="Normal 8 13 3 2 6" xfId="28332" xr:uid="{00000000-0005-0000-0000-00002BBC0000}"/>
    <cellStyle name="Normal 8 13 3 2 7" xfId="15268" xr:uid="{00000000-0005-0000-0000-00002CBC0000}"/>
    <cellStyle name="Normal 8 13 3 3" xfId="1644" xr:uid="{00000000-0005-0000-0000-00002DBC0000}"/>
    <cellStyle name="Normal 8 13 3 3 2" xfId="8178" xr:uid="{00000000-0005-0000-0000-00002EBC0000}"/>
    <cellStyle name="Normal 8 13 3 3 2 2" xfId="39919" xr:uid="{00000000-0005-0000-0000-00002FBC0000}"/>
    <cellStyle name="Normal 8 13 3 3 2 2 2" xfId="56019" xr:uid="{00000000-0005-0000-0000-000030BC0000}"/>
    <cellStyle name="Normal 8 13 3 3 2 3" xfId="46452" xr:uid="{00000000-0005-0000-0000-000031BC0000}"/>
    <cellStyle name="Normal 8 13 3 3 2 4" xfId="30352" xr:uid="{00000000-0005-0000-0000-000032BC0000}"/>
    <cellStyle name="Normal 8 13 3 3 2 5" xfId="20783" xr:uid="{00000000-0005-0000-0000-000033BC0000}"/>
    <cellStyle name="Normal 8 13 3 3 3" xfId="11214" xr:uid="{00000000-0005-0000-0000-000034BC0000}"/>
    <cellStyle name="Normal 8 13 3 3 3 2" xfId="49488" xr:uid="{00000000-0005-0000-0000-000035BC0000}"/>
    <cellStyle name="Normal 8 13 3 3 3 3" xfId="33388" xr:uid="{00000000-0005-0000-0000-000036BC0000}"/>
    <cellStyle name="Normal 8 13 3 3 3 4" xfId="23819" xr:uid="{00000000-0005-0000-0000-000037BC0000}"/>
    <cellStyle name="Normal 8 13 3 3 4" xfId="5142" xr:uid="{00000000-0005-0000-0000-000038BC0000}"/>
    <cellStyle name="Normal 8 13 3 3 4 2" xfId="52983" xr:uid="{00000000-0005-0000-0000-000039BC0000}"/>
    <cellStyle name="Normal 8 13 3 3 4 3" xfId="36883" xr:uid="{00000000-0005-0000-0000-00003ABC0000}"/>
    <cellStyle name="Normal 8 13 3 3 4 4" xfId="17747" xr:uid="{00000000-0005-0000-0000-00003BBC0000}"/>
    <cellStyle name="Normal 8 13 3 3 5" xfId="43416" xr:uid="{00000000-0005-0000-0000-00003CBC0000}"/>
    <cellStyle name="Normal 8 13 3 3 6" xfId="27316" xr:uid="{00000000-0005-0000-0000-00003DBC0000}"/>
    <cellStyle name="Normal 8 13 3 3 7" xfId="14252" xr:uid="{00000000-0005-0000-0000-00003EBC0000}"/>
    <cellStyle name="Normal 8 13 3 4" xfId="7168" xr:uid="{00000000-0005-0000-0000-00003FBC0000}"/>
    <cellStyle name="Normal 8 13 3 4 2" xfId="38909" xr:uid="{00000000-0005-0000-0000-000040BC0000}"/>
    <cellStyle name="Normal 8 13 3 4 2 2" xfId="55009" xr:uid="{00000000-0005-0000-0000-000041BC0000}"/>
    <cellStyle name="Normal 8 13 3 4 3" xfId="45442" xr:uid="{00000000-0005-0000-0000-000042BC0000}"/>
    <cellStyle name="Normal 8 13 3 4 4" xfId="29342" xr:uid="{00000000-0005-0000-0000-000043BC0000}"/>
    <cellStyle name="Normal 8 13 3 4 5" xfId="19773" xr:uid="{00000000-0005-0000-0000-000044BC0000}"/>
    <cellStyle name="Normal 8 13 3 5" xfId="10204" xr:uid="{00000000-0005-0000-0000-000045BC0000}"/>
    <cellStyle name="Normal 8 13 3 5 2" xfId="48478" xr:uid="{00000000-0005-0000-0000-000046BC0000}"/>
    <cellStyle name="Normal 8 13 3 5 3" xfId="32378" xr:uid="{00000000-0005-0000-0000-000047BC0000}"/>
    <cellStyle name="Normal 8 13 3 5 4" xfId="22809" xr:uid="{00000000-0005-0000-0000-000048BC0000}"/>
    <cellStyle name="Normal 8 13 3 6" xfId="4132" xr:uid="{00000000-0005-0000-0000-000049BC0000}"/>
    <cellStyle name="Normal 8 13 3 6 2" xfId="51973" xr:uid="{00000000-0005-0000-0000-00004ABC0000}"/>
    <cellStyle name="Normal 8 13 3 6 3" xfId="35873" xr:uid="{00000000-0005-0000-0000-00004BBC0000}"/>
    <cellStyle name="Normal 8 13 3 6 4" xfId="16737" xr:uid="{00000000-0005-0000-0000-00004CBC0000}"/>
    <cellStyle name="Normal 8 13 3 7" xfId="42406" xr:uid="{00000000-0005-0000-0000-00004DBC0000}"/>
    <cellStyle name="Normal 8 13 3 8" xfId="26306" xr:uid="{00000000-0005-0000-0000-00004EBC0000}"/>
    <cellStyle name="Normal 8 13 3 9" xfId="13242" xr:uid="{00000000-0005-0000-0000-00004FBC0000}"/>
    <cellStyle name="Normal 8 13 4" xfId="2434" xr:uid="{00000000-0005-0000-0000-000050BC0000}"/>
    <cellStyle name="Normal 8 13 4 2" xfId="8966" xr:uid="{00000000-0005-0000-0000-000051BC0000}"/>
    <cellStyle name="Normal 8 13 4 2 2" xfId="40707" xr:uid="{00000000-0005-0000-0000-000052BC0000}"/>
    <cellStyle name="Normal 8 13 4 2 2 2" xfId="56807" xr:uid="{00000000-0005-0000-0000-000053BC0000}"/>
    <cellStyle name="Normal 8 13 4 2 3" xfId="47240" xr:uid="{00000000-0005-0000-0000-000054BC0000}"/>
    <cellStyle name="Normal 8 13 4 2 4" xfId="31140" xr:uid="{00000000-0005-0000-0000-000055BC0000}"/>
    <cellStyle name="Normal 8 13 4 2 5" xfId="21571" xr:uid="{00000000-0005-0000-0000-000056BC0000}"/>
    <cellStyle name="Normal 8 13 4 3" xfId="12002" xr:uid="{00000000-0005-0000-0000-000057BC0000}"/>
    <cellStyle name="Normal 8 13 4 3 2" xfId="50276" xr:uid="{00000000-0005-0000-0000-000058BC0000}"/>
    <cellStyle name="Normal 8 13 4 3 3" xfId="34176" xr:uid="{00000000-0005-0000-0000-000059BC0000}"/>
    <cellStyle name="Normal 8 13 4 3 4" xfId="24607" xr:uid="{00000000-0005-0000-0000-00005ABC0000}"/>
    <cellStyle name="Normal 8 13 4 4" xfId="5930" xr:uid="{00000000-0005-0000-0000-00005BBC0000}"/>
    <cellStyle name="Normal 8 13 4 4 2" xfId="53771" xr:uid="{00000000-0005-0000-0000-00005CBC0000}"/>
    <cellStyle name="Normal 8 13 4 4 3" xfId="37671" xr:uid="{00000000-0005-0000-0000-00005DBC0000}"/>
    <cellStyle name="Normal 8 13 4 4 4" xfId="18535" xr:uid="{00000000-0005-0000-0000-00005EBC0000}"/>
    <cellStyle name="Normal 8 13 4 5" xfId="44204" xr:uid="{00000000-0005-0000-0000-00005FBC0000}"/>
    <cellStyle name="Normal 8 13 4 6" xfId="28104" xr:uid="{00000000-0005-0000-0000-000060BC0000}"/>
    <cellStyle name="Normal 8 13 4 7" xfId="15040" xr:uid="{00000000-0005-0000-0000-000061BC0000}"/>
    <cellStyle name="Normal 8 13 5" xfId="1103" xr:uid="{00000000-0005-0000-0000-000062BC0000}"/>
    <cellStyle name="Normal 8 13 5 2" xfId="7637" xr:uid="{00000000-0005-0000-0000-000063BC0000}"/>
    <cellStyle name="Normal 8 13 5 2 2" xfId="39378" xr:uid="{00000000-0005-0000-0000-000064BC0000}"/>
    <cellStyle name="Normal 8 13 5 2 2 2" xfId="55478" xr:uid="{00000000-0005-0000-0000-000065BC0000}"/>
    <cellStyle name="Normal 8 13 5 2 3" xfId="45911" xr:uid="{00000000-0005-0000-0000-000066BC0000}"/>
    <cellStyle name="Normal 8 13 5 2 4" xfId="29811" xr:uid="{00000000-0005-0000-0000-000067BC0000}"/>
    <cellStyle name="Normal 8 13 5 2 5" xfId="20242" xr:uid="{00000000-0005-0000-0000-000068BC0000}"/>
    <cellStyle name="Normal 8 13 5 3" xfId="10673" xr:uid="{00000000-0005-0000-0000-000069BC0000}"/>
    <cellStyle name="Normal 8 13 5 3 2" xfId="48947" xr:uid="{00000000-0005-0000-0000-00006ABC0000}"/>
    <cellStyle name="Normal 8 13 5 3 3" xfId="32847" xr:uid="{00000000-0005-0000-0000-00006BBC0000}"/>
    <cellStyle name="Normal 8 13 5 3 4" xfId="23278" xr:uid="{00000000-0005-0000-0000-00006CBC0000}"/>
    <cellStyle name="Normal 8 13 5 4" xfId="4601" xr:uid="{00000000-0005-0000-0000-00006DBC0000}"/>
    <cellStyle name="Normal 8 13 5 4 2" xfId="52442" xr:uid="{00000000-0005-0000-0000-00006EBC0000}"/>
    <cellStyle name="Normal 8 13 5 4 3" xfId="36342" xr:uid="{00000000-0005-0000-0000-00006FBC0000}"/>
    <cellStyle name="Normal 8 13 5 4 4" xfId="17206" xr:uid="{00000000-0005-0000-0000-000070BC0000}"/>
    <cellStyle name="Normal 8 13 5 5" xfId="42875" xr:uid="{00000000-0005-0000-0000-000071BC0000}"/>
    <cellStyle name="Normal 8 13 5 6" xfId="26775" xr:uid="{00000000-0005-0000-0000-000072BC0000}"/>
    <cellStyle name="Normal 8 13 5 7" xfId="13711" xr:uid="{00000000-0005-0000-0000-000073BC0000}"/>
    <cellStyle name="Normal 8 13 6" xfId="3591" xr:uid="{00000000-0005-0000-0000-000074BC0000}"/>
    <cellStyle name="Normal 8 13 6 2" xfId="35332" xr:uid="{00000000-0005-0000-0000-000075BC0000}"/>
    <cellStyle name="Normal 8 13 6 2 2" xfId="51432" xr:uid="{00000000-0005-0000-0000-000076BC0000}"/>
    <cellStyle name="Normal 8 13 6 3" xfId="41865" xr:uid="{00000000-0005-0000-0000-000077BC0000}"/>
    <cellStyle name="Normal 8 13 6 4" xfId="25765" xr:uid="{00000000-0005-0000-0000-000078BC0000}"/>
    <cellStyle name="Normal 8 13 6 5" xfId="16196" xr:uid="{00000000-0005-0000-0000-000079BC0000}"/>
    <cellStyle name="Normal 8 13 7" xfId="6627" xr:uid="{00000000-0005-0000-0000-00007ABC0000}"/>
    <cellStyle name="Normal 8 13 7 2" xfId="38368" xr:uid="{00000000-0005-0000-0000-00007BBC0000}"/>
    <cellStyle name="Normal 8 13 7 2 2" xfId="54468" xr:uid="{00000000-0005-0000-0000-00007CBC0000}"/>
    <cellStyle name="Normal 8 13 7 3" xfId="44901" xr:uid="{00000000-0005-0000-0000-00007DBC0000}"/>
    <cellStyle name="Normal 8 13 7 4" xfId="28801" xr:uid="{00000000-0005-0000-0000-00007EBC0000}"/>
    <cellStyle name="Normal 8 13 7 5" xfId="19232" xr:uid="{00000000-0005-0000-0000-00007FBC0000}"/>
    <cellStyle name="Normal 8 13 8" xfId="9663" xr:uid="{00000000-0005-0000-0000-000080BC0000}"/>
    <cellStyle name="Normal 8 13 8 2" xfId="47937" xr:uid="{00000000-0005-0000-0000-000081BC0000}"/>
    <cellStyle name="Normal 8 13 8 3" xfId="31837" xr:uid="{00000000-0005-0000-0000-000082BC0000}"/>
    <cellStyle name="Normal 8 13 8 4" xfId="22268" xr:uid="{00000000-0005-0000-0000-000083BC0000}"/>
    <cellStyle name="Normal 8 13 9" xfId="3131" xr:uid="{00000000-0005-0000-0000-000084BC0000}"/>
    <cellStyle name="Normal 8 13 9 2" xfId="50973" xr:uid="{00000000-0005-0000-0000-000085BC0000}"/>
    <cellStyle name="Normal 8 13 9 3" xfId="34873" xr:uid="{00000000-0005-0000-0000-000086BC0000}"/>
    <cellStyle name="Normal 8 13 9 4" xfId="15737" xr:uid="{00000000-0005-0000-0000-000087BC0000}"/>
    <cellStyle name="Normal 8 14" xfId="500" xr:uid="{00000000-0005-0000-0000-000088BC0000}"/>
    <cellStyle name="Normal 8 14 10" xfId="25483" xr:uid="{00000000-0005-0000-0000-000089BC0000}"/>
    <cellStyle name="Normal 8 14 11" xfId="12877" xr:uid="{00000000-0005-0000-0000-00008ABC0000}"/>
    <cellStyle name="Normal 8 14 2" xfId="952" xr:uid="{00000000-0005-0000-0000-00008BBC0000}"/>
    <cellStyle name="Normal 8 14 2 2" xfId="2980" xr:uid="{00000000-0005-0000-0000-00008CBC0000}"/>
    <cellStyle name="Normal 8 14 2 2 2" xfId="9512" xr:uid="{00000000-0005-0000-0000-00008DBC0000}"/>
    <cellStyle name="Normal 8 14 2 2 2 2" xfId="41253" xr:uid="{00000000-0005-0000-0000-00008EBC0000}"/>
    <cellStyle name="Normal 8 14 2 2 2 2 2" xfId="57353" xr:uid="{00000000-0005-0000-0000-00008FBC0000}"/>
    <cellStyle name="Normal 8 14 2 2 2 3" xfId="47786" xr:uid="{00000000-0005-0000-0000-000090BC0000}"/>
    <cellStyle name="Normal 8 14 2 2 2 4" xfId="31686" xr:uid="{00000000-0005-0000-0000-000091BC0000}"/>
    <cellStyle name="Normal 8 14 2 2 2 5" xfId="22117" xr:uid="{00000000-0005-0000-0000-000092BC0000}"/>
    <cellStyle name="Normal 8 14 2 2 3" xfId="12548" xr:uid="{00000000-0005-0000-0000-000093BC0000}"/>
    <cellStyle name="Normal 8 14 2 2 3 2" xfId="50822" xr:uid="{00000000-0005-0000-0000-000094BC0000}"/>
    <cellStyle name="Normal 8 14 2 2 3 3" xfId="34722" xr:uid="{00000000-0005-0000-0000-000095BC0000}"/>
    <cellStyle name="Normal 8 14 2 2 3 4" xfId="25153" xr:uid="{00000000-0005-0000-0000-000096BC0000}"/>
    <cellStyle name="Normal 8 14 2 2 4" xfId="6476" xr:uid="{00000000-0005-0000-0000-000097BC0000}"/>
    <cellStyle name="Normal 8 14 2 2 4 2" xfId="54317" xr:uid="{00000000-0005-0000-0000-000098BC0000}"/>
    <cellStyle name="Normal 8 14 2 2 4 3" xfId="38217" xr:uid="{00000000-0005-0000-0000-000099BC0000}"/>
    <cellStyle name="Normal 8 14 2 2 4 4" xfId="19081" xr:uid="{00000000-0005-0000-0000-00009ABC0000}"/>
    <cellStyle name="Normal 8 14 2 2 5" xfId="44750" xr:uid="{00000000-0005-0000-0000-00009BBC0000}"/>
    <cellStyle name="Normal 8 14 2 2 6" xfId="28650" xr:uid="{00000000-0005-0000-0000-00009CBC0000}"/>
    <cellStyle name="Normal 8 14 2 2 7" xfId="15586" xr:uid="{00000000-0005-0000-0000-00009DBC0000}"/>
    <cellStyle name="Normal 8 14 2 3" xfId="1962" xr:uid="{00000000-0005-0000-0000-00009EBC0000}"/>
    <cellStyle name="Normal 8 14 2 3 2" xfId="8496" xr:uid="{00000000-0005-0000-0000-00009FBC0000}"/>
    <cellStyle name="Normal 8 14 2 3 2 2" xfId="40237" xr:uid="{00000000-0005-0000-0000-0000A0BC0000}"/>
    <cellStyle name="Normal 8 14 2 3 2 2 2" xfId="56337" xr:uid="{00000000-0005-0000-0000-0000A1BC0000}"/>
    <cellStyle name="Normal 8 14 2 3 2 3" xfId="46770" xr:uid="{00000000-0005-0000-0000-0000A2BC0000}"/>
    <cellStyle name="Normal 8 14 2 3 2 4" xfId="30670" xr:uid="{00000000-0005-0000-0000-0000A3BC0000}"/>
    <cellStyle name="Normal 8 14 2 3 2 5" xfId="21101" xr:uid="{00000000-0005-0000-0000-0000A4BC0000}"/>
    <cellStyle name="Normal 8 14 2 3 3" xfId="11532" xr:uid="{00000000-0005-0000-0000-0000A5BC0000}"/>
    <cellStyle name="Normal 8 14 2 3 3 2" xfId="49806" xr:uid="{00000000-0005-0000-0000-0000A6BC0000}"/>
    <cellStyle name="Normal 8 14 2 3 3 3" xfId="33706" xr:uid="{00000000-0005-0000-0000-0000A7BC0000}"/>
    <cellStyle name="Normal 8 14 2 3 3 4" xfId="24137" xr:uid="{00000000-0005-0000-0000-0000A8BC0000}"/>
    <cellStyle name="Normal 8 14 2 3 4" xfId="5460" xr:uid="{00000000-0005-0000-0000-0000A9BC0000}"/>
    <cellStyle name="Normal 8 14 2 3 4 2" xfId="53301" xr:uid="{00000000-0005-0000-0000-0000AABC0000}"/>
    <cellStyle name="Normal 8 14 2 3 4 3" xfId="37201" xr:uid="{00000000-0005-0000-0000-0000ABBC0000}"/>
    <cellStyle name="Normal 8 14 2 3 4 4" xfId="18065" xr:uid="{00000000-0005-0000-0000-0000ACBC0000}"/>
    <cellStyle name="Normal 8 14 2 3 5" xfId="43734" xr:uid="{00000000-0005-0000-0000-0000ADBC0000}"/>
    <cellStyle name="Normal 8 14 2 3 6" xfId="27634" xr:uid="{00000000-0005-0000-0000-0000AEBC0000}"/>
    <cellStyle name="Normal 8 14 2 3 7" xfId="14570" xr:uid="{00000000-0005-0000-0000-0000AFBC0000}"/>
    <cellStyle name="Normal 8 14 2 4" xfId="7486" xr:uid="{00000000-0005-0000-0000-0000B0BC0000}"/>
    <cellStyle name="Normal 8 14 2 4 2" xfId="39227" xr:uid="{00000000-0005-0000-0000-0000B1BC0000}"/>
    <cellStyle name="Normal 8 14 2 4 2 2" xfId="55327" xr:uid="{00000000-0005-0000-0000-0000B2BC0000}"/>
    <cellStyle name="Normal 8 14 2 4 3" xfId="45760" xr:uid="{00000000-0005-0000-0000-0000B3BC0000}"/>
    <cellStyle name="Normal 8 14 2 4 4" xfId="29660" xr:uid="{00000000-0005-0000-0000-0000B4BC0000}"/>
    <cellStyle name="Normal 8 14 2 4 5" xfId="20091" xr:uid="{00000000-0005-0000-0000-0000B5BC0000}"/>
    <cellStyle name="Normal 8 14 2 5" xfId="10522" xr:uid="{00000000-0005-0000-0000-0000B6BC0000}"/>
    <cellStyle name="Normal 8 14 2 5 2" xfId="48796" xr:uid="{00000000-0005-0000-0000-0000B7BC0000}"/>
    <cellStyle name="Normal 8 14 2 5 3" xfId="32696" xr:uid="{00000000-0005-0000-0000-0000B8BC0000}"/>
    <cellStyle name="Normal 8 14 2 5 4" xfId="23127" xr:uid="{00000000-0005-0000-0000-0000B9BC0000}"/>
    <cellStyle name="Normal 8 14 2 6" xfId="4450" xr:uid="{00000000-0005-0000-0000-0000BABC0000}"/>
    <cellStyle name="Normal 8 14 2 6 2" xfId="52291" xr:uid="{00000000-0005-0000-0000-0000BBBC0000}"/>
    <cellStyle name="Normal 8 14 2 6 3" xfId="36191" xr:uid="{00000000-0005-0000-0000-0000BCBC0000}"/>
    <cellStyle name="Normal 8 14 2 6 4" xfId="17055" xr:uid="{00000000-0005-0000-0000-0000BDBC0000}"/>
    <cellStyle name="Normal 8 14 2 7" xfId="42724" xr:uid="{00000000-0005-0000-0000-0000BEBC0000}"/>
    <cellStyle name="Normal 8 14 2 8" xfId="26624" xr:uid="{00000000-0005-0000-0000-0000BFBC0000}"/>
    <cellStyle name="Normal 8 14 2 9" xfId="13560" xr:uid="{00000000-0005-0000-0000-0000C0BC0000}"/>
    <cellStyle name="Normal 8 14 3" xfId="2530" xr:uid="{00000000-0005-0000-0000-0000C1BC0000}"/>
    <cellStyle name="Normal 8 14 3 2" xfId="9062" xr:uid="{00000000-0005-0000-0000-0000C2BC0000}"/>
    <cellStyle name="Normal 8 14 3 2 2" xfId="40803" xr:uid="{00000000-0005-0000-0000-0000C3BC0000}"/>
    <cellStyle name="Normal 8 14 3 2 2 2" xfId="56903" xr:uid="{00000000-0005-0000-0000-0000C4BC0000}"/>
    <cellStyle name="Normal 8 14 3 2 3" xfId="47336" xr:uid="{00000000-0005-0000-0000-0000C5BC0000}"/>
    <cellStyle name="Normal 8 14 3 2 4" xfId="31236" xr:uid="{00000000-0005-0000-0000-0000C6BC0000}"/>
    <cellStyle name="Normal 8 14 3 2 5" xfId="21667" xr:uid="{00000000-0005-0000-0000-0000C7BC0000}"/>
    <cellStyle name="Normal 8 14 3 3" xfId="12098" xr:uid="{00000000-0005-0000-0000-0000C8BC0000}"/>
    <cellStyle name="Normal 8 14 3 3 2" xfId="50372" xr:uid="{00000000-0005-0000-0000-0000C9BC0000}"/>
    <cellStyle name="Normal 8 14 3 3 3" xfId="34272" xr:uid="{00000000-0005-0000-0000-0000CABC0000}"/>
    <cellStyle name="Normal 8 14 3 3 4" xfId="24703" xr:uid="{00000000-0005-0000-0000-0000CBBC0000}"/>
    <cellStyle name="Normal 8 14 3 4" xfId="6026" xr:uid="{00000000-0005-0000-0000-0000CCBC0000}"/>
    <cellStyle name="Normal 8 14 3 4 2" xfId="53867" xr:uid="{00000000-0005-0000-0000-0000CDBC0000}"/>
    <cellStyle name="Normal 8 14 3 4 3" xfId="37767" xr:uid="{00000000-0005-0000-0000-0000CEBC0000}"/>
    <cellStyle name="Normal 8 14 3 4 4" xfId="18631" xr:uid="{00000000-0005-0000-0000-0000CFBC0000}"/>
    <cellStyle name="Normal 8 14 3 5" xfId="44300" xr:uid="{00000000-0005-0000-0000-0000D0BC0000}"/>
    <cellStyle name="Normal 8 14 3 6" xfId="28200" xr:uid="{00000000-0005-0000-0000-0000D1BC0000}"/>
    <cellStyle name="Normal 8 14 3 7" xfId="15136" xr:uid="{00000000-0005-0000-0000-0000D2BC0000}"/>
    <cellStyle name="Normal 8 14 4" xfId="1279" xr:uid="{00000000-0005-0000-0000-0000D3BC0000}"/>
    <cellStyle name="Normal 8 14 4 2" xfId="7813" xr:uid="{00000000-0005-0000-0000-0000D4BC0000}"/>
    <cellStyle name="Normal 8 14 4 2 2" xfId="39554" xr:uid="{00000000-0005-0000-0000-0000D5BC0000}"/>
    <cellStyle name="Normal 8 14 4 2 2 2" xfId="55654" xr:uid="{00000000-0005-0000-0000-0000D6BC0000}"/>
    <cellStyle name="Normal 8 14 4 2 3" xfId="46087" xr:uid="{00000000-0005-0000-0000-0000D7BC0000}"/>
    <cellStyle name="Normal 8 14 4 2 4" xfId="29987" xr:uid="{00000000-0005-0000-0000-0000D8BC0000}"/>
    <cellStyle name="Normal 8 14 4 2 5" xfId="20418" xr:uid="{00000000-0005-0000-0000-0000D9BC0000}"/>
    <cellStyle name="Normal 8 14 4 3" xfId="10849" xr:uid="{00000000-0005-0000-0000-0000DABC0000}"/>
    <cellStyle name="Normal 8 14 4 3 2" xfId="49123" xr:uid="{00000000-0005-0000-0000-0000DBBC0000}"/>
    <cellStyle name="Normal 8 14 4 3 3" xfId="33023" xr:uid="{00000000-0005-0000-0000-0000DCBC0000}"/>
    <cellStyle name="Normal 8 14 4 3 4" xfId="23454" xr:uid="{00000000-0005-0000-0000-0000DDBC0000}"/>
    <cellStyle name="Normal 8 14 4 4" xfId="4777" xr:uid="{00000000-0005-0000-0000-0000DEBC0000}"/>
    <cellStyle name="Normal 8 14 4 4 2" xfId="52618" xr:uid="{00000000-0005-0000-0000-0000DFBC0000}"/>
    <cellStyle name="Normal 8 14 4 4 3" xfId="36518" xr:uid="{00000000-0005-0000-0000-0000E0BC0000}"/>
    <cellStyle name="Normal 8 14 4 4 4" xfId="17382" xr:uid="{00000000-0005-0000-0000-0000E1BC0000}"/>
    <cellStyle name="Normal 8 14 4 5" xfId="43051" xr:uid="{00000000-0005-0000-0000-0000E2BC0000}"/>
    <cellStyle name="Normal 8 14 4 6" xfId="26951" xr:uid="{00000000-0005-0000-0000-0000E3BC0000}"/>
    <cellStyle name="Normal 8 14 4 7" xfId="13887" xr:uid="{00000000-0005-0000-0000-0000E4BC0000}"/>
    <cellStyle name="Normal 8 14 5" xfId="3767" xr:uid="{00000000-0005-0000-0000-0000E5BC0000}"/>
    <cellStyle name="Normal 8 14 5 2" xfId="35508" xr:uid="{00000000-0005-0000-0000-0000E6BC0000}"/>
    <cellStyle name="Normal 8 14 5 2 2" xfId="51608" xr:uid="{00000000-0005-0000-0000-0000E7BC0000}"/>
    <cellStyle name="Normal 8 14 5 3" xfId="42041" xr:uid="{00000000-0005-0000-0000-0000E8BC0000}"/>
    <cellStyle name="Normal 8 14 5 4" xfId="25941" xr:uid="{00000000-0005-0000-0000-0000E9BC0000}"/>
    <cellStyle name="Normal 8 14 5 5" xfId="16372" xr:uid="{00000000-0005-0000-0000-0000EABC0000}"/>
    <cellStyle name="Normal 8 14 6" xfId="6803" xr:uid="{00000000-0005-0000-0000-0000EBBC0000}"/>
    <cellStyle name="Normal 8 14 6 2" xfId="38544" xr:uid="{00000000-0005-0000-0000-0000ECBC0000}"/>
    <cellStyle name="Normal 8 14 6 2 2" xfId="54644" xr:uid="{00000000-0005-0000-0000-0000EDBC0000}"/>
    <cellStyle name="Normal 8 14 6 3" xfId="45077" xr:uid="{00000000-0005-0000-0000-0000EEBC0000}"/>
    <cellStyle name="Normal 8 14 6 4" xfId="28977" xr:uid="{00000000-0005-0000-0000-0000EFBC0000}"/>
    <cellStyle name="Normal 8 14 6 5" xfId="19408" xr:uid="{00000000-0005-0000-0000-0000F0BC0000}"/>
    <cellStyle name="Normal 8 14 7" xfId="9839" xr:uid="{00000000-0005-0000-0000-0000F1BC0000}"/>
    <cellStyle name="Normal 8 14 7 2" xfId="48113" xr:uid="{00000000-0005-0000-0000-0000F2BC0000}"/>
    <cellStyle name="Normal 8 14 7 3" xfId="32013" xr:uid="{00000000-0005-0000-0000-0000F3BC0000}"/>
    <cellStyle name="Normal 8 14 7 4" xfId="22444" xr:uid="{00000000-0005-0000-0000-0000F4BC0000}"/>
    <cellStyle name="Normal 8 14 8" xfId="3309" xr:uid="{00000000-0005-0000-0000-0000F5BC0000}"/>
    <cellStyle name="Normal 8 14 8 2" xfId="51150" xr:uid="{00000000-0005-0000-0000-0000F6BC0000}"/>
    <cellStyle name="Normal 8 14 8 3" xfId="35050" xr:uid="{00000000-0005-0000-0000-0000F7BC0000}"/>
    <cellStyle name="Normal 8 14 8 4" xfId="15914" xr:uid="{00000000-0005-0000-0000-0000F8BC0000}"/>
    <cellStyle name="Normal 8 14 9" xfId="41583" xr:uid="{00000000-0005-0000-0000-0000F9BC0000}"/>
    <cellStyle name="Normal 8 15" xfId="730" xr:uid="{00000000-0005-0000-0000-0000FABC0000}"/>
    <cellStyle name="Normal 8 15 10" xfId="13338" xr:uid="{00000000-0005-0000-0000-0000FBBC0000}"/>
    <cellStyle name="Normal 8 15 2" xfId="2758" xr:uid="{00000000-0005-0000-0000-0000FCBC0000}"/>
    <cellStyle name="Normal 8 15 2 2" xfId="9290" xr:uid="{00000000-0005-0000-0000-0000FDBC0000}"/>
    <cellStyle name="Normal 8 15 2 2 2" xfId="41031" xr:uid="{00000000-0005-0000-0000-0000FEBC0000}"/>
    <cellStyle name="Normal 8 15 2 2 2 2" xfId="57131" xr:uid="{00000000-0005-0000-0000-0000FFBC0000}"/>
    <cellStyle name="Normal 8 15 2 2 3" xfId="47564" xr:uid="{00000000-0005-0000-0000-000000BD0000}"/>
    <cellStyle name="Normal 8 15 2 2 4" xfId="31464" xr:uid="{00000000-0005-0000-0000-000001BD0000}"/>
    <cellStyle name="Normal 8 15 2 2 5" xfId="21895" xr:uid="{00000000-0005-0000-0000-000002BD0000}"/>
    <cellStyle name="Normal 8 15 2 3" xfId="12326" xr:uid="{00000000-0005-0000-0000-000003BD0000}"/>
    <cellStyle name="Normal 8 15 2 3 2" xfId="50600" xr:uid="{00000000-0005-0000-0000-000004BD0000}"/>
    <cellStyle name="Normal 8 15 2 3 3" xfId="34500" xr:uid="{00000000-0005-0000-0000-000005BD0000}"/>
    <cellStyle name="Normal 8 15 2 3 4" xfId="24931" xr:uid="{00000000-0005-0000-0000-000006BD0000}"/>
    <cellStyle name="Normal 8 15 2 4" xfId="6254" xr:uid="{00000000-0005-0000-0000-000007BD0000}"/>
    <cellStyle name="Normal 8 15 2 4 2" xfId="54095" xr:uid="{00000000-0005-0000-0000-000008BD0000}"/>
    <cellStyle name="Normal 8 15 2 4 3" xfId="37995" xr:uid="{00000000-0005-0000-0000-000009BD0000}"/>
    <cellStyle name="Normal 8 15 2 4 4" xfId="18859" xr:uid="{00000000-0005-0000-0000-00000ABD0000}"/>
    <cellStyle name="Normal 8 15 2 5" xfId="44528" xr:uid="{00000000-0005-0000-0000-00000BBD0000}"/>
    <cellStyle name="Normal 8 15 2 6" xfId="28428" xr:uid="{00000000-0005-0000-0000-00000CBD0000}"/>
    <cellStyle name="Normal 8 15 2 7" xfId="15364" xr:uid="{00000000-0005-0000-0000-00000DBD0000}"/>
    <cellStyle name="Normal 8 15 3" xfId="1740" xr:uid="{00000000-0005-0000-0000-00000EBD0000}"/>
    <cellStyle name="Normal 8 15 3 2" xfId="8274" xr:uid="{00000000-0005-0000-0000-00000FBD0000}"/>
    <cellStyle name="Normal 8 15 3 2 2" xfId="40015" xr:uid="{00000000-0005-0000-0000-000010BD0000}"/>
    <cellStyle name="Normal 8 15 3 2 2 2" xfId="56115" xr:uid="{00000000-0005-0000-0000-000011BD0000}"/>
    <cellStyle name="Normal 8 15 3 2 3" xfId="46548" xr:uid="{00000000-0005-0000-0000-000012BD0000}"/>
    <cellStyle name="Normal 8 15 3 2 4" xfId="30448" xr:uid="{00000000-0005-0000-0000-000013BD0000}"/>
    <cellStyle name="Normal 8 15 3 2 5" xfId="20879" xr:uid="{00000000-0005-0000-0000-000014BD0000}"/>
    <cellStyle name="Normal 8 15 3 3" xfId="11310" xr:uid="{00000000-0005-0000-0000-000015BD0000}"/>
    <cellStyle name="Normal 8 15 3 3 2" xfId="49584" xr:uid="{00000000-0005-0000-0000-000016BD0000}"/>
    <cellStyle name="Normal 8 15 3 3 3" xfId="33484" xr:uid="{00000000-0005-0000-0000-000017BD0000}"/>
    <cellStyle name="Normal 8 15 3 3 4" xfId="23915" xr:uid="{00000000-0005-0000-0000-000018BD0000}"/>
    <cellStyle name="Normal 8 15 3 4" xfId="5238" xr:uid="{00000000-0005-0000-0000-000019BD0000}"/>
    <cellStyle name="Normal 8 15 3 4 2" xfId="53079" xr:uid="{00000000-0005-0000-0000-00001ABD0000}"/>
    <cellStyle name="Normal 8 15 3 4 3" xfId="36979" xr:uid="{00000000-0005-0000-0000-00001BBD0000}"/>
    <cellStyle name="Normal 8 15 3 4 4" xfId="17843" xr:uid="{00000000-0005-0000-0000-00001CBD0000}"/>
    <cellStyle name="Normal 8 15 3 5" xfId="43512" xr:uid="{00000000-0005-0000-0000-00001DBD0000}"/>
    <cellStyle name="Normal 8 15 3 6" xfId="27412" xr:uid="{00000000-0005-0000-0000-00001EBD0000}"/>
    <cellStyle name="Normal 8 15 3 7" xfId="14348" xr:uid="{00000000-0005-0000-0000-00001FBD0000}"/>
    <cellStyle name="Normal 8 15 4" xfId="4228" xr:uid="{00000000-0005-0000-0000-000020BD0000}"/>
    <cellStyle name="Normal 8 15 4 2" xfId="35969" xr:uid="{00000000-0005-0000-0000-000021BD0000}"/>
    <cellStyle name="Normal 8 15 4 2 2" xfId="52069" xr:uid="{00000000-0005-0000-0000-000022BD0000}"/>
    <cellStyle name="Normal 8 15 4 3" xfId="42502" xr:uid="{00000000-0005-0000-0000-000023BD0000}"/>
    <cellStyle name="Normal 8 15 4 4" xfId="26402" xr:uid="{00000000-0005-0000-0000-000024BD0000}"/>
    <cellStyle name="Normal 8 15 4 5" xfId="16833" xr:uid="{00000000-0005-0000-0000-000025BD0000}"/>
    <cellStyle name="Normal 8 15 5" xfId="7264" xr:uid="{00000000-0005-0000-0000-000026BD0000}"/>
    <cellStyle name="Normal 8 15 5 2" xfId="39005" xr:uid="{00000000-0005-0000-0000-000027BD0000}"/>
    <cellStyle name="Normal 8 15 5 2 2" xfId="55105" xr:uid="{00000000-0005-0000-0000-000028BD0000}"/>
    <cellStyle name="Normal 8 15 5 3" xfId="45538" xr:uid="{00000000-0005-0000-0000-000029BD0000}"/>
    <cellStyle name="Normal 8 15 5 4" xfId="29438" xr:uid="{00000000-0005-0000-0000-00002ABD0000}"/>
    <cellStyle name="Normal 8 15 5 5" xfId="19869" xr:uid="{00000000-0005-0000-0000-00002BBD0000}"/>
    <cellStyle name="Normal 8 15 6" xfId="10300" xr:uid="{00000000-0005-0000-0000-00002CBD0000}"/>
    <cellStyle name="Normal 8 15 6 2" xfId="48574" xr:uid="{00000000-0005-0000-0000-00002DBD0000}"/>
    <cellStyle name="Normal 8 15 6 3" xfId="32474" xr:uid="{00000000-0005-0000-0000-00002EBD0000}"/>
    <cellStyle name="Normal 8 15 6 4" xfId="22905" xr:uid="{00000000-0005-0000-0000-00002FBD0000}"/>
    <cellStyle name="Normal 8 15 7" xfId="3323" xr:uid="{00000000-0005-0000-0000-000030BD0000}"/>
    <cellStyle name="Normal 8 15 7 2" xfId="51164" xr:uid="{00000000-0005-0000-0000-000031BD0000}"/>
    <cellStyle name="Normal 8 15 7 3" xfId="35064" xr:uid="{00000000-0005-0000-0000-000032BD0000}"/>
    <cellStyle name="Normal 8 15 7 4" xfId="15928" xr:uid="{00000000-0005-0000-0000-000033BD0000}"/>
    <cellStyle name="Normal 8 15 8" xfId="41597" xr:uid="{00000000-0005-0000-0000-000034BD0000}"/>
    <cellStyle name="Normal 8 15 9" xfId="25497" xr:uid="{00000000-0005-0000-0000-000035BD0000}"/>
    <cellStyle name="Normal 8 16" xfId="2067" xr:uid="{00000000-0005-0000-0000-000036BD0000}"/>
    <cellStyle name="Normal 8 16 2" xfId="8601" xr:uid="{00000000-0005-0000-0000-000037BD0000}"/>
    <cellStyle name="Normal 8 16 2 2" xfId="40342" xr:uid="{00000000-0005-0000-0000-000038BD0000}"/>
    <cellStyle name="Normal 8 16 2 2 2" xfId="56442" xr:uid="{00000000-0005-0000-0000-000039BD0000}"/>
    <cellStyle name="Normal 8 16 2 3" xfId="46875" xr:uid="{00000000-0005-0000-0000-00003ABD0000}"/>
    <cellStyle name="Normal 8 16 2 4" xfId="30775" xr:uid="{00000000-0005-0000-0000-00003BBD0000}"/>
    <cellStyle name="Normal 8 16 2 5" xfId="21206" xr:uid="{00000000-0005-0000-0000-00003CBD0000}"/>
    <cellStyle name="Normal 8 16 3" xfId="11637" xr:uid="{00000000-0005-0000-0000-00003DBD0000}"/>
    <cellStyle name="Normal 8 16 3 2" xfId="49911" xr:uid="{00000000-0005-0000-0000-00003EBD0000}"/>
    <cellStyle name="Normal 8 16 3 3" xfId="33811" xr:uid="{00000000-0005-0000-0000-00003FBD0000}"/>
    <cellStyle name="Normal 8 16 3 4" xfId="24242" xr:uid="{00000000-0005-0000-0000-000040BD0000}"/>
    <cellStyle name="Normal 8 16 4" xfId="5565" xr:uid="{00000000-0005-0000-0000-000041BD0000}"/>
    <cellStyle name="Normal 8 16 4 2" xfId="53406" xr:uid="{00000000-0005-0000-0000-000042BD0000}"/>
    <cellStyle name="Normal 8 16 4 3" xfId="37306" xr:uid="{00000000-0005-0000-0000-000043BD0000}"/>
    <cellStyle name="Normal 8 16 4 4" xfId="18170" xr:uid="{00000000-0005-0000-0000-000044BD0000}"/>
    <cellStyle name="Normal 8 16 5" xfId="43839" xr:uid="{00000000-0005-0000-0000-000045BD0000}"/>
    <cellStyle name="Normal 8 16 6" xfId="27739" xr:uid="{00000000-0005-0000-0000-000046BD0000}"/>
    <cellStyle name="Normal 8 16 7" xfId="14675" xr:uid="{00000000-0005-0000-0000-000047BD0000}"/>
    <cellStyle name="Normal 8 17" xfId="1057" xr:uid="{00000000-0005-0000-0000-000048BD0000}"/>
    <cellStyle name="Normal 8 17 2" xfId="7591" xr:uid="{00000000-0005-0000-0000-000049BD0000}"/>
    <cellStyle name="Normal 8 17 2 2" xfId="39332" xr:uid="{00000000-0005-0000-0000-00004ABD0000}"/>
    <cellStyle name="Normal 8 17 2 2 2" xfId="55432" xr:uid="{00000000-0005-0000-0000-00004BBD0000}"/>
    <cellStyle name="Normal 8 17 2 3" xfId="45865" xr:uid="{00000000-0005-0000-0000-00004CBD0000}"/>
    <cellStyle name="Normal 8 17 2 4" xfId="29765" xr:uid="{00000000-0005-0000-0000-00004DBD0000}"/>
    <cellStyle name="Normal 8 17 2 5" xfId="20196" xr:uid="{00000000-0005-0000-0000-00004EBD0000}"/>
    <cellStyle name="Normal 8 17 3" xfId="10627" xr:uid="{00000000-0005-0000-0000-00004FBD0000}"/>
    <cellStyle name="Normal 8 17 3 2" xfId="48901" xr:uid="{00000000-0005-0000-0000-000050BD0000}"/>
    <cellStyle name="Normal 8 17 3 3" xfId="32801" xr:uid="{00000000-0005-0000-0000-000051BD0000}"/>
    <cellStyle name="Normal 8 17 3 4" xfId="23232" xr:uid="{00000000-0005-0000-0000-000052BD0000}"/>
    <cellStyle name="Normal 8 17 4" xfId="4555" xr:uid="{00000000-0005-0000-0000-000053BD0000}"/>
    <cellStyle name="Normal 8 17 4 2" xfId="52396" xr:uid="{00000000-0005-0000-0000-000054BD0000}"/>
    <cellStyle name="Normal 8 17 4 3" xfId="36296" xr:uid="{00000000-0005-0000-0000-000055BD0000}"/>
    <cellStyle name="Normal 8 17 4 4" xfId="17160" xr:uid="{00000000-0005-0000-0000-000056BD0000}"/>
    <cellStyle name="Normal 8 17 5" xfId="42829" xr:uid="{00000000-0005-0000-0000-000057BD0000}"/>
    <cellStyle name="Normal 8 17 6" xfId="26729" xr:uid="{00000000-0005-0000-0000-000058BD0000}"/>
    <cellStyle name="Normal 8 17 7" xfId="13665" xr:uid="{00000000-0005-0000-0000-000059BD0000}"/>
    <cellStyle name="Normal 8 18" xfId="3545" xr:uid="{00000000-0005-0000-0000-00005ABD0000}"/>
    <cellStyle name="Normal 8 18 2" xfId="35286" xr:uid="{00000000-0005-0000-0000-00005BBD0000}"/>
    <cellStyle name="Normal 8 18 2 2" xfId="51386" xr:uid="{00000000-0005-0000-0000-00005CBD0000}"/>
    <cellStyle name="Normal 8 18 3" xfId="41819" xr:uid="{00000000-0005-0000-0000-00005DBD0000}"/>
    <cellStyle name="Normal 8 18 4" xfId="25719" xr:uid="{00000000-0005-0000-0000-00005EBD0000}"/>
    <cellStyle name="Normal 8 18 5" xfId="16150" xr:uid="{00000000-0005-0000-0000-00005FBD0000}"/>
    <cellStyle name="Normal 8 19" xfId="6581" xr:uid="{00000000-0005-0000-0000-000060BD0000}"/>
    <cellStyle name="Normal 8 19 2" xfId="38322" xr:uid="{00000000-0005-0000-0000-000061BD0000}"/>
    <cellStyle name="Normal 8 19 2 2" xfId="54422" xr:uid="{00000000-0005-0000-0000-000062BD0000}"/>
    <cellStyle name="Normal 8 19 3" xfId="44855" xr:uid="{00000000-0005-0000-0000-000063BD0000}"/>
    <cellStyle name="Normal 8 19 4" xfId="28755" xr:uid="{00000000-0005-0000-0000-000064BD0000}"/>
    <cellStyle name="Normal 8 19 5" xfId="19186" xr:uid="{00000000-0005-0000-0000-000065BD0000}"/>
    <cellStyle name="Normal 8 2" xfId="28" xr:uid="{00000000-0005-0000-0000-000066BD0000}"/>
    <cellStyle name="Normal 8 2 10" xfId="494" xr:uid="{00000000-0005-0000-0000-000067BD0000}"/>
    <cellStyle name="Normal 8 2 10 10" xfId="41577" xr:uid="{00000000-0005-0000-0000-000068BD0000}"/>
    <cellStyle name="Normal 8 2 10 11" xfId="25477" xr:uid="{00000000-0005-0000-0000-000069BD0000}"/>
    <cellStyle name="Normal 8 2 10 12" xfId="12872" xr:uid="{00000000-0005-0000-0000-00006ABD0000}"/>
    <cellStyle name="Normal 8 2 10 2" xfId="947" xr:uid="{00000000-0005-0000-0000-00006BBD0000}"/>
    <cellStyle name="Normal 8 2 10 2 10" xfId="13555" xr:uid="{00000000-0005-0000-0000-00006CBD0000}"/>
    <cellStyle name="Normal 8 2 10 2 2" xfId="2975" xr:uid="{00000000-0005-0000-0000-00006DBD0000}"/>
    <cellStyle name="Normal 8 2 10 2 2 2" xfId="9507" xr:uid="{00000000-0005-0000-0000-00006EBD0000}"/>
    <cellStyle name="Normal 8 2 10 2 2 2 2" xfId="41248" xr:uid="{00000000-0005-0000-0000-00006FBD0000}"/>
    <cellStyle name="Normal 8 2 10 2 2 2 2 2" xfId="57348" xr:uid="{00000000-0005-0000-0000-000070BD0000}"/>
    <cellStyle name="Normal 8 2 10 2 2 2 3" xfId="47781" xr:uid="{00000000-0005-0000-0000-000071BD0000}"/>
    <cellStyle name="Normal 8 2 10 2 2 2 4" xfId="31681" xr:uid="{00000000-0005-0000-0000-000072BD0000}"/>
    <cellStyle name="Normal 8 2 10 2 2 2 5" xfId="22112" xr:uid="{00000000-0005-0000-0000-000073BD0000}"/>
    <cellStyle name="Normal 8 2 10 2 2 3" xfId="12543" xr:uid="{00000000-0005-0000-0000-000074BD0000}"/>
    <cellStyle name="Normal 8 2 10 2 2 3 2" xfId="50817" xr:uid="{00000000-0005-0000-0000-000075BD0000}"/>
    <cellStyle name="Normal 8 2 10 2 2 3 3" xfId="34717" xr:uid="{00000000-0005-0000-0000-000076BD0000}"/>
    <cellStyle name="Normal 8 2 10 2 2 3 4" xfId="25148" xr:uid="{00000000-0005-0000-0000-000077BD0000}"/>
    <cellStyle name="Normal 8 2 10 2 2 4" xfId="6471" xr:uid="{00000000-0005-0000-0000-000078BD0000}"/>
    <cellStyle name="Normal 8 2 10 2 2 4 2" xfId="54312" xr:uid="{00000000-0005-0000-0000-000079BD0000}"/>
    <cellStyle name="Normal 8 2 10 2 2 4 3" xfId="38212" xr:uid="{00000000-0005-0000-0000-00007ABD0000}"/>
    <cellStyle name="Normal 8 2 10 2 2 4 4" xfId="19076" xr:uid="{00000000-0005-0000-0000-00007BBD0000}"/>
    <cellStyle name="Normal 8 2 10 2 2 5" xfId="44745" xr:uid="{00000000-0005-0000-0000-00007CBD0000}"/>
    <cellStyle name="Normal 8 2 10 2 2 6" xfId="28645" xr:uid="{00000000-0005-0000-0000-00007DBD0000}"/>
    <cellStyle name="Normal 8 2 10 2 2 7" xfId="15581" xr:uid="{00000000-0005-0000-0000-00007EBD0000}"/>
    <cellStyle name="Normal 8 2 10 2 3" xfId="1957" xr:uid="{00000000-0005-0000-0000-00007FBD0000}"/>
    <cellStyle name="Normal 8 2 10 2 3 2" xfId="8491" xr:uid="{00000000-0005-0000-0000-000080BD0000}"/>
    <cellStyle name="Normal 8 2 10 2 3 2 2" xfId="40232" xr:uid="{00000000-0005-0000-0000-000081BD0000}"/>
    <cellStyle name="Normal 8 2 10 2 3 2 2 2" xfId="56332" xr:uid="{00000000-0005-0000-0000-000082BD0000}"/>
    <cellStyle name="Normal 8 2 10 2 3 2 3" xfId="46765" xr:uid="{00000000-0005-0000-0000-000083BD0000}"/>
    <cellStyle name="Normal 8 2 10 2 3 2 4" xfId="30665" xr:uid="{00000000-0005-0000-0000-000084BD0000}"/>
    <cellStyle name="Normal 8 2 10 2 3 2 5" xfId="21096" xr:uid="{00000000-0005-0000-0000-000085BD0000}"/>
    <cellStyle name="Normal 8 2 10 2 3 3" xfId="11527" xr:uid="{00000000-0005-0000-0000-000086BD0000}"/>
    <cellStyle name="Normal 8 2 10 2 3 3 2" xfId="49801" xr:uid="{00000000-0005-0000-0000-000087BD0000}"/>
    <cellStyle name="Normal 8 2 10 2 3 3 3" xfId="33701" xr:uid="{00000000-0005-0000-0000-000088BD0000}"/>
    <cellStyle name="Normal 8 2 10 2 3 3 4" xfId="24132" xr:uid="{00000000-0005-0000-0000-000089BD0000}"/>
    <cellStyle name="Normal 8 2 10 2 3 4" xfId="5455" xr:uid="{00000000-0005-0000-0000-00008ABD0000}"/>
    <cellStyle name="Normal 8 2 10 2 3 4 2" xfId="53296" xr:uid="{00000000-0005-0000-0000-00008BBD0000}"/>
    <cellStyle name="Normal 8 2 10 2 3 4 3" xfId="37196" xr:uid="{00000000-0005-0000-0000-00008CBD0000}"/>
    <cellStyle name="Normal 8 2 10 2 3 4 4" xfId="18060" xr:uid="{00000000-0005-0000-0000-00008DBD0000}"/>
    <cellStyle name="Normal 8 2 10 2 3 5" xfId="43729" xr:uid="{00000000-0005-0000-0000-00008EBD0000}"/>
    <cellStyle name="Normal 8 2 10 2 3 6" xfId="27629" xr:uid="{00000000-0005-0000-0000-00008FBD0000}"/>
    <cellStyle name="Normal 8 2 10 2 3 7" xfId="14565" xr:uid="{00000000-0005-0000-0000-000090BD0000}"/>
    <cellStyle name="Normal 8 2 10 2 4" xfId="4445" xr:uid="{00000000-0005-0000-0000-000091BD0000}"/>
    <cellStyle name="Normal 8 2 10 2 4 2" xfId="36186" xr:uid="{00000000-0005-0000-0000-000092BD0000}"/>
    <cellStyle name="Normal 8 2 10 2 4 2 2" xfId="52286" xr:uid="{00000000-0005-0000-0000-000093BD0000}"/>
    <cellStyle name="Normal 8 2 10 2 4 3" xfId="42719" xr:uid="{00000000-0005-0000-0000-000094BD0000}"/>
    <cellStyle name="Normal 8 2 10 2 4 4" xfId="26619" xr:uid="{00000000-0005-0000-0000-000095BD0000}"/>
    <cellStyle name="Normal 8 2 10 2 4 5" xfId="17050" xr:uid="{00000000-0005-0000-0000-000096BD0000}"/>
    <cellStyle name="Normal 8 2 10 2 5" xfId="7481" xr:uid="{00000000-0005-0000-0000-000097BD0000}"/>
    <cellStyle name="Normal 8 2 10 2 5 2" xfId="39222" xr:uid="{00000000-0005-0000-0000-000098BD0000}"/>
    <cellStyle name="Normal 8 2 10 2 5 2 2" xfId="55322" xr:uid="{00000000-0005-0000-0000-000099BD0000}"/>
    <cellStyle name="Normal 8 2 10 2 5 3" xfId="45755" xr:uid="{00000000-0005-0000-0000-00009ABD0000}"/>
    <cellStyle name="Normal 8 2 10 2 5 4" xfId="29655" xr:uid="{00000000-0005-0000-0000-00009BBD0000}"/>
    <cellStyle name="Normal 8 2 10 2 5 5" xfId="20086" xr:uid="{00000000-0005-0000-0000-00009CBD0000}"/>
    <cellStyle name="Normal 8 2 10 2 6" xfId="10517" xr:uid="{00000000-0005-0000-0000-00009DBD0000}"/>
    <cellStyle name="Normal 8 2 10 2 6 2" xfId="48791" xr:uid="{00000000-0005-0000-0000-00009EBD0000}"/>
    <cellStyle name="Normal 8 2 10 2 6 3" xfId="32691" xr:uid="{00000000-0005-0000-0000-00009FBD0000}"/>
    <cellStyle name="Normal 8 2 10 2 6 4" xfId="23122" xr:uid="{00000000-0005-0000-0000-0000A0BD0000}"/>
    <cellStyle name="Normal 8 2 10 2 7" xfId="3540" xr:uid="{00000000-0005-0000-0000-0000A1BD0000}"/>
    <cellStyle name="Normal 8 2 10 2 7 2" xfId="51381" xr:uid="{00000000-0005-0000-0000-0000A2BD0000}"/>
    <cellStyle name="Normal 8 2 10 2 7 3" xfId="35281" xr:uid="{00000000-0005-0000-0000-0000A3BD0000}"/>
    <cellStyle name="Normal 8 2 10 2 7 4" xfId="16145" xr:uid="{00000000-0005-0000-0000-0000A4BD0000}"/>
    <cellStyle name="Normal 8 2 10 2 8" xfId="41814" xr:uid="{00000000-0005-0000-0000-0000A5BD0000}"/>
    <cellStyle name="Normal 8 2 10 2 9" xfId="25714" xr:uid="{00000000-0005-0000-0000-0000A6BD0000}"/>
    <cellStyle name="Normal 8 2 10 3" xfId="725" xr:uid="{00000000-0005-0000-0000-0000A7BD0000}"/>
    <cellStyle name="Normal 8 2 10 3 2" xfId="2753" xr:uid="{00000000-0005-0000-0000-0000A8BD0000}"/>
    <cellStyle name="Normal 8 2 10 3 2 2" xfId="9285" xr:uid="{00000000-0005-0000-0000-0000A9BD0000}"/>
    <cellStyle name="Normal 8 2 10 3 2 2 2" xfId="41026" xr:uid="{00000000-0005-0000-0000-0000AABD0000}"/>
    <cellStyle name="Normal 8 2 10 3 2 2 2 2" xfId="57126" xr:uid="{00000000-0005-0000-0000-0000ABBD0000}"/>
    <cellStyle name="Normal 8 2 10 3 2 2 3" xfId="47559" xr:uid="{00000000-0005-0000-0000-0000ACBD0000}"/>
    <cellStyle name="Normal 8 2 10 3 2 2 4" xfId="31459" xr:uid="{00000000-0005-0000-0000-0000ADBD0000}"/>
    <cellStyle name="Normal 8 2 10 3 2 2 5" xfId="21890" xr:uid="{00000000-0005-0000-0000-0000AEBD0000}"/>
    <cellStyle name="Normal 8 2 10 3 2 3" xfId="12321" xr:uid="{00000000-0005-0000-0000-0000AFBD0000}"/>
    <cellStyle name="Normal 8 2 10 3 2 3 2" xfId="50595" xr:uid="{00000000-0005-0000-0000-0000B0BD0000}"/>
    <cellStyle name="Normal 8 2 10 3 2 3 3" xfId="34495" xr:uid="{00000000-0005-0000-0000-0000B1BD0000}"/>
    <cellStyle name="Normal 8 2 10 3 2 3 4" xfId="24926" xr:uid="{00000000-0005-0000-0000-0000B2BD0000}"/>
    <cellStyle name="Normal 8 2 10 3 2 4" xfId="6249" xr:uid="{00000000-0005-0000-0000-0000B3BD0000}"/>
    <cellStyle name="Normal 8 2 10 3 2 4 2" xfId="54090" xr:uid="{00000000-0005-0000-0000-0000B4BD0000}"/>
    <cellStyle name="Normal 8 2 10 3 2 4 3" xfId="37990" xr:uid="{00000000-0005-0000-0000-0000B5BD0000}"/>
    <cellStyle name="Normal 8 2 10 3 2 4 4" xfId="18854" xr:uid="{00000000-0005-0000-0000-0000B6BD0000}"/>
    <cellStyle name="Normal 8 2 10 3 2 5" xfId="44523" xr:uid="{00000000-0005-0000-0000-0000B7BD0000}"/>
    <cellStyle name="Normal 8 2 10 3 2 6" xfId="28423" xr:uid="{00000000-0005-0000-0000-0000B8BD0000}"/>
    <cellStyle name="Normal 8 2 10 3 2 7" xfId="15359" xr:uid="{00000000-0005-0000-0000-0000B9BD0000}"/>
    <cellStyle name="Normal 8 2 10 3 3" xfId="1735" xr:uid="{00000000-0005-0000-0000-0000BABD0000}"/>
    <cellStyle name="Normal 8 2 10 3 3 2" xfId="8269" xr:uid="{00000000-0005-0000-0000-0000BBBD0000}"/>
    <cellStyle name="Normal 8 2 10 3 3 2 2" xfId="40010" xr:uid="{00000000-0005-0000-0000-0000BCBD0000}"/>
    <cellStyle name="Normal 8 2 10 3 3 2 2 2" xfId="56110" xr:uid="{00000000-0005-0000-0000-0000BDBD0000}"/>
    <cellStyle name="Normal 8 2 10 3 3 2 3" xfId="46543" xr:uid="{00000000-0005-0000-0000-0000BEBD0000}"/>
    <cellStyle name="Normal 8 2 10 3 3 2 4" xfId="30443" xr:uid="{00000000-0005-0000-0000-0000BFBD0000}"/>
    <cellStyle name="Normal 8 2 10 3 3 2 5" xfId="20874" xr:uid="{00000000-0005-0000-0000-0000C0BD0000}"/>
    <cellStyle name="Normal 8 2 10 3 3 3" xfId="11305" xr:uid="{00000000-0005-0000-0000-0000C1BD0000}"/>
    <cellStyle name="Normal 8 2 10 3 3 3 2" xfId="49579" xr:uid="{00000000-0005-0000-0000-0000C2BD0000}"/>
    <cellStyle name="Normal 8 2 10 3 3 3 3" xfId="33479" xr:uid="{00000000-0005-0000-0000-0000C3BD0000}"/>
    <cellStyle name="Normal 8 2 10 3 3 3 4" xfId="23910" xr:uid="{00000000-0005-0000-0000-0000C4BD0000}"/>
    <cellStyle name="Normal 8 2 10 3 3 4" xfId="5233" xr:uid="{00000000-0005-0000-0000-0000C5BD0000}"/>
    <cellStyle name="Normal 8 2 10 3 3 4 2" xfId="53074" xr:uid="{00000000-0005-0000-0000-0000C6BD0000}"/>
    <cellStyle name="Normal 8 2 10 3 3 4 3" xfId="36974" xr:uid="{00000000-0005-0000-0000-0000C7BD0000}"/>
    <cellStyle name="Normal 8 2 10 3 3 4 4" xfId="17838" xr:uid="{00000000-0005-0000-0000-0000C8BD0000}"/>
    <cellStyle name="Normal 8 2 10 3 3 5" xfId="43507" xr:uid="{00000000-0005-0000-0000-0000C9BD0000}"/>
    <cellStyle name="Normal 8 2 10 3 3 6" xfId="27407" xr:uid="{00000000-0005-0000-0000-0000CABD0000}"/>
    <cellStyle name="Normal 8 2 10 3 3 7" xfId="14343" xr:uid="{00000000-0005-0000-0000-0000CBBD0000}"/>
    <cellStyle name="Normal 8 2 10 3 4" xfId="7259" xr:uid="{00000000-0005-0000-0000-0000CCBD0000}"/>
    <cellStyle name="Normal 8 2 10 3 4 2" xfId="39000" xr:uid="{00000000-0005-0000-0000-0000CDBD0000}"/>
    <cellStyle name="Normal 8 2 10 3 4 2 2" xfId="55100" xr:uid="{00000000-0005-0000-0000-0000CEBD0000}"/>
    <cellStyle name="Normal 8 2 10 3 4 3" xfId="45533" xr:uid="{00000000-0005-0000-0000-0000CFBD0000}"/>
    <cellStyle name="Normal 8 2 10 3 4 4" xfId="29433" xr:uid="{00000000-0005-0000-0000-0000D0BD0000}"/>
    <cellStyle name="Normal 8 2 10 3 4 5" xfId="19864" xr:uid="{00000000-0005-0000-0000-0000D1BD0000}"/>
    <cellStyle name="Normal 8 2 10 3 5" xfId="10295" xr:uid="{00000000-0005-0000-0000-0000D2BD0000}"/>
    <cellStyle name="Normal 8 2 10 3 5 2" xfId="48569" xr:uid="{00000000-0005-0000-0000-0000D3BD0000}"/>
    <cellStyle name="Normal 8 2 10 3 5 3" xfId="32469" xr:uid="{00000000-0005-0000-0000-0000D4BD0000}"/>
    <cellStyle name="Normal 8 2 10 3 5 4" xfId="22900" xr:uid="{00000000-0005-0000-0000-0000D5BD0000}"/>
    <cellStyle name="Normal 8 2 10 3 6" xfId="4223" xr:uid="{00000000-0005-0000-0000-0000D6BD0000}"/>
    <cellStyle name="Normal 8 2 10 3 6 2" xfId="52064" xr:uid="{00000000-0005-0000-0000-0000D7BD0000}"/>
    <cellStyle name="Normal 8 2 10 3 6 3" xfId="35964" xr:uid="{00000000-0005-0000-0000-0000D8BD0000}"/>
    <cellStyle name="Normal 8 2 10 3 6 4" xfId="16828" xr:uid="{00000000-0005-0000-0000-0000D9BD0000}"/>
    <cellStyle name="Normal 8 2 10 3 7" xfId="42497" xr:uid="{00000000-0005-0000-0000-0000DABD0000}"/>
    <cellStyle name="Normal 8 2 10 3 8" xfId="26397" xr:uid="{00000000-0005-0000-0000-0000DBBD0000}"/>
    <cellStyle name="Normal 8 2 10 3 9" xfId="13333" xr:uid="{00000000-0005-0000-0000-0000DCBD0000}"/>
    <cellStyle name="Normal 8 2 10 4" xfId="2525" xr:uid="{00000000-0005-0000-0000-0000DDBD0000}"/>
    <cellStyle name="Normal 8 2 10 4 2" xfId="9057" xr:uid="{00000000-0005-0000-0000-0000DEBD0000}"/>
    <cellStyle name="Normal 8 2 10 4 2 2" xfId="40798" xr:uid="{00000000-0005-0000-0000-0000DFBD0000}"/>
    <cellStyle name="Normal 8 2 10 4 2 2 2" xfId="56898" xr:uid="{00000000-0005-0000-0000-0000E0BD0000}"/>
    <cellStyle name="Normal 8 2 10 4 2 3" xfId="47331" xr:uid="{00000000-0005-0000-0000-0000E1BD0000}"/>
    <cellStyle name="Normal 8 2 10 4 2 4" xfId="31231" xr:uid="{00000000-0005-0000-0000-0000E2BD0000}"/>
    <cellStyle name="Normal 8 2 10 4 2 5" xfId="21662" xr:uid="{00000000-0005-0000-0000-0000E3BD0000}"/>
    <cellStyle name="Normal 8 2 10 4 3" xfId="12093" xr:uid="{00000000-0005-0000-0000-0000E4BD0000}"/>
    <cellStyle name="Normal 8 2 10 4 3 2" xfId="50367" xr:uid="{00000000-0005-0000-0000-0000E5BD0000}"/>
    <cellStyle name="Normal 8 2 10 4 3 3" xfId="34267" xr:uid="{00000000-0005-0000-0000-0000E6BD0000}"/>
    <cellStyle name="Normal 8 2 10 4 3 4" xfId="24698" xr:uid="{00000000-0005-0000-0000-0000E7BD0000}"/>
    <cellStyle name="Normal 8 2 10 4 4" xfId="6021" xr:uid="{00000000-0005-0000-0000-0000E8BD0000}"/>
    <cellStyle name="Normal 8 2 10 4 4 2" xfId="53862" xr:uid="{00000000-0005-0000-0000-0000E9BD0000}"/>
    <cellStyle name="Normal 8 2 10 4 4 3" xfId="37762" xr:uid="{00000000-0005-0000-0000-0000EABD0000}"/>
    <cellStyle name="Normal 8 2 10 4 4 4" xfId="18626" xr:uid="{00000000-0005-0000-0000-0000EBBD0000}"/>
    <cellStyle name="Normal 8 2 10 4 5" xfId="44295" xr:uid="{00000000-0005-0000-0000-0000ECBD0000}"/>
    <cellStyle name="Normal 8 2 10 4 6" xfId="28195" xr:uid="{00000000-0005-0000-0000-0000EDBD0000}"/>
    <cellStyle name="Normal 8 2 10 4 7" xfId="15131" xr:uid="{00000000-0005-0000-0000-0000EEBD0000}"/>
    <cellStyle name="Normal 8 2 10 5" xfId="1274" xr:uid="{00000000-0005-0000-0000-0000EFBD0000}"/>
    <cellStyle name="Normal 8 2 10 5 2" xfId="7808" xr:uid="{00000000-0005-0000-0000-0000F0BD0000}"/>
    <cellStyle name="Normal 8 2 10 5 2 2" xfId="39549" xr:uid="{00000000-0005-0000-0000-0000F1BD0000}"/>
    <cellStyle name="Normal 8 2 10 5 2 2 2" xfId="55649" xr:uid="{00000000-0005-0000-0000-0000F2BD0000}"/>
    <cellStyle name="Normal 8 2 10 5 2 3" xfId="46082" xr:uid="{00000000-0005-0000-0000-0000F3BD0000}"/>
    <cellStyle name="Normal 8 2 10 5 2 4" xfId="29982" xr:uid="{00000000-0005-0000-0000-0000F4BD0000}"/>
    <cellStyle name="Normal 8 2 10 5 2 5" xfId="20413" xr:uid="{00000000-0005-0000-0000-0000F5BD0000}"/>
    <cellStyle name="Normal 8 2 10 5 3" xfId="10844" xr:uid="{00000000-0005-0000-0000-0000F6BD0000}"/>
    <cellStyle name="Normal 8 2 10 5 3 2" xfId="49118" xr:uid="{00000000-0005-0000-0000-0000F7BD0000}"/>
    <cellStyle name="Normal 8 2 10 5 3 3" xfId="33018" xr:uid="{00000000-0005-0000-0000-0000F8BD0000}"/>
    <cellStyle name="Normal 8 2 10 5 3 4" xfId="23449" xr:uid="{00000000-0005-0000-0000-0000F9BD0000}"/>
    <cellStyle name="Normal 8 2 10 5 4" xfId="4772" xr:uid="{00000000-0005-0000-0000-0000FABD0000}"/>
    <cellStyle name="Normal 8 2 10 5 4 2" xfId="52613" xr:uid="{00000000-0005-0000-0000-0000FBBD0000}"/>
    <cellStyle name="Normal 8 2 10 5 4 3" xfId="36513" xr:uid="{00000000-0005-0000-0000-0000FCBD0000}"/>
    <cellStyle name="Normal 8 2 10 5 4 4" xfId="17377" xr:uid="{00000000-0005-0000-0000-0000FDBD0000}"/>
    <cellStyle name="Normal 8 2 10 5 5" xfId="43046" xr:uid="{00000000-0005-0000-0000-0000FEBD0000}"/>
    <cellStyle name="Normal 8 2 10 5 6" xfId="26946" xr:uid="{00000000-0005-0000-0000-0000FFBD0000}"/>
    <cellStyle name="Normal 8 2 10 5 7" xfId="13882" xr:uid="{00000000-0005-0000-0000-000000BE0000}"/>
    <cellStyle name="Normal 8 2 10 6" xfId="3762" xr:uid="{00000000-0005-0000-0000-000001BE0000}"/>
    <cellStyle name="Normal 8 2 10 6 2" xfId="35503" xr:uid="{00000000-0005-0000-0000-000002BE0000}"/>
    <cellStyle name="Normal 8 2 10 6 2 2" xfId="51603" xr:uid="{00000000-0005-0000-0000-000003BE0000}"/>
    <cellStyle name="Normal 8 2 10 6 3" xfId="42036" xr:uid="{00000000-0005-0000-0000-000004BE0000}"/>
    <cellStyle name="Normal 8 2 10 6 4" xfId="25936" xr:uid="{00000000-0005-0000-0000-000005BE0000}"/>
    <cellStyle name="Normal 8 2 10 6 5" xfId="16367" xr:uid="{00000000-0005-0000-0000-000006BE0000}"/>
    <cellStyle name="Normal 8 2 10 7" xfId="6798" xr:uid="{00000000-0005-0000-0000-000007BE0000}"/>
    <cellStyle name="Normal 8 2 10 7 2" xfId="38539" xr:uid="{00000000-0005-0000-0000-000008BE0000}"/>
    <cellStyle name="Normal 8 2 10 7 2 2" xfId="54639" xr:uid="{00000000-0005-0000-0000-000009BE0000}"/>
    <cellStyle name="Normal 8 2 10 7 3" xfId="45072" xr:uid="{00000000-0005-0000-0000-00000ABE0000}"/>
    <cellStyle name="Normal 8 2 10 7 4" xfId="28972" xr:uid="{00000000-0005-0000-0000-00000BBE0000}"/>
    <cellStyle name="Normal 8 2 10 7 5" xfId="19403" xr:uid="{00000000-0005-0000-0000-00000CBE0000}"/>
    <cellStyle name="Normal 8 2 10 8" xfId="9834" xr:uid="{00000000-0005-0000-0000-00000DBE0000}"/>
    <cellStyle name="Normal 8 2 10 8 2" xfId="48108" xr:uid="{00000000-0005-0000-0000-00000EBE0000}"/>
    <cellStyle name="Normal 8 2 10 8 3" xfId="32008" xr:uid="{00000000-0005-0000-0000-00000FBE0000}"/>
    <cellStyle name="Normal 8 2 10 8 4" xfId="22439" xr:uid="{00000000-0005-0000-0000-000010BE0000}"/>
    <cellStyle name="Normal 8 2 10 9" xfId="3302" xr:uid="{00000000-0005-0000-0000-000011BE0000}"/>
    <cellStyle name="Normal 8 2 10 9 2" xfId="51144" xr:uid="{00000000-0005-0000-0000-000012BE0000}"/>
    <cellStyle name="Normal 8 2 10 9 3" xfId="35044" xr:uid="{00000000-0005-0000-0000-000013BE0000}"/>
    <cellStyle name="Normal 8 2 10 9 4" xfId="15908" xr:uid="{00000000-0005-0000-0000-000014BE0000}"/>
    <cellStyle name="Normal 8 2 11" xfId="437" xr:uid="{00000000-0005-0000-0000-000015BE0000}"/>
    <cellStyle name="Normal 8 2 11 10" xfId="41424" xr:uid="{00000000-0005-0000-0000-000016BE0000}"/>
    <cellStyle name="Normal 8 2 11 11" xfId="25324" xr:uid="{00000000-0005-0000-0000-000017BE0000}"/>
    <cellStyle name="Normal 8 2 11 12" xfId="12719" xr:uid="{00000000-0005-0000-0000-000018BE0000}"/>
    <cellStyle name="Normal 8 2 11 2" xfId="794" xr:uid="{00000000-0005-0000-0000-000019BE0000}"/>
    <cellStyle name="Normal 8 2 11 2 10" xfId="13402" xr:uid="{00000000-0005-0000-0000-00001ABE0000}"/>
    <cellStyle name="Normal 8 2 11 2 2" xfId="2822" xr:uid="{00000000-0005-0000-0000-00001BBE0000}"/>
    <cellStyle name="Normal 8 2 11 2 2 2" xfId="9354" xr:uid="{00000000-0005-0000-0000-00001CBE0000}"/>
    <cellStyle name="Normal 8 2 11 2 2 2 2" xfId="41095" xr:uid="{00000000-0005-0000-0000-00001DBE0000}"/>
    <cellStyle name="Normal 8 2 11 2 2 2 2 2" xfId="57195" xr:uid="{00000000-0005-0000-0000-00001EBE0000}"/>
    <cellStyle name="Normal 8 2 11 2 2 2 3" xfId="47628" xr:uid="{00000000-0005-0000-0000-00001FBE0000}"/>
    <cellStyle name="Normal 8 2 11 2 2 2 4" xfId="31528" xr:uid="{00000000-0005-0000-0000-000020BE0000}"/>
    <cellStyle name="Normal 8 2 11 2 2 2 5" xfId="21959" xr:uid="{00000000-0005-0000-0000-000021BE0000}"/>
    <cellStyle name="Normal 8 2 11 2 2 3" xfId="12390" xr:uid="{00000000-0005-0000-0000-000022BE0000}"/>
    <cellStyle name="Normal 8 2 11 2 2 3 2" xfId="50664" xr:uid="{00000000-0005-0000-0000-000023BE0000}"/>
    <cellStyle name="Normal 8 2 11 2 2 3 3" xfId="34564" xr:uid="{00000000-0005-0000-0000-000024BE0000}"/>
    <cellStyle name="Normal 8 2 11 2 2 3 4" xfId="24995" xr:uid="{00000000-0005-0000-0000-000025BE0000}"/>
    <cellStyle name="Normal 8 2 11 2 2 4" xfId="6318" xr:uid="{00000000-0005-0000-0000-000026BE0000}"/>
    <cellStyle name="Normal 8 2 11 2 2 4 2" xfId="54159" xr:uid="{00000000-0005-0000-0000-000027BE0000}"/>
    <cellStyle name="Normal 8 2 11 2 2 4 3" xfId="38059" xr:uid="{00000000-0005-0000-0000-000028BE0000}"/>
    <cellStyle name="Normal 8 2 11 2 2 4 4" xfId="18923" xr:uid="{00000000-0005-0000-0000-000029BE0000}"/>
    <cellStyle name="Normal 8 2 11 2 2 5" xfId="44592" xr:uid="{00000000-0005-0000-0000-00002ABE0000}"/>
    <cellStyle name="Normal 8 2 11 2 2 6" xfId="28492" xr:uid="{00000000-0005-0000-0000-00002BBE0000}"/>
    <cellStyle name="Normal 8 2 11 2 2 7" xfId="15428" xr:uid="{00000000-0005-0000-0000-00002CBE0000}"/>
    <cellStyle name="Normal 8 2 11 2 3" xfId="1804" xr:uid="{00000000-0005-0000-0000-00002DBE0000}"/>
    <cellStyle name="Normal 8 2 11 2 3 2" xfId="8338" xr:uid="{00000000-0005-0000-0000-00002EBE0000}"/>
    <cellStyle name="Normal 8 2 11 2 3 2 2" xfId="40079" xr:uid="{00000000-0005-0000-0000-00002FBE0000}"/>
    <cellStyle name="Normal 8 2 11 2 3 2 2 2" xfId="56179" xr:uid="{00000000-0005-0000-0000-000030BE0000}"/>
    <cellStyle name="Normal 8 2 11 2 3 2 3" xfId="46612" xr:uid="{00000000-0005-0000-0000-000031BE0000}"/>
    <cellStyle name="Normal 8 2 11 2 3 2 4" xfId="30512" xr:uid="{00000000-0005-0000-0000-000032BE0000}"/>
    <cellStyle name="Normal 8 2 11 2 3 2 5" xfId="20943" xr:uid="{00000000-0005-0000-0000-000033BE0000}"/>
    <cellStyle name="Normal 8 2 11 2 3 3" xfId="11374" xr:uid="{00000000-0005-0000-0000-000034BE0000}"/>
    <cellStyle name="Normal 8 2 11 2 3 3 2" xfId="49648" xr:uid="{00000000-0005-0000-0000-000035BE0000}"/>
    <cellStyle name="Normal 8 2 11 2 3 3 3" xfId="33548" xr:uid="{00000000-0005-0000-0000-000036BE0000}"/>
    <cellStyle name="Normal 8 2 11 2 3 3 4" xfId="23979" xr:uid="{00000000-0005-0000-0000-000037BE0000}"/>
    <cellStyle name="Normal 8 2 11 2 3 4" xfId="5302" xr:uid="{00000000-0005-0000-0000-000038BE0000}"/>
    <cellStyle name="Normal 8 2 11 2 3 4 2" xfId="53143" xr:uid="{00000000-0005-0000-0000-000039BE0000}"/>
    <cellStyle name="Normal 8 2 11 2 3 4 3" xfId="37043" xr:uid="{00000000-0005-0000-0000-00003ABE0000}"/>
    <cellStyle name="Normal 8 2 11 2 3 4 4" xfId="17907" xr:uid="{00000000-0005-0000-0000-00003BBE0000}"/>
    <cellStyle name="Normal 8 2 11 2 3 5" xfId="43576" xr:uid="{00000000-0005-0000-0000-00003CBE0000}"/>
    <cellStyle name="Normal 8 2 11 2 3 6" xfId="27476" xr:uid="{00000000-0005-0000-0000-00003DBE0000}"/>
    <cellStyle name="Normal 8 2 11 2 3 7" xfId="14412" xr:uid="{00000000-0005-0000-0000-00003EBE0000}"/>
    <cellStyle name="Normal 8 2 11 2 4" xfId="4292" xr:uid="{00000000-0005-0000-0000-00003FBE0000}"/>
    <cellStyle name="Normal 8 2 11 2 4 2" xfId="36033" xr:uid="{00000000-0005-0000-0000-000040BE0000}"/>
    <cellStyle name="Normal 8 2 11 2 4 2 2" xfId="52133" xr:uid="{00000000-0005-0000-0000-000041BE0000}"/>
    <cellStyle name="Normal 8 2 11 2 4 3" xfId="42566" xr:uid="{00000000-0005-0000-0000-000042BE0000}"/>
    <cellStyle name="Normal 8 2 11 2 4 4" xfId="26466" xr:uid="{00000000-0005-0000-0000-000043BE0000}"/>
    <cellStyle name="Normal 8 2 11 2 4 5" xfId="16897" xr:uid="{00000000-0005-0000-0000-000044BE0000}"/>
    <cellStyle name="Normal 8 2 11 2 5" xfId="7328" xr:uid="{00000000-0005-0000-0000-000045BE0000}"/>
    <cellStyle name="Normal 8 2 11 2 5 2" xfId="39069" xr:uid="{00000000-0005-0000-0000-000046BE0000}"/>
    <cellStyle name="Normal 8 2 11 2 5 2 2" xfId="55169" xr:uid="{00000000-0005-0000-0000-000047BE0000}"/>
    <cellStyle name="Normal 8 2 11 2 5 3" xfId="45602" xr:uid="{00000000-0005-0000-0000-000048BE0000}"/>
    <cellStyle name="Normal 8 2 11 2 5 4" xfId="29502" xr:uid="{00000000-0005-0000-0000-000049BE0000}"/>
    <cellStyle name="Normal 8 2 11 2 5 5" xfId="19933" xr:uid="{00000000-0005-0000-0000-00004ABE0000}"/>
    <cellStyle name="Normal 8 2 11 2 6" xfId="10364" xr:uid="{00000000-0005-0000-0000-00004BBE0000}"/>
    <cellStyle name="Normal 8 2 11 2 6 2" xfId="48638" xr:uid="{00000000-0005-0000-0000-00004CBE0000}"/>
    <cellStyle name="Normal 8 2 11 2 6 3" xfId="32538" xr:uid="{00000000-0005-0000-0000-00004DBE0000}"/>
    <cellStyle name="Normal 8 2 11 2 6 4" xfId="22969" xr:uid="{00000000-0005-0000-0000-00004EBE0000}"/>
    <cellStyle name="Normal 8 2 11 2 7" xfId="3387" xr:uid="{00000000-0005-0000-0000-00004FBE0000}"/>
    <cellStyle name="Normal 8 2 11 2 7 2" xfId="51228" xr:uid="{00000000-0005-0000-0000-000050BE0000}"/>
    <cellStyle name="Normal 8 2 11 2 7 3" xfId="35128" xr:uid="{00000000-0005-0000-0000-000051BE0000}"/>
    <cellStyle name="Normal 8 2 11 2 7 4" xfId="15992" xr:uid="{00000000-0005-0000-0000-000052BE0000}"/>
    <cellStyle name="Normal 8 2 11 2 8" xfId="41661" xr:uid="{00000000-0005-0000-0000-000053BE0000}"/>
    <cellStyle name="Normal 8 2 11 2 9" xfId="25561" xr:uid="{00000000-0005-0000-0000-000054BE0000}"/>
    <cellStyle name="Normal 8 2 11 3" xfId="652" xr:uid="{00000000-0005-0000-0000-000055BE0000}"/>
    <cellStyle name="Normal 8 2 11 3 2" xfId="2680" xr:uid="{00000000-0005-0000-0000-000056BE0000}"/>
    <cellStyle name="Normal 8 2 11 3 2 2" xfId="9212" xr:uid="{00000000-0005-0000-0000-000057BE0000}"/>
    <cellStyle name="Normal 8 2 11 3 2 2 2" xfId="40953" xr:uid="{00000000-0005-0000-0000-000058BE0000}"/>
    <cellStyle name="Normal 8 2 11 3 2 2 2 2" xfId="57053" xr:uid="{00000000-0005-0000-0000-000059BE0000}"/>
    <cellStyle name="Normal 8 2 11 3 2 2 3" xfId="47486" xr:uid="{00000000-0005-0000-0000-00005ABE0000}"/>
    <cellStyle name="Normal 8 2 11 3 2 2 4" xfId="31386" xr:uid="{00000000-0005-0000-0000-00005BBE0000}"/>
    <cellStyle name="Normal 8 2 11 3 2 2 5" xfId="21817" xr:uid="{00000000-0005-0000-0000-00005CBE0000}"/>
    <cellStyle name="Normal 8 2 11 3 2 3" xfId="12248" xr:uid="{00000000-0005-0000-0000-00005DBE0000}"/>
    <cellStyle name="Normal 8 2 11 3 2 3 2" xfId="50522" xr:uid="{00000000-0005-0000-0000-00005EBE0000}"/>
    <cellStyle name="Normal 8 2 11 3 2 3 3" xfId="34422" xr:uid="{00000000-0005-0000-0000-00005FBE0000}"/>
    <cellStyle name="Normal 8 2 11 3 2 3 4" xfId="24853" xr:uid="{00000000-0005-0000-0000-000060BE0000}"/>
    <cellStyle name="Normal 8 2 11 3 2 4" xfId="6176" xr:uid="{00000000-0005-0000-0000-000061BE0000}"/>
    <cellStyle name="Normal 8 2 11 3 2 4 2" xfId="54017" xr:uid="{00000000-0005-0000-0000-000062BE0000}"/>
    <cellStyle name="Normal 8 2 11 3 2 4 3" xfId="37917" xr:uid="{00000000-0005-0000-0000-000063BE0000}"/>
    <cellStyle name="Normal 8 2 11 3 2 4 4" xfId="18781" xr:uid="{00000000-0005-0000-0000-000064BE0000}"/>
    <cellStyle name="Normal 8 2 11 3 2 5" xfId="44450" xr:uid="{00000000-0005-0000-0000-000065BE0000}"/>
    <cellStyle name="Normal 8 2 11 3 2 6" xfId="28350" xr:uid="{00000000-0005-0000-0000-000066BE0000}"/>
    <cellStyle name="Normal 8 2 11 3 2 7" xfId="15286" xr:uid="{00000000-0005-0000-0000-000067BE0000}"/>
    <cellStyle name="Normal 8 2 11 3 3" xfId="1662" xr:uid="{00000000-0005-0000-0000-000068BE0000}"/>
    <cellStyle name="Normal 8 2 11 3 3 2" xfId="8196" xr:uid="{00000000-0005-0000-0000-000069BE0000}"/>
    <cellStyle name="Normal 8 2 11 3 3 2 2" xfId="39937" xr:uid="{00000000-0005-0000-0000-00006ABE0000}"/>
    <cellStyle name="Normal 8 2 11 3 3 2 2 2" xfId="56037" xr:uid="{00000000-0005-0000-0000-00006BBE0000}"/>
    <cellStyle name="Normal 8 2 11 3 3 2 3" xfId="46470" xr:uid="{00000000-0005-0000-0000-00006CBE0000}"/>
    <cellStyle name="Normal 8 2 11 3 3 2 4" xfId="30370" xr:uid="{00000000-0005-0000-0000-00006DBE0000}"/>
    <cellStyle name="Normal 8 2 11 3 3 2 5" xfId="20801" xr:uid="{00000000-0005-0000-0000-00006EBE0000}"/>
    <cellStyle name="Normal 8 2 11 3 3 3" xfId="11232" xr:uid="{00000000-0005-0000-0000-00006FBE0000}"/>
    <cellStyle name="Normal 8 2 11 3 3 3 2" xfId="49506" xr:uid="{00000000-0005-0000-0000-000070BE0000}"/>
    <cellStyle name="Normal 8 2 11 3 3 3 3" xfId="33406" xr:uid="{00000000-0005-0000-0000-000071BE0000}"/>
    <cellStyle name="Normal 8 2 11 3 3 3 4" xfId="23837" xr:uid="{00000000-0005-0000-0000-000072BE0000}"/>
    <cellStyle name="Normal 8 2 11 3 3 4" xfId="5160" xr:uid="{00000000-0005-0000-0000-000073BE0000}"/>
    <cellStyle name="Normal 8 2 11 3 3 4 2" xfId="53001" xr:uid="{00000000-0005-0000-0000-000074BE0000}"/>
    <cellStyle name="Normal 8 2 11 3 3 4 3" xfId="36901" xr:uid="{00000000-0005-0000-0000-000075BE0000}"/>
    <cellStyle name="Normal 8 2 11 3 3 4 4" xfId="17765" xr:uid="{00000000-0005-0000-0000-000076BE0000}"/>
    <cellStyle name="Normal 8 2 11 3 3 5" xfId="43434" xr:uid="{00000000-0005-0000-0000-000077BE0000}"/>
    <cellStyle name="Normal 8 2 11 3 3 6" xfId="27334" xr:uid="{00000000-0005-0000-0000-000078BE0000}"/>
    <cellStyle name="Normal 8 2 11 3 3 7" xfId="14270" xr:uid="{00000000-0005-0000-0000-000079BE0000}"/>
    <cellStyle name="Normal 8 2 11 3 4" xfId="7186" xr:uid="{00000000-0005-0000-0000-00007ABE0000}"/>
    <cellStyle name="Normal 8 2 11 3 4 2" xfId="38927" xr:uid="{00000000-0005-0000-0000-00007BBE0000}"/>
    <cellStyle name="Normal 8 2 11 3 4 2 2" xfId="55027" xr:uid="{00000000-0005-0000-0000-00007CBE0000}"/>
    <cellStyle name="Normal 8 2 11 3 4 3" xfId="45460" xr:uid="{00000000-0005-0000-0000-00007DBE0000}"/>
    <cellStyle name="Normal 8 2 11 3 4 4" xfId="29360" xr:uid="{00000000-0005-0000-0000-00007EBE0000}"/>
    <cellStyle name="Normal 8 2 11 3 4 5" xfId="19791" xr:uid="{00000000-0005-0000-0000-00007FBE0000}"/>
    <cellStyle name="Normal 8 2 11 3 5" xfId="10222" xr:uid="{00000000-0005-0000-0000-000080BE0000}"/>
    <cellStyle name="Normal 8 2 11 3 5 2" xfId="48496" xr:uid="{00000000-0005-0000-0000-000081BE0000}"/>
    <cellStyle name="Normal 8 2 11 3 5 3" xfId="32396" xr:uid="{00000000-0005-0000-0000-000082BE0000}"/>
    <cellStyle name="Normal 8 2 11 3 5 4" xfId="22827" xr:uid="{00000000-0005-0000-0000-000083BE0000}"/>
    <cellStyle name="Normal 8 2 11 3 6" xfId="4150" xr:uid="{00000000-0005-0000-0000-000084BE0000}"/>
    <cellStyle name="Normal 8 2 11 3 6 2" xfId="51991" xr:uid="{00000000-0005-0000-0000-000085BE0000}"/>
    <cellStyle name="Normal 8 2 11 3 6 3" xfId="35891" xr:uid="{00000000-0005-0000-0000-000086BE0000}"/>
    <cellStyle name="Normal 8 2 11 3 6 4" xfId="16755" xr:uid="{00000000-0005-0000-0000-000087BE0000}"/>
    <cellStyle name="Normal 8 2 11 3 7" xfId="42424" xr:uid="{00000000-0005-0000-0000-000088BE0000}"/>
    <cellStyle name="Normal 8 2 11 3 8" xfId="26324" xr:uid="{00000000-0005-0000-0000-000089BE0000}"/>
    <cellStyle name="Normal 8 2 11 3 9" xfId="13260" xr:uid="{00000000-0005-0000-0000-00008ABE0000}"/>
    <cellStyle name="Normal 8 2 11 4" xfId="2452" xr:uid="{00000000-0005-0000-0000-00008BBE0000}"/>
    <cellStyle name="Normal 8 2 11 4 2" xfId="8984" xr:uid="{00000000-0005-0000-0000-00008CBE0000}"/>
    <cellStyle name="Normal 8 2 11 4 2 2" xfId="40725" xr:uid="{00000000-0005-0000-0000-00008DBE0000}"/>
    <cellStyle name="Normal 8 2 11 4 2 2 2" xfId="56825" xr:uid="{00000000-0005-0000-0000-00008EBE0000}"/>
    <cellStyle name="Normal 8 2 11 4 2 3" xfId="47258" xr:uid="{00000000-0005-0000-0000-00008FBE0000}"/>
    <cellStyle name="Normal 8 2 11 4 2 4" xfId="31158" xr:uid="{00000000-0005-0000-0000-000090BE0000}"/>
    <cellStyle name="Normal 8 2 11 4 2 5" xfId="21589" xr:uid="{00000000-0005-0000-0000-000091BE0000}"/>
    <cellStyle name="Normal 8 2 11 4 3" xfId="12020" xr:uid="{00000000-0005-0000-0000-000092BE0000}"/>
    <cellStyle name="Normal 8 2 11 4 3 2" xfId="50294" xr:uid="{00000000-0005-0000-0000-000093BE0000}"/>
    <cellStyle name="Normal 8 2 11 4 3 3" xfId="34194" xr:uid="{00000000-0005-0000-0000-000094BE0000}"/>
    <cellStyle name="Normal 8 2 11 4 3 4" xfId="24625" xr:uid="{00000000-0005-0000-0000-000095BE0000}"/>
    <cellStyle name="Normal 8 2 11 4 4" xfId="5948" xr:uid="{00000000-0005-0000-0000-000096BE0000}"/>
    <cellStyle name="Normal 8 2 11 4 4 2" xfId="53789" xr:uid="{00000000-0005-0000-0000-000097BE0000}"/>
    <cellStyle name="Normal 8 2 11 4 4 3" xfId="37689" xr:uid="{00000000-0005-0000-0000-000098BE0000}"/>
    <cellStyle name="Normal 8 2 11 4 4 4" xfId="18553" xr:uid="{00000000-0005-0000-0000-000099BE0000}"/>
    <cellStyle name="Normal 8 2 11 4 5" xfId="44222" xr:uid="{00000000-0005-0000-0000-00009ABE0000}"/>
    <cellStyle name="Normal 8 2 11 4 6" xfId="28122" xr:uid="{00000000-0005-0000-0000-00009BBE0000}"/>
    <cellStyle name="Normal 8 2 11 4 7" xfId="15058" xr:uid="{00000000-0005-0000-0000-00009CBE0000}"/>
    <cellStyle name="Normal 8 2 11 5" xfId="1121" xr:uid="{00000000-0005-0000-0000-00009DBE0000}"/>
    <cellStyle name="Normal 8 2 11 5 2" xfId="7655" xr:uid="{00000000-0005-0000-0000-00009EBE0000}"/>
    <cellStyle name="Normal 8 2 11 5 2 2" xfId="39396" xr:uid="{00000000-0005-0000-0000-00009FBE0000}"/>
    <cellStyle name="Normal 8 2 11 5 2 2 2" xfId="55496" xr:uid="{00000000-0005-0000-0000-0000A0BE0000}"/>
    <cellStyle name="Normal 8 2 11 5 2 3" xfId="45929" xr:uid="{00000000-0005-0000-0000-0000A1BE0000}"/>
    <cellStyle name="Normal 8 2 11 5 2 4" xfId="29829" xr:uid="{00000000-0005-0000-0000-0000A2BE0000}"/>
    <cellStyle name="Normal 8 2 11 5 2 5" xfId="20260" xr:uid="{00000000-0005-0000-0000-0000A3BE0000}"/>
    <cellStyle name="Normal 8 2 11 5 3" xfId="10691" xr:uid="{00000000-0005-0000-0000-0000A4BE0000}"/>
    <cellStyle name="Normal 8 2 11 5 3 2" xfId="48965" xr:uid="{00000000-0005-0000-0000-0000A5BE0000}"/>
    <cellStyle name="Normal 8 2 11 5 3 3" xfId="32865" xr:uid="{00000000-0005-0000-0000-0000A6BE0000}"/>
    <cellStyle name="Normal 8 2 11 5 3 4" xfId="23296" xr:uid="{00000000-0005-0000-0000-0000A7BE0000}"/>
    <cellStyle name="Normal 8 2 11 5 4" xfId="4619" xr:uid="{00000000-0005-0000-0000-0000A8BE0000}"/>
    <cellStyle name="Normal 8 2 11 5 4 2" xfId="52460" xr:uid="{00000000-0005-0000-0000-0000A9BE0000}"/>
    <cellStyle name="Normal 8 2 11 5 4 3" xfId="36360" xr:uid="{00000000-0005-0000-0000-0000AABE0000}"/>
    <cellStyle name="Normal 8 2 11 5 4 4" xfId="17224" xr:uid="{00000000-0005-0000-0000-0000ABBE0000}"/>
    <cellStyle name="Normal 8 2 11 5 5" xfId="42893" xr:uid="{00000000-0005-0000-0000-0000ACBE0000}"/>
    <cellStyle name="Normal 8 2 11 5 6" xfId="26793" xr:uid="{00000000-0005-0000-0000-0000ADBE0000}"/>
    <cellStyle name="Normal 8 2 11 5 7" xfId="13729" xr:uid="{00000000-0005-0000-0000-0000AEBE0000}"/>
    <cellStyle name="Normal 8 2 11 6" xfId="3609" xr:uid="{00000000-0005-0000-0000-0000AFBE0000}"/>
    <cellStyle name="Normal 8 2 11 6 2" xfId="35350" xr:uid="{00000000-0005-0000-0000-0000B0BE0000}"/>
    <cellStyle name="Normal 8 2 11 6 2 2" xfId="51450" xr:uid="{00000000-0005-0000-0000-0000B1BE0000}"/>
    <cellStyle name="Normal 8 2 11 6 3" xfId="41883" xr:uid="{00000000-0005-0000-0000-0000B2BE0000}"/>
    <cellStyle name="Normal 8 2 11 6 4" xfId="25783" xr:uid="{00000000-0005-0000-0000-0000B3BE0000}"/>
    <cellStyle name="Normal 8 2 11 6 5" xfId="16214" xr:uid="{00000000-0005-0000-0000-0000B4BE0000}"/>
    <cellStyle name="Normal 8 2 11 7" xfId="6645" xr:uid="{00000000-0005-0000-0000-0000B5BE0000}"/>
    <cellStyle name="Normal 8 2 11 7 2" xfId="38386" xr:uid="{00000000-0005-0000-0000-0000B6BE0000}"/>
    <cellStyle name="Normal 8 2 11 7 2 2" xfId="54486" xr:uid="{00000000-0005-0000-0000-0000B7BE0000}"/>
    <cellStyle name="Normal 8 2 11 7 3" xfId="44919" xr:uid="{00000000-0005-0000-0000-0000B8BE0000}"/>
    <cellStyle name="Normal 8 2 11 7 4" xfId="28819" xr:uid="{00000000-0005-0000-0000-0000B9BE0000}"/>
    <cellStyle name="Normal 8 2 11 7 5" xfId="19250" xr:uid="{00000000-0005-0000-0000-0000BABE0000}"/>
    <cellStyle name="Normal 8 2 11 8" xfId="9681" xr:uid="{00000000-0005-0000-0000-0000BBBE0000}"/>
    <cellStyle name="Normal 8 2 11 8 2" xfId="47955" xr:uid="{00000000-0005-0000-0000-0000BCBE0000}"/>
    <cellStyle name="Normal 8 2 11 8 3" xfId="31855" xr:uid="{00000000-0005-0000-0000-0000BDBE0000}"/>
    <cellStyle name="Normal 8 2 11 8 4" xfId="22286" xr:uid="{00000000-0005-0000-0000-0000BEBE0000}"/>
    <cellStyle name="Normal 8 2 11 9" xfId="3149" xr:uid="{00000000-0005-0000-0000-0000BFBE0000}"/>
    <cellStyle name="Normal 8 2 11 9 2" xfId="50991" xr:uid="{00000000-0005-0000-0000-0000C0BE0000}"/>
    <cellStyle name="Normal 8 2 11 9 3" xfId="34891" xr:uid="{00000000-0005-0000-0000-0000C1BE0000}"/>
    <cellStyle name="Normal 8 2 11 9 4" xfId="15755" xr:uid="{00000000-0005-0000-0000-0000C2BE0000}"/>
    <cellStyle name="Normal 8 2 12" xfId="418" xr:uid="{00000000-0005-0000-0000-0000C3BE0000}"/>
    <cellStyle name="Normal 8 2 12 10" xfId="41407" xr:uid="{00000000-0005-0000-0000-0000C4BE0000}"/>
    <cellStyle name="Normal 8 2 12 11" xfId="25307" xr:uid="{00000000-0005-0000-0000-0000C5BE0000}"/>
    <cellStyle name="Normal 8 2 12 12" xfId="12702" xr:uid="{00000000-0005-0000-0000-0000C6BE0000}"/>
    <cellStyle name="Normal 8 2 12 2" xfId="777" xr:uid="{00000000-0005-0000-0000-0000C7BE0000}"/>
    <cellStyle name="Normal 8 2 12 2 10" xfId="13385" xr:uid="{00000000-0005-0000-0000-0000C8BE0000}"/>
    <cellStyle name="Normal 8 2 12 2 2" xfId="2805" xr:uid="{00000000-0005-0000-0000-0000C9BE0000}"/>
    <cellStyle name="Normal 8 2 12 2 2 2" xfId="9337" xr:uid="{00000000-0005-0000-0000-0000CABE0000}"/>
    <cellStyle name="Normal 8 2 12 2 2 2 2" xfId="41078" xr:uid="{00000000-0005-0000-0000-0000CBBE0000}"/>
    <cellStyle name="Normal 8 2 12 2 2 2 2 2" xfId="57178" xr:uid="{00000000-0005-0000-0000-0000CCBE0000}"/>
    <cellStyle name="Normal 8 2 12 2 2 2 3" xfId="47611" xr:uid="{00000000-0005-0000-0000-0000CDBE0000}"/>
    <cellStyle name="Normal 8 2 12 2 2 2 4" xfId="31511" xr:uid="{00000000-0005-0000-0000-0000CEBE0000}"/>
    <cellStyle name="Normal 8 2 12 2 2 2 5" xfId="21942" xr:uid="{00000000-0005-0000-0000-0000CFBE0000}"/>
    <cellStyle name="Normal 8 2 12 2 2 3" xfId="12373" xr:uid="{00000000-0005-0000-0000-0000D0BE0000}"/>
    <cellStyle name="Normal 8 2 12 2 2 3 2" xfId="50647" xr:uid="{00000000-0005-0000-0000-0000D1BE0000}"/>
    <cellStyle name="Normal 8 2 12 2 2 3 3" xfId="34547" xr:uid="{00000000-0005-0000-0000-0000D2BE0000}"/>
    <cellStyle name="Normal 8 2 12 2 2 3 4" xfId="24978" xr:uid="{00000000-0005-0000-0000-0000D3BE0000}"/>
    <cellStyle name="Normal 8 2 12 2 2 4" xfId="6301" xr:uid="{00000000-0005-0000-0000-0000D4BE0000}"/>
    <cellStyle name="Normal 8 2 12 2 2 4 2" xfId="54142" xr:uid="{00000000-0005-0000-0000-0000D5BE0000}"/>
    <cellStyle name="Normal 8 2 12 2 2 4 3" xfId="38042" xr:uid="{00000000-0005-0000-0000-0000D6BE0000}"/>
    <cellStyle name="Normal 8 2 12 2 2 4 4" xfId="18906" xr:uid="{00000000-0005-0000-0000-0000D7BE0000}"/>
    <cellStyle name="Normal 8 2 12 2 2 5" xfId="44575" xr:uid="{00000000-0005-0000-0000-0000D8BE0000}"/>
    <cellStyle name="Normal 8 2 12 2 2 6" xfId="28475" xr:uid="{00000000-0005-0000-0000-0000D9BE0000}"/>
    <cellStyle name="Normal 8 2 12 2 2 7" xfId="15411" xr:uid="{00000000-0005-0000-0000-0000DABE0000}"/>
    <cellStyle name="Normal 8 2 12 2 3" xfId="1787" xr:uid="{00000000-0005-0000-0000-0000DBBE0000}"/>
    <cellStyle name="Normal 8 2 12 2 3 2" xfId="8321" xr:uid="{00000000-0005-0000-0000-0000DCBE0000}"/>
    <cellStyle name="Normal 8 2 12 2 3 2 2" xfId="40062" xr:uid="{00000000-0005-0000-0000-0000DDBE0000}"/>
    <cellStyle name="Normal 8 2 12 2 3 2 2 2" xfId="56162" xr:uid="{00000000-0005-0000-0000-0000DEBE0000}"/>
    <cellStyle name="Normal 8 2 12 2 3 2 3" xfId="46595" xr:uid="{00000000-0005-0000-0000-0000DFBE0000}"/>
    <cellStyle name="Normal 8 2 12 2 3 2 4" xfId="30495" xr:uid="{00000000-0005-0000-0000-0000E0BE0000}"/>
    <cellStyle name="Normal 8 2 12 2 3 2 5" xfId="20926" xr:uid="{00000000-0005-0000-0000-0000E1BE0000}"/>
    <cellStyle name="Normal 8 2 12 2 3 3" xfId="11357" xr:uid="{00000000-0005-0000-0000-0000E2BE0000}"/>
    <cellStyle name="Normal 8 2 12 2 3 3 2" xfId="49631" xr:uid="{00000000-0005-0000-0000-0000E3BE0000}"/>
    <cellStyle name="Normal 8 2 12 2 3 3 3" xfId="33531" xr:uid="{00000000-0005-0000-0000-0000E4BE0000}"/>
    <cellStyle name="Normal 8 2 12 2 3 3 4" xfId="23962" xr:uid="{00000000-0005-0000-0000-0000E5BE0000}"/>
    <cellStyle name="Normal 8 2 12 2 3 4" xfId="5285" xr:uid="{00000000-0005-0000-0000-0000E6BE0000}"/>
    <cellStyle name="Normal 8 2 12 2 3 4 2" xfId="53126" xr:uid="{00000000-0005-0000-0000-0000E7BE0000}"/>
    <cellStyle name="Normal 8 2 12 2 3 4 3" xfId="37026" xr:uid="{00000000-0005-0000-0000-0000E8BE0000}"/>
    <cellStyle name="Normal 8 2 12 2 3 4 4" xfId="17890" xr:uid="{00000000-0005-0000-0000-0000E9BE0000}"/>
    <cellStyle name="Normal 8 2 12 2 3 5" xfId="43559" xr:uid="{00000000-0005-0000-0000-0000EABE0000}"/>
    <cellStyle name="Normal 8 2 12 2 3 6" xfId="27459" xr:uid="{00000000-0005-0000-0000-0000EBBE0000}"/>
    <cellStyle name="Normal 8 2 12 2 3 7" xfId="14395" xr:uid="{00000000-0005-0000-0000-0000ECBE0000}"/>
    <cellStyle name="Normal 8 2 12 2 4" xfId="4275" xr:uid="{00000000-0005-0000-0000-0000EDBE0000}"/>
    <cellStyle name="Normal 8 2 12 2 4 2" xfId="36016" xr:uid="{00000000-0005-0000-0000-0000EEBE0000}"/>
    <cellStyle name="Normal 8 2 12 2 4 2 2" xfId="52116" xr:uid="{00000000-0005-0000-0000-0000EFBE0000}"/>
    <cellStyle name="Normal 8 2 12 2 4 3" xfId="42549" xr:uid="{00000000-0005-0000-0000-0000F0BE0000}"/>
    <cellStyle name="Normal 8 2 12 2 4 4" xfId="26449" xr:uid="{00000000-0005-0000-0000-0000F1BE0000}"/>
    <cellStyle name="Normal 8 2 12 2 4 5" xfId="16880" xr:uid="{00000000-0005-0000-0000-0000F2BE0000}"/>
    <cellStyle name="Normal 8 2 12 2 5" xfId="7311" xr:uid="{00000000-0005-0000-0000-0000F3BE0000}"/>
    <cellStyle name="Normal 8 2 12 2 5 2" xfId="39052" xr:uid="{00000000-0005-0000-0000-0000F4BE0000}"/>
    <cellStyle name="Normal 8 2 12 2 5 2 2" xfId="55152" xr:uid="{00000000-0005-0000-0000-0000F5BE0000}"/>
    <cellStyle name="Normal 8 2 12 2 5 3" xfId="45585" xr:uid="{00000000-0005-0000-0000-0000F6BE0000}"/>
    <cellStyle name="Normal 8 2 12 2 5 4" xfId="29485" xr:uid="{00000000-0005-0000-0000-0000F7BE0000}"/>
    <cellStyle name="Normal 8 2 12 2 5 5" xfId="19916" xr:uid="{00000000-0005-0000-0000-0000F8BE0000}"/>
    <cellStyle name="Normal 8 2 12 2 6" xfId="10347" xr:uid="{00000000-0005-0000-0000-0000F9BE0000}"/>
    <cellStyle name="Normal 8 2 12 2 6 2" xfId="48621" xr:uid="{00000000-0005-0000-0000-0000FABE0000}"/>
    <cellStyle name="Normal 8 2 12 2 6 3" xfId="32521" xr:uid="{00000000-0005-0000-0000-0000FBBE0000}"/>
    <cellStyle name="Normal 8 2 12 2 6 4" xfId="22952" xr:uid="{00000000-0005-0000-0000-0000FCBE0000}"/>
    <cellStyle name="Normal 8 2 12 2 7" xfId="3370" xr:uid="{00000000-0005-0000-0000-0000FDBE0000}"/>
    <cellStyle name="Normal 8 2 12 2 7 2" xfId="51211" xr:uid="{00000000-0005-0000-0000-0000FEBE0000}"/>
    <cellStyle name="Normal 8 2 12 2 7 3" xfId="35111" xr:uid="{00000000-0005-0000-0000-0000FFBE0000}"/>
    <cellStyle name="Normal 8 2 12 2 7 4" xfId="15975" xr:uid="{00000000-0005-0000-0000-000000BF0000}"/>
    <cellStyle name="Normal 8 2 12 2 8" xfId="41644" xr:uid="{00000000-0005-0000-0000-000001BF0000}"/>
    <cellStyle name="Normal 8 2 12 2 9" xfId="25544" xr:uid="{00000000-0005-0000-0000-000002BF0000}"/>
    <cellStyle name="Normal 8 2 12 3" xfId="635" xr:uid="{00000000-0005-0000-0000-000003BF0000}"/>
    <cellStyle name="Normal 8 2 12 3 2" xfId="2663" xr:uid="{00000000-0005-0000-0000-000004BF0000}"/>
    <cellStyle name="Normal 8 2 12 3 2 2" xfId="9195" xr:uid="{00000000-0005-0000-0000-000005BF0000}"/>
    <cellStyle name="Normal 8 2 12 3 2 2 2" xfId="40936" xr:uid="{00000000-0005-0000-0000-000006BF0000}"/>
    <cellStyle name="Normal 8 2 12 3 2 2 2 2" xfId="57036" xr:uid="{00000000-0005-0000-0000-000007BF0000}"/>
    <cellStyle name="Normal 8 2 12 3 2 2 3" xfId="47469" xr:uid="{00000000-0005-0000-0000-000008BF0000}"/>
    <cellStyle name="Normal 8 2 12 3 2 2 4" xfId="31369" xr:uid="{00000000-0005-0000-0000-000009BF0000}"/>
    <cellStyle name="Normal 8 2 12 3 2 2 5" xfId="21800" xr:uid="{00000000-0005-0000-0000-00000ABF0000}"/>
    <cellStyle name="Normal 8 2 12 3 2 3" xfId="12231" xr:uid="{00000000-0005-0000-0000-00000BBF0000}"/>
    <cellStyle name="Normal 8 2 12 3 2 3 2" xfId="50505" xr:uid="{00000000-0005-0000-0000-00000CBF0000}"/>
    <cellStyle name="Normal 8 2 12 3 2 3 3" xfId="34405" xr:uid="{00000000-0005-0000-0000-00000DBF0000}"/>
    <cellStyle name="Normal 8 2 12 3 2 3 4" xfId="24836" xr:uid="{00000000-0005-0000-0000-00000EBF0000}"/>
    <cellStyle name="Normal 8 2 12 3 2 4" xfId="6159" xr:uid="{00000000-0005-0000-0000-00000FBF0000}"/>
    <cellStyle name="Normal 8 2 12 3 2 4 2" xfId="54000" xr:uid="{00000000-0005-0000-0000-000010BF0000}"/>
    <cellStyle name="Normal 8 2 12 3 2 4 3" xfId="37900" xr:uid="{00000000-0005-0000-0000-000011BF0000}"/>
    <cellStyle name="Normal 8 2 12 3 2 4 4" xfId="18764" xr:uid="{00000000-0005-0000-0000-000012BF0000}"/>
    <cellStyle name="Normal 8 2 12 3 2 5" xfId="44433" xr:uid="{00000000-0005-0000-0000-000013BF0000}"/>
    <cellStyle name="Normal 8 2 12 3 2 6" xfId="28333" xr:uid="{00000000-0005-0000-0000-000014BF0000}"/>
    <cellStyle name="Normal 8 2 12 3 2 7" xfId="15269" xr:uid="{00000000-0005-0000-0000-000015BF0000}"/>
    <cellStyle name="Normal 8 2 12 3 3" xfId="1645" xr:uid="{00000000-0005-0000-0000-000016BF0000}"/>
    <cellStyle name="Normal 8 2 12 3 3 2" xfId="8179" xr:uid="{00000000-0005-0000-0000-000017BF0000}"/>
    <cellStyle name="Normal 8 2 12 3 3 2 2" xfId="39920" xr:uid="{00000000-0005-0000-0000-000018BF0000}"/>
    <cellStyle name="Normal 8 2 12 3 3 2 2 2" xfId="56020" xr:uid="{00000000-0005-0000-0000-000019BF0000}"/>
    <cellStyle name="Normal 8 2 12 3 3 2 3" xfId="46453" xr:uid="{00000000-0005-0000-0000-00001ABF0000}"/>
    <cellStyle name="Normal 8 2 12 3 3 2 4" xfId="30353" xr:uid="{00000000-0005-0000-0000-00001BBF0000}"/>
    <cellStyle name="Normal 8 2 12 3 3 2 5" xfId="20784" xr:uid="{00000000-0005-0000-0000-00001CBF0000}"/>
    <cellStyle name="Normal 8 2 12 3 3 3" xfId="11215" xr:uid="{00000000-0005-0000-0000-00001DBF0000}"/>
    <cellStyle name="Normal 8 2 12 3 3 3 2" xfId="49489" xr:uid="{00000000-0005-0000-0000-00001EBF0000}"/>
    <cellStyle name="Normal 8 2 12 3 3 3 3" xfId="33389" xr:uid="{00000000-0005-0000-0000-00001FBF0000}"/>
    <cellStyle name="Normal 8 2 12 3 3 3 4" xfId="23820" xr:uid="{00000000-0005-0000-0000-000020BF0000}"/>
    <cellStyle name="Normal 8 2 12 3 3 4" xfId="5143" xr:uid="{00000000-0005-0000-0000-000021BF0000}"/>
    <cellStyle name="Normal 8 2 12 3 3 4 2" xfId="52984" xr:uid="{00000000-0005-0000-0000-000022BF0000}"/>
    <cellStyle name="Normal 8 2 12 3 3 4 3" xfId="36884" xr:uid="{00000000-0005-0000-0000-000023BF0000}"/>
    <cellStyle name="Normal 8 2 12 3 3 4 4" xfId="17748" xr:uid="{00000000-0005-0000-0000-000024BF0000}"/>
    <cellStyle name="Normal 8 2 12 3 3 5" xfId="43417" xr:uid="{00000000-0005-0000-0000-000025BF0000}"/>
    <cellStyle name="Normal 8 2 12 3 3 6" xfId="27317" xr:uid="{00000000-0005-0000-0000-000026BF0000}"/>
    <cellStyle name="Normal 8 2 12 3 3 7" xfId="14253" xr:uid="{00000000-0005-0000-0000-000027BF0000}"/>
    <cellStyle name="Normal 8 2 12 3 4" xfId="7169" xr:uid="{00000000-0005-0000-0000-000028BF0000}"/>
    <cellStyle name="Normal 8 2 12 3 4 2" xfId="38910" xr:uid="{00000000-0005-0000-0000-000029BF0000}"/>
    <cellStyle name="Normal 8 2 12 3 4 2 2" xfId="55010" xr:uid="{00000000-0005-0000-0000-00002ABF0000}"/>
    <cellStyle name="Normal 8 2 12 3 4 3" xfId="45443" xr:uid="{00000000-0005-0000-0000-00002BBF0000}"/>
    <cellStyle name="Normal 8 2 12 3 4 4" xfId="29343" xr:uid="{00000000-0005-0000-0000-00002CBF0000}"/>
    <cellStyle name="Normal 8 2 12 3 4 5" xfId="19774" xr:uid="{00000000-0005-0000-0000-00002DBF0000}"/>
    <cellStyle name="Normal 8 2 12 3 5" xfId="10205" xr:uid="{00000000-0005-0000-0000-00002EBF0000}"/>
    <cellStyle name="Normal 8 2 12 3 5 2" xfId="48479" xr:uid="{00000000-0005-0000-0000-00002FBF0000}"/>
    <cellStyle name="Normal 8 2 12 3 5 3" xfId="32379" xr:uid="{00000000-0005-0000-0000-000030BF0000}"/>
    <cellStyle name="Normal 8 2 12 3 5 4" xfId="22810" xr:uid="{00000000-0005-0000-0000-000031BF0000}"/>
    <cellStyle name="Normal 8 2 12 3 6" xfId="4133" xr:uid="{00000000-0005-0000-0000-000032BF0000}"/>
    <cellStyle name="Normal 8 2 12 3 6 2" xfId="51974" xr:uid="{00000000-0005-0000-0000-000033BF0000}"/>
    <cellStyle name="Normal 8 2 12 3 6 3" xfId="35874" xr:uid="{00000000-0005-0000-0000-000034BF0000}"/>
    <cellStyle name="Normal 8 2 12 3 6 4" xfId="16738" xr:uid="{00000000-0005-0000-0000-000035BF0000}"/>
    <cellStyle name="Normal 8 2 12 3 7" xfId="42407" xr:uid="{00000000-0005-0000-0000-000036BF0000}"/>
    <cellStyle name="Normal 8 2 12 3 8" xfId="26307" xr:uid="{00000000-0005-0000-0000-000037BF0000}"/>
    <cellStyle name="Normal 8 2 12 3 9" xfId="13243" xr:uid="{00000000-0005-0000-0000-000038BF0000}"/>
    <cellStyle name="Normal 8 2 12 4" xfId="2435" xr:uid="{00000000-0005-0000-0000-000039BF0000}"/>
    <cellStyle name="Normal 8 2 12 4 2" xfId="8967" xr:uid="{00000000-0005-0000-0000-00003ABF0000}"/>
    <cellStyle name="Normal 8 2 12 4 2 2" xfId="40708" xr:uid="{00000000-0005-0000-0000-00003BBF0000}"/>
    <cellStyle name="Normal 8 2 12 4 2 2 2" xfId="56808" xr:uid="{00000000-0005-0000-0000-00003CBF0000}"/>
    <cellStyle name="Normal 8 2 12 4 2 3" xfId="47241" xr:uid="{00000000-0005-0000-0000-00003DBF0000}"/>
    <cellStyle name="Normal 8 2 12 4 2 4" xfId="31141" xr:uid="{00000000-0005-0000-0000-00003EBF0000}"/>
    <cellStyle name="Normal 8 2 12 4 2 5" xfId="21572" xr:uid="{00000000-0005-0000-0000-00003FBF0000}"/>
    <cellStyle name="Normal 8 2 12 4 3" xfId="12003" xr:uid="{00000000-0005-0000-0000-000040BF0000}"/>
    <cellStyle name="Normal 8 2 12 4 3 2" xfId="50277" xr:uid="{00000000-0005-0000-0000-000041BF0000}"/>
    <cellStyle name="Normal 8 2 12 4 3 3" xfId="34177" xr:uid="{00000000-0005-0000-0000-000042BF0000}"/>
    <cellStyle name="Normal 8 2 12 4 3 4" xfId="24608" xr:uid="{00000000-0005-0000-0000-000043BF0000}"/>
    <cellStyle name="Normal 8 2 12 4 4" xfId="5931" xr:uid="{00000000-0005-0000-0000-000044BF0000}"/>
    <cellStyle name="Normal 8 2 12 4 4 2" xfId="53772" xr:uid="{00000000-0005-0000-0000-000045BF0000}"/>
    <cellStyle name="Normal 8 2 12 4 4 3" xfId="37672" xr:uid="{00000000-0005-0000-0000-000046BF0000}"/>
    <cellStyle name="Normal 8 2 12 4 4 4" xfId="18536" xr:uid="{00000000-0005-0000-0000-000047BF0000}"/>
    <cellStyle name="Normal 8 2 12 4 5" xfId="44205" xr:uid="{00000000-0005-0000-0000-000048BF0000}"/>
    <cellStyle name="Normal 8 2 12 4 6" xfId="28105" xr:uid="{00000000-0005-0000-0000-000049BF0000}"/>
    <cellStyle name="Normal 8 2 12 4 7" xfId="15041" xr:uid="{00000000-0005-0000-0000-00004ABF0000}"/>
    <cellStyle name="Normal 8 2 12 5" xfId="1104" xr:uid="{00000000-0005-0000-0000-00004BBF0000}"/>
    <cellStyle name="Normal 8 2 12 5 2" xfId="7638" xr:uid="{00000000-0005-0000-0000-00004CBF0000}"/>
    <cellStyle name="Normal 8 2 12 5 2 2" xfId="39379" xr:uid="{00000000-0005-0000-0000-00004DBF0000}"/>
    <cellStyle name="Normal 8 2 12 5 2 2 2" xfId="55479" xr:uid="{00000000-0005-0000-0000-00004EBF0000}"/>
    <cellStyle name="Normal 8 2 12 5 2 3" xfId="45912" xr:uid="{00000000-0005-0000-0000-00004FBF0000}"/>
    <cellStyle name="Normal 8 2 12 5 2 4" xfId="29812" xr:uid="{00000000-0005-0000-0000-000050BF0000}"/>
    <cellStyle name="Normal 8 2 12 5 2 5" xfId="20243" xr:uid="{00000000-0005-0000-0000-000051BF0000}"/>
    <cellStyle name="Normal 8 2 12 5 3" xfId="10674" xr:uid="{00000000-0005-0000-0000-000052BF0000}"/>
    <cellStyle name="Normal 8 2 12 5 3 2" xfId="48948" xr:uid="{00000000-0005-0000-0000-000053BF0000}"/>
    <cellStyle name="Normal 8 2 12 5 3 3" xfId="32848" xr:uid="{00000000-0005-0000-0000-000054BF0000}"/>
    <cellStyle name="Normal 8 2 12 5 3 4" xfId="23279" xr:uid="{00000000-0005-0000-0000-000055BF0000}"/>
    <cellStyle name="Normal 8 2 12 5 4" xfId="4602" xr:uid="{00000000-0005-0000-0000-000056BF0000}"/>
    <cellStyle name="Normal 8 2 12 5 4 2" xfId="52443" xr:uid="{00000000-0005-0000-0000-000057BF0000}"/>
    <cellStyle name="Normal 8 2 12 5 4 3" xfId="36343" xr:uid="{00000000-0005-0000-0000-000058BF0000}"/>
    <cellStyle name="Normal 8 2 12 5 4 4" xfId="17207" xr:uid="{00000000-0005-0000-0000-000059BF0000}"/>
    <cellStyle name="Normal 8 2 12 5 5" xfId="42876" xr:uid="{00000000-0005-0000-0000-00005ABF0000}"/>
    <cellStyle name="Normal 8 2 12 5 6" xfId="26776" xr:uid="{00000000-0005-0000-0000-00005BBF0000}"/>
    <cellStyle name="Normal 8 2 12 5 7" xfId="13712" xr:uid="{00000000-0005-0000-0000-00005CBF0000}"/>
    <cellStyle name="Normal 8 2 12 6" xfId="3592" xr:uid="{00000000-0005-0000-0000-00005DBF0000}"/>
    <cellStyle name="Normal 8 2 12 6 2" xfId="35333" xr:uid="{00000000-0005-0000-0000-00005EBF0000}"/>
    <cellStyle name="Normal 8 2 12 6 2 2" xfId="51433" xr:uid="{00000000-0005-0000-0000-00005FBF0000}"/>
    <cellStyle name="Normal 8 2 12 6 3" xfId="41866" xr:uid="{00000000-0005-0000-0000-000060BF0000}"/>
    <cellStyle name="Normal 8 2 12 6 4" xfId="25766" xr:uid="{00000000-0005-0000-0000-000061BF0000}"/>
    <cellStyle name="Normal 8 2 12 6 5" xfId="16197" xr:uid="{00000000-0005-0000-0000-000062BF0000}"/>
    <cellStyle name="Normal 8 2 12 7" xfId="6628" xr:uid="{00000000-0005-0000-0000-000063BF0000}"/>
    <cellStyle name="Normal 8 2 12 7 2" xfId="38369" xr:uid="{00000000-0005-0000-0000-000064BF0000}"/>
    <cellStyle name="Normal 8 2 12 7 2 2" xfId="54469" xr:uid="{00000000-0005-0000-0000-000065BF0000}"/>
    <cellStyle name="Normal 8 2 12 7 3" xfId="44902" xr:uid="{00000000-0005-0000-0000-000066BF0000}"/>
    <cellStyle name="Normal 8 2 12 7 4" xfId="28802" xr:uid="{00000000-0005-0000-0000-000067BF0000}"/>
    <cellStyle name="Normal 8 2 12 7 5" xfId="19233" xr:uid="{00000000-0005-0000-0000-000068BF0000}"/>
    <cellStyle name="Normal 8 2 12 8" xfId="9664" xr:uid="{00000000-0005-0000-0000-000069BF0000}"/>
    <cellStyle name="Normal 8 2 12 8 2" xfId="47938" xr:uid="{00000000-0005-0000-0000-00006ABF0000}"/>
    <cellStyle name="Normal 8 2 12 8 3" xfId="31838" xr:uid="{00000000-0005-0000-0000-00006BBF0000}"/>
    <cellStyle name="Normal 8 2 12 8 4" xfId="22269" xr:uid="{00000000-0005-0000-0000-00006CBF0000}"/>
    <cellStyle name="Normal 8 2 12 9" xfId="3132" xr:uid="{00000000-0005-0000-0000-00006DBF0000}"/>
    <cellStyle name="Normal 8 2 12 9 2" xfId="50974" xr:uid="{00000000-0005-0000-0000-00006EBF0000}"/>
    <cellStyle name="Normal 8 2 12 9 3" xfId="34874" xr:uid="{00000000-0005-0000-0000-00006FBF0000}"/>
    <cellStyle name="Normal 8 2 12 9 4" xfId="15738" xr:uid="{00000000-0005-0000-0000-000070BF0000}"/>
    <cellStyle name="Normal 8 2 13" xfId="511" xr:uid="{00000000-0005-0000-0000-000071BF0000}"/>
    <cellStyle name="Normal 8 2 13 10" xfId="25508" xr:uid="{00000000-0005-0000-0000-000072BF0000}"/>
    <cellStyle name="Normal 8 2 13 11" xfId="12888" xr:uid="{00000000-0005-0000-0000-000073BF0000}"/>
    <cellStyle name="Normal 8 2 13 2" xfId="963" xr:uid="{00000000-0005-0000-0000-000074BF0000}"/>
    <cellStyle name="Normal 8 2 13 2 2" xfId="2991" xr:uid="{00000000-0005-0000-0000-000075BF0000}"/>
    <cellStyle name="Normal 8 2 13 2 2 2" xfId="9523" xr:uid="{00000000-0005-0000-0000-000076BF0000}"/>
    <cellStyle name="Normal 8 2 13 2 2 2 2" xfId="41264" xr:uid="{00000000-0005-0000-0000-000077BF0000}"/>
    <cellStyle name="Normal 8 2 13 2 2 2 2 2" xfId="57364" xr:uid="{00000000-0005-0000-0000-000078BF0000}"/>
    <cellStyle name="Normal 8 2 13 2 2 2 3" xfId="47797" xr:uid="{00000000-0005-0000-0000-000079BF0000}"/>
    <cellStyle name="Normal 8 2 13 2 2 2 4" xfId="31697" xr:uid="{00000000-0005-0000-0000-00007ABF0000}"/>
    <cellStyle name="Normal 8 2 13 2 2 2 5" xfId="22128" xr:uid="{00000000-0005-0000-0000-00007BBF0000}"/>
    <cellStyle name="Normal 8 2 13 2 2 3" xfId="12559" xr:uid="{00000000-0005-0000-0000-00007CBF0000}"/>
    <cellStyle name="Normal 8 2 13 2 2 3 2" xfId="50833" xr:uid="{00000000-0005-0000-0000-00007DBF0000}"/>
    <cellStyle name="Normal 8 2 13 2 2 3 3" xfId="34733" xr:uid="{00000000-0005-0000-0000-00007EBF0000}"/>
    <cellStyle name="Normal 8 2 13 2 2 3 4" xfId="25164" xr:uid="{00000000-0005-0000-0000-00007FBF0000}"/>
    <cellStyle name="Normal 8 2 13 2 2 4" xfId="6487" xr:uid="{00000000-0005-0000-0000-000080BF0000}"/>
    <cellStyle name="Normal 8 2 13 2 2 4 2" xfId="54328" xr:uid="{00000000-0005-0000-0000-000081BF0000}"/>
    <cellStyle name="Normal 8 2 13 2 2 4 3" xfId="38228" xr:uid="{00000000-0005-0000-0000-000082BF0000}"/>
    <cellStyle name="Normal 8 2 13 2 2 4 4" xfId="19092" xr:uid="{00000000-0005-0000-0000-000083BF0000}"/>
    <cellStyle name="Normal 8 2 13 2 2 5" xfId="44761" xr:uid="{00000000-0005-0000-0000-000084BF0000}"/>
    <cellStyle name="Normal 8 2 13 2 2 6" xfId="28661" xr:uid="{00000000-0005-0000-0000-000085BF0000}"/>
    <cellStyle name="Normal 8 2 13 2 2 7" xfId="15597" xr:uid="{00000000-0005-0000-0000-000086BF0000}"/>
    <cellStyle name="Normal 8 2 13 2 3" xfId="1973" xr:uid="{00000000-0005-0000-0000-000087BF0000}"/>
    <cellStyle name="Normal 8 2 13 2 3 2" xfId="8507" xr:uid="{00000000-0005-0000-0000-000088BF0000}"/>
    <cellStyle name="Normal 8 2 13 2 3 2 2" xfId="40248" xr:uid="{00000000-0005-0000-0000-000089BF0000}"/>
    <cellStyle name="Normal 8 2 13 2 3 2 2 2" xfId="56348" xr:uid="{00000000-0005-0000-0000-00008ABF0000}"/>
    <cellStyle name="Normal 8 2 13 2 3 2 3" xfId="46781" xr:uid="{00000000-0005-0000-0000-00008BBF0000}"/>
    <cellStyle name="Normal 8 2 13 2 3 2 4" xfId="30681" xr:uid="{00000000-0005-0000-0000-00008CBF0000}"/>
    <cellStyle name="Normal 8 2 13 2 3 2 5" xfId="21112" xr:uid="{00000000-0005-0000-0000-00008DBF0000}"/>
    <cellStyle name="Normal 8 2 13 2 3 3" xfId="11543" xr:uid="{00000000-0005-0000-0000-00008EBF0000}"/>
    <cellStyle name="Normal 8 2 13 2 3 3 2" xfId="49817" xr:uid="{00000000-0005-0000-0000-00008FBF0000}"/>
    <cellStyle name="Normal 8 2 13 2 3 3 3" xfId="33717" xr:uid="{00000000-0005-0000-0000-000090BF0000}"/>
    <cellStyle name="Normal 8 2 13 2 3 3 4" xfId="24148" xr:uid="{00000000-0005-0000-0000-000091BF0000}"/>
    <cellStyle name="Normal 8 2 13 2 3 4" xfId="5471" xr:uid="{00000000-0005-0000-0000-000092BF0000}"/>
    <cellStyle name="Normal 8 2 13 2 3 4 2" xfId="53312" xr:uid="{00000000-0005-0000-0000-000093BF0000}"/>
    <cellStyle name="Normal 8 2 13 2 3 4 3" xfId="37212" xr:uid="{00000000-0005-0000-0000-000094BF0000}"/>
    <cellStyle name="Normal 8 2 13 2 3 4 4" xfId="18076" xr:uid="{00000000-0005-0000-0000-000095BF0000}"/>
    <cellStyle name="Normal 8 2 13 2 3 5" xfId="43745" xr:uid="{00000000-0005-0000-0000-000096BF0000}"/>
    <cellStyle name="Normal 8 2 13 2 3 6" xfId="27645" xr:uid="{00000000-0005-0000-0000-000097BF0000}"/>
    <cellStyle name="Normal 8 2 13 2 3 7" xfId="14581" xr:uid="{00000000-0005-0000-0000-000098BF0000}"/>
    <cellStyle name="Normal 8 2 13 2 4" xfId="7497" xr:uid="{00000000-0005-0000-0000-000099BF0000}"/>
    <cellStyle name="Normal 8 2 13 2 4 2" xfId="39238" xr:uid="{00000000-0005-0000-0000-00009ABF0000}"/>
    <cellStyle name="Normal 8 2 13 2 4 2 2" xfId="55338" xr:uid="{00000000-0005-0000-0000-00009BBF0000}"/>
    <cellStyle name="Normal 8 2 13 2 4 3" xfId="45771" xr:uid="{00000000-0005-0000-0000-00009CBF0000}"/>
    <cellStyle name="Normal 8 2 13 2 4 4" xfId="29671" xr:uid="{00000000-0005-0000-0000-00009DBF0000}"/>
    <cellStyle name="Normal 8 2 13 2 4 5" xfId="20102" xr:uid="{00000000-0005-0000-0000-00009EBF0000}"/>
    <cellStyle name="Normal 8 2 13 2 5" xfId="10533" xr:uid="{00000000-0005-0000-0000-00009FBF0000}"/>
    <cellStyle name="Normal 8 2 13 2 5 2" xfId="48807" xr:uid="{00000000-0005-0000-0000-0000A0BF0000}"/>
    <cellStyle name="Normal 8 2 13 2 5 3" xfId="32707" xr:uid="{00000000-0005-0000-0000-0000A1BF0000}"/>
    <cellStyle name="Normal 8 2 13 2 5 4" xfId="23138" xr:uid="{00000000-0005-0000-0000-0000A2BF0000}"/>
    <cellStyle name="Normal 8 2 13 2 6" xfId="4461" xr:uid="{00000000-0005-0000-0000-0000A3BF0000}"/>
    <cellStyle name="Normal 8 2 13 2 6 2" xfId="52302" xr:uid="{00000000-0005-0000-0000-0000A4BF0000}"/>
    <cellStyle name="Normal 8 2 13 2 6 3" xfId="36202" xr:uid="{00000000-0005-0000-0000-0000A5BF0000}"/>
    <cellStyle name="Normal 8 2 13 2 6 4" xfId="17066" xr:uid="{00000000-0005-0000-0000-0000A6BF0000}"/>
    <cellStyle name="Normal 8 2 13 2 7" xfId="42735" xr:uid="{00000000-0005-0000-0000-0000A7BF0000}"/>
    <cellStyle name="Normal 8 2 13 2 8" xfId="26635" xr:uid="{00000000-0005-0000-0000-0000A8BF0000}"/>
    <cellStyle name="Normal 8 2 13 2 9" xfId="13571" xr:uid="{00000000-0005-0000-0000-0000A9BF0000}"/>
    <cellStyle name="Normal 8 2 13 3" xfId="2541" xr:uid="{00000000-0005-0000-0000-0000AABF0000}"/>
    <cellStyle name="Normal 8 2 13 3 2" xfId="9073" xr:uid="{00000000-0005-0000-0000-0000ABBF0000}"/>
    <cellStyle name="Normal 8 2 13 3 2 2" xfId="40814" xr:uid="{00000000-0005-0000-0000-0000ACBF0000}"/>
    <cellStyle name="Normal 8 2 13 3 2 2 2" xfId="56914" xr:uid="{00000000-0005-0000-0000-0000ADBF0000}"/>
    <cellStyle name="Normal 8 2 13 3 2 3" xfId="47347" xr:uid="{00000000-0005-0000-0000-0000AEBF0000}"/>
    <cellStyle name="Normal 8 2 13 3 2 4" xfId="31247" xr:uid="{00000000-0005-0000-0000-0000AFBF0000}"/>
    <cellStyle name="Normal 8 2 13 3 2 5" xfId="21678" xr:uid="{00000000-0005-0000-0000-0000B0BF0000}"/>
    <cellStyle name="Normal 8 2 13 3 3" xfId="12109" xr:uid="{00000000-0005-0000-0000-0000B1BF0000}"/>
    <cellStyle name="Normal 8 2 13 3 3 2" xfId="50383" xr:uid="{00000000-0005-0000-0000-0000B2BF0000}"/>
    <cellStyle name="Normal 8 2 13 3 3 3" xfId="34283" xr:uid="{00000000-0005-0000-0000-0000B3BF0000}"/>
    <cellStyle name="Normal 8 2 13 3 3 4" xfId="24714" xr:uid="{00000000-0005-0000-0000-0000B4BF0000}"/>
    <cellStyle name="Normal 8 2 13 3 4" xfId="6037" xr:uid="{00000000-0005-0000-0000-0000B5BF0000}"/>
    <cellStyle name="Normal 8 2 13 3 4 2" xfId="53878" xr:uid="{00000000-0005-0000-0000-0000B6BF0000}"/>
    <cellStyle name="Normal 8 2 13 3 4 3" xfId="37778" xr:uid="{00000000-0005-0000-0000-0000B7BF0000}"/>
    <cellStyle name="Normal 8 2 13 3 4 4" xfId="18642" xr:uid="{00000000-0005-0000-0000-0000B8BF0000}"/>
    <cellStyle name="Normal 8 2 13 3 5" xfId="44311" xr:uid="{00000000-0005-0000-0000-0000B9BF0000}"/>
    <cellStyle name="Normal 8 2 13 3 6" xfId="28211" xr:uid="{00000000-0005-0000-0000-0000BABF0000}"/>
    <cellStyle name="Normal 8 2 13 3 7" xfId="15147" xr:uid="{00000000-0005-0000-0000-0000BBBF0000}"/>
    <cellStyle name="Normal 8 2 13 4" xfId="1290" xr:uid="{00000000-0005-0000-0000-0000BCBF0000}"/>
    <cellStyle name="Normal 8 2 13 4 2" xfId="7824" xr:uid="{00000000-0005-0000-0000-0000BDBF0000}"/>
    <cellStyle name="Normal 8 2 13 4 2 2" xfId="39565" xr:uid="{00000000-0005-0000-0000-0000BEBF0000}"/>
    <cellStyle name="Normal 8 2 13 4 2 2 2" xfId="55665" xr:uid="{00000000-0005-0000-0000-0000BFBF0000}"/>
    <cellStyle name="Normal 8 2 13 4 2 3" xfId="46098" xr:uid="{00000000-0005-0000-0000-0000C0BF0000}"/>
    <cellStyle name="Normal 8 2 13 4 2 4" xfId="29998" xr:uid="{00000000-0005-0000-0000-0000C1BF0000}"/>
    <cellStyle name="Normal 8 2 13 4 2 5" xfId="20429" xr:uid="{00000000-0005-0000-0000-0000C2BF0000}"/>
    <cellStyle name="Normal 8 2 13 4 3" xfId="10860" xr:uid="{00000000-0005-0000-0000-0000C3BF0000}"/>
    <cellStyle name="Normal 8 2 13 4 3 2" xfId="49134" xr:uid="{00000000-0005-0000-0000-0000C4BF0000}"/>
    <cellStyle name="Normal 8 2 13 4 3 3" xfId="33034" xr:uid="{00000000-0005-0000-0000-0000C5BF0000}"/>
    <cellStyle name="Normal 8 2 13 4 3 4" xfId="23465" xr:uid="{00000000-0005-0000-0000-0000C6BF0000}"/>
    <cellStyle name="Normal 8 2 13 4 4" xfId="4788" xr:uid="{00000000-0005-0000-0000-0000C7BF0000}"/>
    <cellStyle name="Normal 8 2 13 4 4 2" xfId="52629" xr:uid="{00000000-0005-0000-0000-0000C8BF0000}"/>
    <cellStyle name="Normal 8 2 13 4 4 3" xfId="36529" xr:uid="{00000000-0005-0000-0000-0000C9BF0000}"/>
    <cellStyle name="Normal 8 2 13 4 4 4" xfId="17393" xr:uid="{00000000-0005-0000-0000-0000CABF0000}"/>
    <cellStyle name="Normal 8 2 13 4 5" xfId="43062" xr:uid="{00000000-0005-0000-0000-0000CBBF0000}"/>
    <cellStyle name="Normal 8 2 13 4 6" xfId="26962" xr:uid="{00000000-0005-0000-0000-0000CCBF0000}"/>
    <cellStyle name="Normal 8 2 13 4 7" xfId="13898" xr:uid="{00000000-0005-0000-0000-0000CDBF0000}"/>
    <cellStyle name="Normal 8 2 13 5" xfId="3778" xr:uid="{00000000-0005-0000-0000-0000CEBF0000}"/>
    <cellStyle name="Normal 8 2 13 5 2" xfId="35519" xr:uid="{00000000-0005-0000-0000-0000CFBF0000}"/>
    <cellStyle name="Normal 8 2 13 5 2 2" xfId="51619" xr:uid="{00000000-0005-0000-0000-0000D0BF0000}"/>
    <cellStyle name="Normal 8 2 13 5 3" xfId="42052" xr:uid="{00000000-0005-0000-0000-0000D1BF0000}"/>
    <cellStyle name="Normal 8 2 13 5 4" xfId="25952" xr:uid="{00000000-0005-0000-0000-0000D2BF0000}"/>
    <cellStyle name="Normal 8 2 13 5 5" xfId="16383" xr:uid="{00000000-0005-0000-0000-0000D3BF0000}"/>
    <cellStyle name="Normal 8 2 13 6" xfId="6814" xr:uid="{00000000-0005-0000-0000-0000D4BF0000}"/>
    <cellStyle name="Normal 8 2 13 6 2" xfId="38555" xr:uid="{00000000-0005-0000-0000-0000D5BF0000}"/>
    <cellStyle name="Normal 8 2 13 6 2 2" xfId="54655" xr:uid="{00000000-0005-0000-0000-0000D6BF0000}"/>
    <cellStyle name="Normal 8 2 13 6 3" xfId="45088" xr:uid="{00000000-0005-0000-0000-0000D7BF0000}"/>
    <cellStyle name="Normal 8 2 13 6 4" xfId="28988" xr:uid="{00000000-0005-0000-0000-0000D8BF0000}"/>
    <cellStyle name="Normal 8 2 13 6 5" xfId="19419" xr:uid="{00000000-0005-0000-0000-0000D9BF0000}"/>
    <cellStyle name="Normal 8 2 13 7" xfId="9850" xr:uid="{00000000-0005-0000-0000-0000DABF0000}"/>
    <cellStyle name="Normal 8 2 13 7 2" xfId="48124" xr:uid="{00000000-0005-0000-0000-0000DBBF0000}"/>
    <cellStyle name="Normal 8 2 13 7 3" xfId="32024" xr:uid="{00000000-0005-0000-0000-0000DCBF0000}"/>
    <cellStyle name="Normal 8 2 13 7 4" xfId="22455" xr:uid="{00000000-0005-0000-0000-0000DDBF0000}"/>
    <cellStyle name="Normal 8 2 13 8" xfId="3334" xr:uid="{00000000-0005-0000-0000-0000DEBF0000}"/>
    <cellStyle name="Normal 8 2 13 8 2" xfId="51175" xr:uid="{00000000-0005-0000-0000-0000DFBF0000}"/>
    <cellStyle name="Normal 8 2 13 8 3" xfId="35075" xr:uid="{00000000-0005-0000-0000-0000E0BF0000}"/>
    <cellStyle name="Normal 8 2 13 8 4" xfId="15939" xr:uid="{00000000-0005-0000-0000-0000E1BF0000}"/>
    <cellStyle name="Normal 8 2 13 9" xfId="41608" xr:uid="{00000000-0005-0000-0000-0000E2BF0000}"/>
    <cellStyle name="Normal 8 2 14" xfId="741" xr:uid="{00000000-0005-0000-0000-0000E3BF0000}"/>
    <cellStyle name="Normal 8 2 14 2" xfId="2769" xr:uid="{00000000-0005-0000-0000-0000E4BF0000}"/>
    <cellStyle name="Normal 8 2 14 2 2" xfId="9301" xr:uid="{00000000-0005-0000-0000-0000E5BF0000}"/>
    <cellStyle name="Normal 8 2 14 2 2 2" xfId="41042" xr:uid="{00000000-0005-0000-0000-0000E6BF0000}"/>
    <cellStyle name="Normal 8 2 14 2 2 2 2" xfId="57142" xr:uid="{00000000-0005-0000-0000-0000E7BF0000}"/>
    <cellStyle name="Normal 8 2 14 2 2 3" xfId="47575" xr:uid="{00000000-0005-0000-0000-0000E8BF0000}"/>
    <cellStyle name="Normal 8 2 14 2 2 4" xfId="31475" xr:uid="{00000000-0005-0000-0000-0000E9BF0000}"/>
    <cellStyle name="Normal 8 2 14 2 2 5" xfId="21906" xr:uid="{00000000-0005-0000-0000-0000EABF0000}"/>
    <cellStyle name="Normal 8 2 14 2 3" xfId="12337" xr:uid="{00000000-0005-0000-0000-0000EBBF0000}"/>
    <cellStyle name="Normal 8 2 14 2 3 2" xfId="50611" xr:uid="{00000000-0005-0000-0000-0000ECBF0000}"/>
    <cellStyle name="Normal 8 2 14 2 3 3" xfId="34511" xr:uid="{00000000-0005-0000-0000-0000EDBF0000}"/>
    <cellStyle name="Normal 8 2 14 2 3 4" xfId="24942" xr:uid="{00000000-0005-0000-0000-0000EEBF0000}"/>
    <cellStyle name="Normal 8 2 14 2 4" xfId="6265" xr:uid="{00000000-0005-0000-0000-0000EFBF0000}"/>
    <cellStyle name="Normal 8 2 14 2 4 2" xfId="54106" xr:uid="{00000000-0005-0000-0000-0000F0BF0000}"/>
    <cellStyle name="Normal 8 2 14 2 4 3" xfId="38006" xr:uid="{00000000-0005-0000-0000-0000F1BF0000}"/>
    <cellStyle name="Normal 8 2 14 2 4 4" xfId="18870" xr:uid="{00000000-0005-0000-0000-0000F2BF0000}"/>
    <cellStyle name="Normal 8 2 14 2 5" xfId="44539" xr:uid="{00000000-0005-0000-0000-0000F3BF0000}"/>
    <cellStyle name="Normal 8 2 14 2 6" xfId="28439" xr:uid="{00000000-0005-0000-0000-0000F4BF0000}"/>
    <cellStyle name="Normal 8 2 14 2 7" xfId="15375" xr:uid="{00000000-0005-0000-0000-0000F5BF0000}"/>
    <cellStyle name="Normal 8 2 14 3" xfId="1751" xr:uid="{00000000-0005-0000-0000-0000F6BF0000}"/>
    <cellStyle name="Normal 8 2 14 3 2" xfId="8285" xr:uid="{00000000-0005-0000-0000-0000F7BF0000}"/>
    <cellStyle name="Normal 8 2 14 3 2 2" xfId="40026" xr:uid="{00000000-0005-0000-0000-0000F8BF0000}"/>
    <cellStyle name="Normal 8 2 14 3 2 2 2" xfId="56126" xr:uid="{00000000-0005-0000-0000-0000F9BF0000}"/>
    <cellStyle name="Normal 8 2 14 3 2 3" xfId="46559" xr:uid="{00000000-0005-0000-0000-0000FABF0000}"/>
    <cellStyle name="Normal 8 2 14 3 2 4" xfId="30459" xr:uid="{00000000-0005-0000-0000-0000FBBF0000}"/>
    <cellStyle name="Normal 8 2 14 3 2 5" xfId="20890" xr:uid="{00000000-0005-0000-0000-0000FCBF0000}"/>
    <cellStyle name="Normal 8 2 14 3 3" xfId="11321" xr:uid="{00000000-0005-0000-0000-0000FDBF0000}"/>
    <cellStyle name="Normal 8 2 14 3 3 2" xfId="49595" xr:uid="{00000000-0005-0000-0000-0000FEBF0000}"/>
    <cellStyle name="Normal 8 2 14 3 3 3" xfId="33495" xr:uid="{00000000-0005-0000-0000-0000FFBF0000}"/>
    <cellStyle name="Normal 8 2 14 3 3 4" xfId="23926" xr:uid="{00000000-0005-0000-0000-000000C00000}"/>
    <cellStyle name="Normal 8 2 14 3 4" xfId="5249" xr:uid="{00000000-0005-0000-0000-000001C00000}"/>
    <cellStyle name="Normal 8 2 14 3 4 2" xfId="53090" xr:uid="{00000000-0005-0000-0000-000002C00000}"/>
    <cellStyle name="Normal 8 2 14 3 4 3" xfId="36990" xr:uid="{00000000-0005-0000-0000-000003C00000}"/>
    <cellStyle name="Normal 8 2 14 3 4 4" xfId="17854" xr:uid="{00000000-0005-0000-0000-000004C00000}"/>
    <cellStyle name="Normal 8 2 14 3 5" xfId="43523" xr:uid="{00000000-0005-0000-0000-000005C00000}"/>
    <cellStyle name="Normal 8 2 14 3 6" xfId="27423" xr:uid="{00000000-0005-0000-0000-000006C00000}"/>
    <cellStyle name="Normal 8 2 14 3 7" xfId="14359" xr:uid="{00000000-0005-0000-0000-000007C00000}"/>
    <cellStyle name="Normal 8 2 14 4" xfId="7275" xr:uid="{00000000-0005-0000-0000-000008C00000}"/>
    <cellStyle name="Normal 8 2 14 4 2" xfId="39016" xr:uid="{00000000-0005-0000-0000-000009C00000}"/>
    <cellStyle name="Normal 8 2 14 4 2 2" xfId="55116" xr:uid="{00000000-0005-0000-0000-00000AC00000}"/>
    <cellStyle name="Normal 8 2 14 4 3" xfId="45549" xr:uid="{00000000-0005-0000-0000-00000BC00000}"/>
    <cellStyle name="Normal 8 2 14 4 4" xfId="29449" xr:uid="{00000000-0005-0000-0000-00000CC00000}"/>
    <cellStyle name="Normal 8 2 14 4 5" xfId="19880" xr:uid="{00000000-0005-0000-0000-00000DC00000}"/>
    <cellStyle name="Normal 8 2 14 5" xfId="10311" xr:uid="{00000000-0005-0000-0000-00000EC00000}"/>
    <cellStyle name="Normal 8 2 14 5 2" xfId="48585" xr:uid="{00000000-0005-0000-0000-00000FC00000}"/>
    <cellStyle name="Normal 8 2 14 5 3" xfId="32485" xr:uid="{00000000-0005-0000-0000-000010C00000}"/>
    <cellStyle name="Normal 8 2 14 5 4" xfId="22916" xr:uid="{00000000-0005-0000-0000-000011C00000}"/>
    <cellStyle name="Normal 8 2 14 6" xfId="4239" xr:uid="{00000000-0005-0000-0000-000012C00000}"/>
    <cellStyle name="Normal 8 2 14 6 2" xfId="52080" xr:uid="{00000000-0005-0000-0000-000013C00000}"/>
    <cellStyle name="Normal 8 2 14 6 3" xfId="35980" xr:uid="{00000000-0005-0000-0000-000014C00000}"/>
    <cellStyle name="Normal 8 2 14 6 4" xfId="16844" xr:uid="{00000000-0005-0000-0000-000015C00000}"/>
    <cellStyle name="Normal 8 2 14 7" xfId="42513" xr:uid="{00000000-0005-0000-0000-000016C00000}"/>
    <cellStyle name="Normal 8 2 14 8" xfId="26413" xr:uid="{00000000-0005-0000-0000-000017C00000}"/>
    <cellStyle name="Normal 8 2 14 9" xfId="13349" xr:uid="{00000000-0005-0000-0000-000018C00000}"/>
    <cellStyle name="Normal 8 2 15" xfId="2078" xr:uid="{00000000-0005-0000-0000-000019C00000}"/>
    <cellStyle name="Normal 8 2 15 2" xfId="8612" xr:uid="{00000000-0005-0000-0000-00001AC00000}"/>
    <cellStyle name="Normal 8 2 15 2 2" xfId="40353" xr:uid="{00000000-0005-0000-0000-00001BC00000}"/>
    <cellStyle name="Normal 8 2 15 2 2 2" xfId="56453" xr:uid="{00000000-0005-0000-0000-00001CC00000}"/>
    <cellStyle name="Normal 8 2 15 2 3" xfId="46886" xr:uid="{00000000-0005-0000-0000-00001DC00000}"/>
    <cellStyle name="Normal 8 2 15 2 4" xfId="30786" xr:uid="{00000000-0005-0000-0000-00001EC00000}"/>
    <cellStyle name="Normal 8 2 15 2 5" xfId="21217" xr:uid="{00000000-0005-0000-0000-00001FC00000}"/>
    <cellStyle name="Normal 8 2 15 3" xfId="11648" xr:uid="{00000000-0005-0000-0000-000020C00000}"/>
    <cellStyle name="Normal 8 2 15 3 2" xfId="49922" xr:uid="{00000000-0005-0000-0000-000021C00000}"/>
    <cellStyle name="Normal 8 2 15 3 3" xfId="33822" xr:uid="{00000000-0005-0000-0000-000022C00000}"/>
    <cellStyle name="Normal 8 2 15 3 4" xfId="24253" xr:uid="{00000000-0005-0000-0000-000023C00000}"/>
    <cellStyle name="Normal 8 2 15 4" xfId="5576" xr:uid="{00000000-0005-0000-0000-000024C00000}"/>
    <cellStyle name="Normal 8 2 15 4 2" xfId="53417" xr:uid="{00000000-0005-0000-0000-000025C00000}"/>
    <cellStyle name="Normal 8 2 15 4 3" xfId="37317" xr:uid="{00000000-0005-0000-0000-000026C00000}"/>
    <cellStyle name="Normal 8 2 15 4 4" xfId="18181" xr:uid="{00000000-0005-0000-0000-000027C00000}"/>
    <cellStyle name="Normal 8 2 15 5" xfId="43850" xr:uid="{00000000-0005-0000-0000-000028C00000}"/>
    <cellStyle name="Normal 8 2 15 6" xfId="27750" xr:uid="{00000000-0005-0000-0000-000029C00000}"/>
    <cellStyle name="Normal 8 2 15 7" xfId="14686" xr:uid="{00000000-0005-0000-0000-00002AC00000}"/>
    <cellStyle name="Normal 8 2 16" xfId="1068" xr:uid="{00000000-0005-0000-0000-00002BC00000}"/>
    <cellStyle name="Normal 8 2 16 2" xfId="7602" xr:uid="{00000000-0005-0000-0000-00002CC00000}"/>
    <cellStyle name="Normal 8 2 16 2 2" xfId="39343" xr:uid="{00000000-0005-0000-0000-00002DC00000}"/>
    <cellStyle name="Normal 8 2 16 2 2 2" xfId="55443" xr:uid="{00000000-0005-0000-0000-00002EC00000}"/>
    <cellStyle name="Normal 8 2 16 2 3" xfId="45876" xr:uid="{00000000-0005-0000-0000-00002FC00000}"/>
    <cellStyle name="Normal 8 2 16 2 4" xfId="29776" xr:uid="{00000000-0005-0000-0000-000030C00000}"/>
    <cellStyle name="Normal 8 2 16 2 5" xfId="20207" xr:uid="{00000000-0005-0000-0000-000031C00000}"/>
    <cellStyle name="Normal 8 2 16 3" xfId="10638" xr:uid="{00000000-0005-0000-0000-000032C00000}"/>
    <cellStyle name="Normal 8 2 16 3 2" xfId="48912" xr:uid="{00000000-0005-0000-0000-000033C00000}"/>
    <cellStyle name="Normal 8 2 16 3 3" xfId="32812" xr:uid="{00000000-0005-0000-0000-000034C00000}"/>
    <cellStyle name="Normal 8 2 16 3 4" xfId="23243" xr:uid="{00000000-0005-0000-0000-000035C00000}"/>
    <cellStyle name="Normal 8 2 16 4" xfId="4566" xr:uid="{00000000-0005-0000-0000-000036C00000}"/>
    <cellStyle name="Normal 8 2 16 4 2" xfId="52407" xr:uid="{00000000-0005-0000-0000-000037C00000}"/>
    <cellStyle name="Normal 8 2 16 4 3" xfId="36307" xr:uid="{00000000-0005-0000-0000-000038C00000}"/>
    <cellStyle name="Normal 8 2 16 4 4" xfId="17171" xr:uid="{00000000-0005-0000-0000-000039C00000}"/>
    <cellStyle name="Normal 8 2 16 5" xfId="42840" xr:uid="{00000000-0005-0000-0000-00003AC00000}"/>
    <cellStyle name="Normal 8 2 16 6" xfId="26740" xr:uid="{00000000-0005-0000-0000-00003BC00000}"/>
    <cellStyle name="Normal 8 2 16 7" xfId="13676" xr:uid="{00000000-0005-0000-0000-00003CC00000}"/>
    <cellStyle name="Normal 8 2 17" xfId="3556" xr:uid="{00000000-0005-0000-0000-00003DC00000}"/>
    <cellStyle name="Normal 8 2 17 2" xfId="35297" xr:uid="{00000000-0005-0000-0000-00003EC00000}"/>
    <cellStyle name="Normal 8 2 17 2 2" xfId="51397" xr:uid="{00000000-0005-0000-0000-00003FC00000}"/>
    <cellStyle name="Normal 8 2 17 3" xfId="41830" xr:uid="{00000000-0005-0000-0000-000040C00000}"/>
    <cellStyle name="Normal 8 2 17 4" xfId="25730" xr:uid="{00000000-0005-0000-0000-000041C00000}"/>
    <cellStyle name="Normal 8 2 17 5" xfId="16161" xr:uid="{00000000-0005-0000-0000-000042C00000}"/>
    <cellStyle name="Normal 8 2 18" xfId="6592" xr:uid="{00000000-0005-0000-0000-000043C00000}"/>
    <cellStyle name="Normal 8 2 18 2" xfId="38333" xr:uid="{00000000-0005-0000-0000-000044C00000}"/>
    <cellStyle name="Normal 8 2 18 2 2" xfId="54433" xr:uid="{00000000-0005-0000-0000-000045C00000}"/>
    <cellStyle name="Normal 8 2 18 3" xfId="44866" xr:uid="{00000000-0005-0000-0000-000046C00000}"/>
    <cellStyle name="Normal 8 2 18 4" xfId="28766" xr:uid="{00000000-0005-0000-0000-000047C00000}"/>
    <cellStyle name="Normal 8 2 18 5" xfId="19197" xr:uid="{00000000-0005-0000-0000-000048C00000}"/>
    <cellStyle name="Normal 8 2 19" xfId="9628" xr:uid="{00000000-0005-0000-0000-000049C00000}"/>
    <cellStyle name="Normal 8 2 19 2" xfId="47902" xr:uid="{00000000-0005-0000-0000-00004AC00000}"/>
    <cellStyle name="Normal 8 2 19 3" xfId="31802" xr:uid="{00000000-0005-0000-0000-00004BC00000}"/>
    <cellStyle name="Normal 8 2 19 4" xfId="22233" xr:uid="{00000000-0005-0000-0000-00004CC00000}"/>
    <cellStyle name="Normal 8 2 2" xfId="73" xr:uid="{00000000-0005-0000-0000-00004DC00000}"/>
    <cellStyle name="Normal 8 2 2 10" xfId="3574" xr:uid="{00000000-0005-0000-0000-00004EC00000}"/>
    <cellStyle name="Normal 8 2 2 10 2" xfId="35315" xr:uid="{00000000-0005-0000-0000-00004FC00000}"/>
    <cellStyle name="Normal 8 2 2 10 2 2" xfId="51415" xr:uid="{00000000-0005-0000-0000-000050C00000}"/>
    <cellStyle name="Normal 8 2 2 10 3" xfId="41848" xr:uid="{00000000-0005-0000-0000-000051C00000}"/>
    <cellStyle name="Normal 8 2 2 10 4" xfId="25748" xr:uid="{00000000-0005-0000-0000-000052C00000}"/>
    <cellStyle name="Normal 8 2 2 10 5" xfId="16179" xr:uid="{00000000-0005-0000-0000-000053C00000}"/>
    <cellStyle name="Normal 8 2 2 11" xfId="6610" xr:uid="{00000000-0005-0000-0000-000054C00000}"/>
    <cellStyle name="Normal 8 2 2 11 2" xfId="38351" xr:uid="{00000000-0005-0000-0000-000055C00000}"/>
    <cellStyle name="Normal 8 2 2 11 2 2" xfId="54451" xr:uid="{00000000-0005-0000-0000-000056C00000}"/>
    <cellStyle name="Normal 8 2 2 11 3" xfId="44884" xr:uid="{00000000-0005-0000-0000-000057C00000}"/>
    <cellStyle name="Normal 8 2 2 11 4" xfId="28784" xr:uid="{00000000-0005-0000-0000-000058C00000}"/>
    <cellStyle name="Normal 8 2 2 11 5" xfId="19215" xr:uid="{00000000-0005-0000-0000-000059C00000}"/>
    <cellStyle name="Normal 8 2 2 12" xfId="9646" xr:uid="{00000000-0005-0000-0000-00005AC00000}"/>
    <cellStyle name="Normal 8 2 2 12 2" xfId="47920" xr:uid="{00000000-0005-0000-0000-00005BC00000}"/>
    <cellStyle name="Normal 8 2 2 12 3" xfId="31820" xr:uid="{00000000-0005-0000-0000-00005CC00000}"/>
    <cellStyle name="Normal 8 2 2 12 4" xfId="22251" xr:uid="{00000000-0005-0000-0000-00005DC00000}"/>
    <cellStyle name="Normal 8 2 2 13" xfId="3114" xr:uid="{00000000-0005-0000-0000-00005EC00000}"/>
    <cellStyle name="Normal 8 2 2 13 2" xfId="50956" xr:uid="{00000000-0005-0000-0000-00005FC00000}"/>
    <cellStyle name="Normal 8 2 2 13 3" xfId="34856" xr:uid="{00000000-0005-0000-0000-000060C00000}"/>
    <cellStyle name="Normal 8 2 2 13 4" xfId="15720" xr:uid="{00000000-0005-0000-0000-000061C00000}"/>
    <cellStyle name="Normal 8 2 2 14" xfId="41389" xr:uid="{00000000-0005-0000-0000-000062C00000}"/>
    <cellStyle name="Normal 8 2 2 15" xfId="25289" xr:uid="{00000000-0005-0000-0000-000063C00000}"/>
    <cellStyle name="Normal 8 2 2 16" xfId="12684" xr:uid="{00000000-0005-0000-0000-000064C00000}"/>
    <cellStyle name="Normal 8 2 2 2" xfId="144" xr:uid="{00000000-0005-0000-0000-000065C00000}"/>
    <cellStyle name="Normal 8 2 2 2 10" xfId="9698" xr:uid="{00000000-0005-0000-0000-000066C00000}"/>
    <cellStyle name="Normal 8 2 2 2 10 2" xfId="47972" xr:uid="{00000000-0005-0000-0000-000067C00000}"/>
    <cellStyle name="Normal 8 2 2 2 10 3" xfId="31872" xr:uid="{00000000-0005-0000-0000-000068C00000}"/>
    <cellStyle name="Normal 8 2 2 2 10 4" xfId="22303" xr:uid="{00000000-0005-0000-0000-000069C00000}"/>
    <cellStyle name="Normal 8 2 2 2 11" xfId="3166" xr:uid="{00000000-0005-0000-0000-00006AC00000}"/>
    <cellStyle name="Normal 8 2 2 2 11 2" xfId="51008" xr:uid="{00000000-0005-0000-0000-00006BC00000}"/>
    <cellStyle name="Normal 8 2 2 2 11 3" xfId="34908" xr:uid="{00000000-0005-0000-0000-00006CC00000}"/>
    <cellStyle name="Normal 8 2 2 2 11 4" xfId="15772" xr:uid="{00000000-0005-0000-0000-00006DC00000}"/>
    <cellStyle name="Normal 8 2 2 2 12" xfId="41441" xr:uid="{00000000-0005-0000-0000-00006EC00000}"/>
    <cellStyle name="Normal 8 2 2 2 13" xfId="25341" xr:uid="{00000000-0005-0000-0000-00006FC00000}"/>
    <cellStyle name="Normal 8 2 2 2 14" xfId="12736" xr:uid="{00000000-0005-0000-0000-000070C00000}"/>
    <cellStyle name="Normal 8 2 2 2 2" xfId="219" xr:uid="{00000000-0005-0000-0000-000071C00000}"/>
    <cellStyle name="Normal 8 2 2 2 2 10" xfId="41678" xr:uid="{00000000-0005-0000-0000-000072C00000}"/>
    <cellStyle name="Normal 8 2 2 2 2 11" xfId="25578" xr:uid="{00000000-0005-0000-0000-000073C00000}"/>
    <cellStyle name="Normal 8 2 2 2 2 12" xfId="13048" xr:uid="{00000000-0005-0000-0000-000074C00000}"/>
    <cellStyle name="Normal 8 2 2 2 2 2" xfId="396" xr:uid="{00000000-0005-0000-0000-000075C00000}"/>
    <cellStyle name="Normal 8 2 2 2 2 2 2" xfId="2415" xr:uid="{00000000-0005-0000-0000-000076C00000}"/>
    <cellStyle name="Normal 8 2 2 2 2 2 2 2" xfId="8949" xr:uid="{00000000-0005-0000-0000-000077C00000}"/>
    <cellStyle name="Normal 8 2 2 2 2 2 2 2 2" xfId="40690" xr:uid="{00000000-0005-0000-0000-000078C00000}"/>
    <cellStyle name="Normal 8 2 2 2 2 2 2 2 2 2" xfId="56790" xr:uid="{00000000-0005-0000-0000-000079C00000}"/>
    <cellStyle name="Normal 8 2 2 2 2 2 2 2 3" xfId="47223" xr:uid="{00000000-0005-0000-0000-00007AC00000}"/>
    <cellStyle name="Normal 8 2 2 2 2 2 2 2 4" xfId="31123" xr:uid="{00000000-0005-0000-0000-00007BC00000}"/>
    <cellStyle name="Normal 8 2 2 2 2 2 2 2 5" xfId="21554" xr:uid="{00000000-0005-0000-0000-00007CC00000}"/>
    <cellStyle name="Normal 8 2 2 2 2 2 2 3" xfId="11985" xr:uid="{00000000-0005-0000-0000-00007DC00000}"/>
    <cellStyle name="Normal 8 2 2 2 2 2 2 3 2" xfId="50259" xr:uid="{00000000-0005-0000-0000-00007EC00000}"/>
    <cellStyle name="Normal 8 2 2 2 2 2 2 3 3" xfId="34159" xr:uid="{00000000-0005-0000-0000-00007FC00000}"/>
    <cellStyle name="Normal 8 2 2 2 2 2 2 3 4" xfId="24590" xr:uid="{00000000-0005-0000-0000-000080C00000}"/>
    <cellStyle name="Normal 8 2 2 2 2 2 2 4" xfId="5913" xr:uid="{00000000-0005-0000-0000-000081C00000}"/>
    <cellStyle name="Normal 8 2 2 2 2 2 2 4 2" xfId="53754" xr:uid="{00000000-0005-0000-0000-000082C00000}"/>
    <cellStyle name="Normal 8 2 2 2 2 2 2 4 3" xfId="37654" xr:uid="{00000000-0005-0000-0000-000083C00000}"/>
    <cellStyle name="Normal 8 2 2 2 2 2 2 4 4" xfId="18518" xr:uid="{00000000-0005-0000-0000-000084C00000}"/>
    <cellStyle name="Normal 8 2 2 2 2 2 2 5" xfId="44187" xr:uid="{00000000-0005-0000-0000-000085C00000}"/>
    <cellStyle name="Normal 8 2 2 2 2 2 2 6" xfId="28087" xr:uid="{00000000-0005-0000-0000-000086C00000}"/>
    <cellStyle name="Normal 8 2 2 2 2 2 2 7" xfId="15023" xr:uid="{00000000-0005-0000-0000-000087C00000}"/>
    <cellStyle name="Normal 8 2 2 2 2 2 3" xfId="1627" xr:uid="{00000000-0005-0000-0000-000088C00000}"/>
    <cellStyle name="Normal 8 2 2 2 2 2 3 2" xfId="8161" xr:uid="{00000000-0005-0000-0000-000089C00000}"/>
    <cellStyle name="Normal 8 2 2 2 2 2 3 2 2" xfId="39902" xr:uid="{00000000-0005-0000-0000-00008AC00000}"/>
    <cellStyle name="Normal 8 2 2 2 2 2 3 2 2 2" xfId="56002" xr:uid="{00000000-0005-0000-0000-00008BC00000}"/>
    <cellStyle name="Normal 8 2 2 2 2 2 3 2 3" xfId="46435" xr:uid="{00000000-0005-0000-0000-00008CC00000}"/>
    <cellStyle name="Normal 8 2 2 2 2 2 3 2 4" xfId="30335" xr:uid="{00000000-0005-0000-0000-00008DC00000}"/>
    <cellStyle name="Normal 8 2 2 2 2 2 3 2 5" xfId="20766" xr:uid="{00000000-0005-0000-0000-00008EC00000}"/>
    <cellStyle name="Normal 8 2 2 2 2 2 3 3" xfId="11197" xr:uid="{00000000-0005-0000-0000-00008FC00000}"/>
    <cellStyle name="Normal 8 2 2 2 2 2 3 3 2" xfId="49471" xr:uid="{00000000-0005-0000-0000-000090C00000}"/>
    <cellStyle name="Normal 8 2 2 2 2 2 3 3 3" xfId="33371" xr:uid="{00000000-0005-0000-0000-000091C00000}"/>
    <cellStyle name="Normal 8 2 2 2 2 2 3 3 4" xfId="23802" xr:uid="{00000000-0005-0000-0000-000092C00000}"/>
    <cellStyle name="Normal 8 2 2 2 2 2 3 4" xfId="5125" xr:uid="{00000000-0005-0000-0000-000093C00000}"/>
    <cellStyle name="Normal 8 2 2 2 2 2 3 4 2" xfId="52966" xr:uid="{00000000-0005-0000-0000-000094C00000}"/>
    <cellStyle name="Normal 8 2 2 2 2 2 3 4 3" xfId="36866" xr:uid="{00000000-0005-0000-0000-000095C00000}"/>
    <cellStyle name="Normal 8 2 2 2 2 2 3 4 4" xfId="17730" xr:uid="{00000000-0005-0000-0000-000096C00000}"/>
    <cellStyle name="Normal 8 2 2 2 2 2 3 5" xfId="43399" xr:uid="{00000000-0005-0000-0000-000097C00000}"/>
    <cellStyle name="Normal 8 2 2 2 2 2 3 6" xfId="27299" xr:uid="{00000000-0005-0000-0000-000098C00000}"/>
    <cellStyle name="Normal 8 2 2 2 2 2 3 7" xfId="14235" xr:uid="{00000000-0005-0000-0000-000099C00000}"/>
    <cellStyle name="Normal 8 2 2 2 2 2 4" xfId="7151" xr:uid="{00000000-0005-0000-0000-00009AC00000}"/>
    <cellStyle name="Normal 8 2 2 2 2 2 4 2" xfId="38892" xr:uid="{00000000-0005-0000-0000-00009BC00000}"/>
    <cellStyle name="Normal 8 2 2 2 2 2 4 2 2" xfId="54992" xr:uid="{00000000-0005-0000-0000-00009CC00000}"/>
    <cellStyle name="Normal 8 2 2 2 2 2 4 3" xfId="45425" xr:uid="{00000000-0005-0000-0000-00009DC00000}"/>
    <cellStyle name="Normal 8 2 2 2 2 2 4 4" xfId="29325" xr:uid="{00000000-0005-0000-0000-00009EC00000}"/>
    <cellStyle name="Normal 8 2 2 2 2 2 4 5" xfId="19756" xr:uid="{00000000-0005-0000-0000-00009FC00000}"/>
    <cellStyle name="Normal 8 2 2 2 2 2 5" xfId="10187" xr:uid="{00000000-0005-0000-0000-0000A0C00000}"/>
    <cellStyle name="Normal 8 2 2 2 2 2 5 2" xfId="48461" xr:uid="{00000000-0005-0000-0000-0000A1C00000}"/>
    <cellStyle name="Normal 8 2 2 2 2 2 5 3" xfId="32361" xr:uid="{00000000-0005-0000-0000-0000A2C00000}"/>
    <cellStyle name="Normal 8 2 2 2 2 2 5 4" xfId="22792" xr:uid="{00000000-0005-0000-0000-0000A3C00000}"/>
    <cellStyle name="Normal 8 2 2 2 2 2 6" xfId="4115" xr:uid="{00000000-0005-0000-0000-0000A4C00000}"/>
    <cellStyle name="Normal 8 2 2 2 2 2 6 2" xfId="51956" xr:uid="{00000000-0005-0000-0000-0000A5C00000}"/>
    <cellStyle name="Normal 8 2 2 2 2 2 6 3" xfId="35856" xr:uid="{00000000-0005-0000-0000-0000A6C00000}"/>
    <cellStyle name="Normal 8 2 2 2 2 2 6 4" xfId="16720" xr:uid="{00000000-0005-0000-0000-0000A7C00000}"/>
    <cellStyle name="Normal 8 2 2 2 2 2 7" xfId="42389" xr:uid="{00000000-0005-0000-0000-0000A8C00000}"/>
    <cellStyle name="Normal 8 2 2 2 2 2 8" xfId="26289" xr:uid="{00000000-0005-0000-0000-0000A9C00000}"/>
    <cellStyle name="Normal 8 2 2 2 2 2 9" xfId="13225" xr:uid="{00000000-0005-0000-0000-0000AAC00000}"/>
    <cellStyle name="Normal 8 2 2 2 2 3" xfId="1034" xr:uid="{00000000-0005-0000-0000-0000ABC00000}"/>
    <cellStyle name="Normal 8 2 2 2 2 3 2" xfId="3062" xr:uid="{00000000-0005-0000-0000-0000ACC00000}"/>
    <cellStyle name="Normal 8 2 2 2 2 3 2 2" xfId="9594" xr:uid="{00000000-0005-0000-0000-0000ADC00000}"/>
    <cellStyle name="Normal 8 2 2 2 2 3 2 2 2" xfId="41335" xr:uid="{00000000-0005-0000-0000-0000AEC00000}"/>
    <cellStyle name="Normal 8 2 2 2 2 3 2 2 2 2" xfId="57435" xr:uid="{00000000-0005-0000-0000-0000AFC00000}"/>
    <cellStyle name="Normal 8 2 2 2 2 3 2 2 3" xfId="47868" xr:uid="{00000000-0005-0000-0000-0000B0C00000}"/>
    <cellStyle name="Normal 8 2 2 2 2 3 2 2 4" xfId="31768" xr:uid="{00000000-0005-0000-0000-0000B1C00000}"/>
    <cellStyle name="Normal 8 2 2 2 2 3 2 2 5" xfId="22199" xr:uid="{00000000-0005-0000-0000-0000B2C00000}"/>
    <cellStyle name="Normal 8 2 2 2 2 3 2 3" xfId="12630" xr:uid="{00000000-0005-0000-0000-0000B3C00000}"/>
    <cellStyle name="Normal 8 2 2 2 2 3 2 3 2" xfId="50904" xr:uid="{00000000-0005-0000-0000-0000B4C00000}"/>
    <cellStyle name="Normal 8 2 2 2 2 3 2 3 3" xfId="34804" xr:uid="{00000000-0005-0000-0000-0000B5C00000}"/>
    <cellStyle name="Normal 8 2 2 2 2 3 2 3 4" xfId="25235" xr:uid="{00000000-0005-0000-0000-0000B6C00000}"/>
    <cellStyle name="Normal 8 2 2 2 2 3 2 4" xfId="6558" xr:uid="{00000000-0005-0000-0000-0000B7C00000}"/>
    <cellStyle name="Normal 8 2 2 2 2 3 2 4 2" xfId="54399" xr:uid="{00000000-0005-0000-0000-0000B8C00000}"/>
    <cellStyle name="Normal 8 2 2 2 2 3 2 4 3" xfId="38299" xr:uid="{00000000-0005-0000-0000-0000B9C00000}"/>
    <cellStyle name="Normal 8 2 2 2 2 3 2 4 4" xfId="19163" xr:uid="{00000000-0005-0000-0000-0000BAC00000}"/>
    <cellStyle name="Normal 8 2 2 2 2 3 2 5" xfId="44832" xr:uid="{00000000-0005-0000-0000-0000BBC00000}"/>
    <cellStyle name="Normal 8 2 2 2 2 3 2 6" xfId="28732" xr:uid="{00000000-0005-0000-0000-0000BCC00000}"/>
    <cellStyle name="Normal 8 2 2 2 2 3 2 7" xfId="15668" xr:uid="{00000000-0005-0000-0000-0000BDC00000}"/>
    <cellStyle name="Normal 8 2 2 2 2 3 3" xfId="2044" xr:uid="{00000000-0005-0000-0000-0000BEC00000}"/>
    <cellStyle name="Normal 8 2 2 2 2 3 3 2" xfId="8578" xr:uid="{00000000-0005-0000-0000-0000BFC00000}"/>
    <cellStyle name="Normal 8 2 2 2 2 3 3 2 2" xfId="40319" xr:uid="{00000000-0005-0000-0000-0000C0C00000}"/>
    <cellStyle name="Normal 8 2 2 2 2 3 3 2 2 2" xfId="56419" xr:uid="{00000000-0005-0000-0000-0000C1C00000}"/>
    <cellStyle name="Normal 8 2 2 2 2 3 3 2 3" xfId="46852" xr:uid="{00000000-0005-0000-0000-0000C2C00000}"/>
    <cellStyle name="Normal 8 2 2 2 2 3 3 2 4" xfId="30752" xr:uid="{00000000-0005-0000-0000-0000C3C00000}"/>
    <cellStyle name="Normal 8 2 2 2 2 3 3 2 5" xfId="21183" xr:uid="{00000000-0005-0000-0000-0000C4C00000}"/>
    <cellStyle name="Normal 8 2 2 2 2 3 3 3" xfId="11614" xr:uid="{00000000-0005-0000-0000-0000C5C00000}"/>
    <cellStyle name="Normal 8 2 2 2 2 3 3 3 2" xfId="49888" xr:uid="{00000000-0005-0000-0000-0000C6C00000}"/>
    <cellStyle name="Normal 8 2 2 2 2 3 3 3 3" xfId="33788" xr:uid="{00000000-0005-0000-0000-0000C7C00000}"/>
    <cellStyle name="Normal 8 2 2 2 2 3 3 3 4" xfId="24219" xr:uid="{00000000-0005-0000-0000-0000C8C00000}"/>
    <cellStyle name="Normal 8 2 2 2 2 3 3 4" xfId="5542" xr:uid="{00000000-0005-0000-0000-0000C9C00000}"/>
    <cellStyle name="Normal 8 2 2 2 2 3 3 4 2" xfId="53383" xr:uid="{00000000-0005-0000-0000-0000CAC00000}"/>
    <cellStyle name="Normal 8 2 2 2 2 3 3 4 3" xfId="37283" xr:uid="{00000000-0005-0000-0000-0000CBC00000}"/>
    <cellStyle name="Normal 8 2 2 2 2 3 3 4 4" xfId="18147" xr:uid="{00000000-0005-0000-0000-0000CCC00000}"/>
    <cellStyle name="Normal 8 2 2 2 2 3 3 5" xfId="43816" xr:uid="{00000000-0005-0000-0000-0000CDC00000}"/>
    <cellStyle name="Normal 8 2 2 2 2 3 3 6" xfId="27716" xr:uid="{00000000-0005-0000-0000-0000CEC00000}"/>
    <cellStyle name="Normal 8 2 2 2 2 3 3 7" xfId="14652" xr:uid="{00000000-0005-0000-0000-0000CFC00000}"/>
    <cellStyle name="Normal 8 2 2 2 2 3 4" xfId="7568" xr:uid="{00000000-0005-0000-0000-0000D0C00000}"/>
    <cellStyle name="Normal 8 2 2 2 2 3 4 2" xfId="39309" xr:uid="{00000000-0005-0000-0000-0000D1C00000}"/>
    <cellStyle name="Normal 8 2 2 2 2 3 4 2 2" xfId="55409" xr:uid="{00000000-0005-0000-0000-0000D2C00000}"/>
    <cellStyle name="Normal 8 2 2 2 2 3 4 3" xfId="45842" xr:uid="{00000000-0005-0000-0000-0000D3C00000}"/>
    <cellStyle name="Normal 8 2 2 2 2 3 4 4" xfId="29742" xr:uid="{00000000-0005-0000-0000-0000D4C00000}"/>
    <cellStyle name="Normal 8 2 2 2 2 3 4 5" xfId="20173" xr:uid="{00000000-0005-0000-0000-0000D5C00000}"/>
    <cellStyle name="Normal 8 2 2 2 2 3 5" xfId="10604" xr:uid="{00000000-0005-0000-0000-0000D6C00000}"/>
    <cellStyle name="Normal 8 2 2 2 2 3 5 2" xfId="48878" xr:uid="{00000000-0005-0000-0000-0000D7C00000}"/>
    <cellStyle name="Normal 8 2 2 2 2 3 5 3" xfId="32778" xr:uid="{00000000-0005-0000-0000-0000D8C00000}"/>
    <cellStyle name="Normal 8 2 2 2 2 3 5 4" xfId="23209" xr:uid="{00000000-0005-0000-0000-0000D9C00000}"/>
    <cellStyle name="Normal 8 2 2 2 2 3 6" xfId="4532" xr:uid="{00000000-0005-0000-0000-0000DAC00000}"/>
    <cellStyle name="Normal 8 2 2 2 2 3 6 2" xfId="52373" xr:uid="{00000000-0005-0000-0000-0000DBC00000}"/>
    <cellStyle name="Normal 8 2 2 2 2 3 6 3" xfId="36273" xr:uid="{00000000-0005-0000-0000-0000DCC00000}"/>
    <cellStyle name="Normal 8 2 2 2 2 3 6 4" xfId="17137" xr:uid="{00000000-0005-0000-0000-0000DDC00000}"/>
    <cellStyle name="Normal 8 2 2 2 2 3 7" xfId="42806" xr:uid="{00000000-0005-0000-0000-0000DEC00000}"/>
    <cellStyle name="Normal 8 2 2 2 2 3 8" xfId="26706" xr:uid="{00000000-0005-0000-0000-0000DFC00000}"/>
    <cellStyle name="Normal 8 2 2 2 2 3 9" xfId="13642" xr:uid="{00000000-0005-0000-0000-0000E0C00000}"/>
    <cellStyle name="Normal 8 2 2 2 2 4" xfId="2238" xr:uid="{00000000-0005-0000-0000-0000E1C00000}"/>
    <cellStyle name="Normal 8 2 2 2 2 4 2" xfId="8772" xr:uid="{00000000-0005-0000-0000-0000E2C00000}"/>
    <cellStyle name="Normal 8 2 2 2 2 4 2 2" xfId="40513" xr:uid="{00000000-0005-0000-0000-0000E3C00000}"/>
    <cellStyle name="Normal 8 2 2 2 2 4 2 2 2" xfId="56613" xr:uid="{00000000-0005-0000-0000-0000E4C00000}"/>
    <cellStyle name="Normal 8 2 2 2 2 4 2 3" xfId="47046" xr:uid="{00000000-0005-0000-0000-0000E5C00000}"/>
    <cellStyle name="Normal 8 2 2 2 2 4 2 4" xfId="30946" xr:uid="{00000000-0005-0000-0000-0000E6C00000}"/>
    <cellStyle name="Normal 8 2 2 2 2 4 2 5" xfId="21377" xr:uid="{00000000-0005-0000-0000-0000E7C00000}"/>
    <cellStyle name="Normal 8 2 2 2 2 4 3" xfId="11808" xr:uid="{00000000-0005-0000-0000-0000E8C00000}"/>
    <cellStyle name="Normal 8 2 2 2 2 4 3 2" xfId="50082" xr:uid="{00000000-0005-0000-0000-0000E9C00000}"/>
    <cellStyle name="Normal 8 2 2 2 2 4 3 3" xfId="33982" xr:uid="{00000000-0005-0000-0000-0000EAC00000}"/>
    <cellStyle name="Normal 8 2 2 2 2 4 3 4" xfId="24413" xr:uid="{00000000-0005-0000-0000-0000EBC00000}"/>
    <cellStyle name="Normal 8 2 2 2 2 4 4" xfId="5736" xr:uid="{00000000-0005-0000-0000-0000ECC00000}"/>
    <cellStyle name="Normal 8 2 2 2 2 4 4 2" xfId="53577" xr:uid="{00000000-0005-0000-0000-0000EDC00000}"/>
    <cellStyle name="Normal 8 2 2 2 2 4 4 3" xfId="37477" xr:uid="{00000000-0005-0000-0000-0000EEC00000}"/>
    <cellStyle name="Normal 8 2 2 2 2 4 4 4" xfId="18341" xr:uid="{00000000-0005-0000-0000-0000EFC00000}"/>
    <cellStyle name="Normal 8 2 2 2 2 4 5" xfId="44010" xr:uid="{00000000-0005-0000-0000-0000F0C00000}"/>
    <cellStyle name="Normal 8 2 2 2 2 4 6" xfId="27910" xr:uid="{00000000-0005-0000-0000-0000F1C00000}"/>
    <cellStyle name="Normal 8 2 2 2 2 4 7" xfId="14846" xr:uid="{00000000-0005-0000-0000-0000F2C00000}"/>
    <cellStyle name="Normal 8 2 2 2 2 5" xfId="1450" xr:uid="{00000000-0005-0000-0000-0000F3C00000}"/>
    <cellStyle name="Normal 8 2 2 2 2 5 2" xfId="7984" xr:uid="{00000000-0005-0000-0000-0000F4C00000}"/>
    <cellStyle name="Normal 8 2 2 2 2 5 2 2" xfId="39725" xr:uid="{00000000-0005-0000-0000-0000F5C00000}"/>
    <cellStyle name="Normal 8 2 2 2 2 5 2 2 2" xfId="55825" xr:uid="{00000000-0005-0000-0000-0000F6C00000}"/>
    <cellStyle name="Normal 8 2 2 2 2 5 2 3" xfId="46258" xr:uid="{00000000-0005-0000-0000-0000F7C00000}"/>
    <cellStyle name="Normal 8 2 2 2 2 5 2 4" xfId="30158" xr:uid="{00000000-0005-0000-0000-0000F8C00000}"/>
    <cellStyle name="Normal 8 2 2 2 2 5 2 5" xfId="20589" xr:uid="{00000000-0005-0000-0000-0000F9C00000}"/>
    <cellStyle name="Normal 8 2 2 2 2 5 3" xfId="11020" xr:uid="{00000000-0005-0000-0000-0000FAC00000}"/>
    <cellStyle name="Normal 8 2 2 2 2 5 3 2" xfId="49294" xr:uid="{00000000-0005-0000-0000-0000FBC00000}"/>
    <cellStyle name="Normal 8 2 2 2 2 5 3 3" xfId="33194" xr:uid="{00000000-0005-0000-0000-0000FCC00000}"/>
    <cellStyle name="Normal 8 2 2 2 2 5 3 4" xfId="23625" xr:uid="{00000000-0005-0000-0000-0000FDC00000}"/>
    <cellStyle name="Normal 8 2 2 2 2 5 4" xfId="4948" xr:uid="{00000000-0005-0000-0000-0000FEC00000}"/>
    <cellStyle name="Normal 8 2 2 2 2 5 4 2" xfId="52789" xr:uid="{00000000-0005-0000-0000-0000FFC00000}"/>
    <cellStyle name="Normal 8 2 2 2 2 5 4 3" xfId="36689" xr:uid="{00000000-0005-0000-0000-000000C10000}"/>
    <cellStyle name="Normal 8 2 2 2 2 5 4 4" xfId="17553" xr:uid="{00000000-0005-0000-0000-000001C10000}"/>
    <cellStyle name="Normal 8 2 2 2 2 5 5" xfId="43222" xr:uid="{00000000-0005-0000-0000-000002C10000}"/>
    <cellStyle name="Normal 8 2 2 2 2 5 6" xfId="27122" xr:uid="{00000000-0005-0000-0000-000003C10000}"/>
    <cellStyle name="Normal 8 2 2 2 2 5 7" xfId="14058" xr:uid="{00000000-0005-0000-0000-000004C10000}"/>
    <cellStyle name="Normal 8 2 2 2 2 6" xfId="3938" xr:uid="{00000000-0005-0000-0000-000005C10000}"/>
    <cellStyle name="Normal 8 2 2 2 2 6 2" xfId="35679" xr:uid="{00000000-0005-0000-0000-000006C10000}"/>
    <cellStyle name="Normal 8 2 2 2 2 6 2 2" xfId="51779" xr:uid="{00000000-0005-0000-0000-000007C10000}"/>
    <cellStyle name="Normal 8 2 2 2 2 6 3" xfId="42212" xr:uid="{00000000-0005-0000-0000-000008C10000}"/>
    <cellStyle name="Normal 8 2 2 2 2 6 4" xfId="26112" xr:uid="{00000000-0005-0000-0000-000009C10000}"/>
    <cellStyle name="Normal 8 2 2 2 2 6 5" xfId="16543" xr:uid="{00000000-0005-0000-0000-00000AC10000}"/>
    <cellStyle name="Normal 8 2 2 2 2 7" xfId="6974" xr:uid="{00000000-0005-0000-0000-00000BC10000}"/>
    <cellStyle name="Normal 8 2 2 2 2 7 2" xfId="38715" xr:uid="{00000000-0005-0000-0000-00000CC10000}"/>
    <cellStyle name="Normal 8 2 2 2 2 7 2 2" xfId="54815" xr:uid="{00000000-0005-0000-0000-00000DC10000}"/>
    <cellStyle name="Normal 8 2 2 2 2 7 3" xfId="45248" xr:uid="{00000000-0005-0000-0000-00000EC10000}"/>
    <cellStyle name="Normal 8 2 2 2 2 7 4" xfId="29148" xr:uid="{00000000-0005-0000-0000-00000FC10000}"/>
    <cellStyle name="Normal 8 2 2 2 2 7 5" xfId="19579" xr:uid="{00000000-0005-0000-0000-000010C10000}"/>
    <cellStyle name="Normal 8 2 2 2 2 8" xfId="10010" xr:uid="{00000000-0005-0000-0000-000011C10000}"/>
    <cellStyle name="Normal 8 2 2 2 2 8 2" xfId="48284" xr:uid="{00000000-0005-0000-0000-000012C10000}"/>
    <cellStyle name="Normal 8 2 2 2 2 8 3" xfId="32184" xr:uid="{00000000-0005-0000-0000-000013C10000}"/>
    <cellStyle name="Normal 8 2 2 2 2 8 4" xfId="22615" xr:uid="{00000000-0005-0000-0000-000014C10000}"/>
    <cellStyle name="Normal 8 2 2 2 2 9" xfId="3404" xr:uid="{00000000-0005-0000-0000-000015C10000}"/>
    <cellStyle name="Normal 8 2 2 2 2 9 2" xfId="51245" xr:uid="{00000000-0005-0000-0000-000016C10000}"/>
    <cellStyle name="Normal 8 2 2 2 2 9 3" xfId="35145" xr:uid="{00000000-0005-0000-0000-000017C10000}"/>
    <cellStyle name="Normal 8 2 2 2 2 9 4" xfId="16009" xr:uid="{00000000-0005-0000-0000-000018C10000}"/>
    <cellStyle name="Normal 8 2 2 2 3" xfId="325" xr:uid="{00000000-0005-0000-0000-000019C10000}"/>
    <cellStyle name="Normal 8 2 2 2 3 2" xfId="2344" xr:uid="{00000000-0005-0000-0000-00001AC10000}"/>
    <cellStyle name="Normal 8 2 2 2 3 2 2" xfId="8878" xr:uid="{00000000-0005-0000-0000-00001BC10000}"/>
    <cellStyle name="Normal 8 2 2 2 3 2 2 2" xfId="40619" xr:uid="{00000000-0005-0000-0000-00001CC10000}"/>
    <cellStyle name="Normal 8 2 2 2 3 2 2 2 2" xfId="56719" xr:uid="{00000000-0005-0000-0000-00001DC10000}"/>
    <cellStyle name="Normal 8 2 2 2 3 2 2 3" xfId="47152" xr:uid="{00000000-0005-0000-0000-00001EC10000}"/>
    <cellStyle name="Normal 8 2 2 2 3 2 2 4" xfId="31052" xr:uid="{00000000-0005-0000-0000-00001FC10000}"/>
    <cellStyle name="Normal 8 2 2 2 3 2 2 5" xfId="21483" xr:uid="{00000000-0005-0000-0000-000020C10000}"/>
    <cellStyle name="Normal 8 2 2 2 3 2 3" xfId="11914" xr:uid="{00000000-0005-0000-0000-000021C10000}"/>
    <cellStyle name="Normal 8 2 2 2 3 2 3 2" xfId="50188" xr:uid="{00000000-0005-0000-0000-000022C10000}"/>
    <cellStyle name="Normal 8 2 2 2 3 2 3 3" xfId="34088" xr:uid="{00000000-0005-0000-0000-000023C10000}"/>
    <cellStyle name="Normal 8 2 2 2 3 2 3 4" xfId="24519" xr:uid="{00000000-0005-0000-0000-000024C10000}"/>
    <cellStyle name="Normal 8 2 2 2 3 2 4" xfId="5842" xr:uid="{00000000-0005-0000-0000-000025C10000}"/>
    <cellStyle name="Normal 8 2 2 2 3 2 4 2" xfId="53683" xr:uid="{00000000-0005-0000-0000-000026C10000}"/>
    <cellStyle name="Normal 8 2 2 2 3 2 4 3" xfId="37583" xr:uid="{00000000-0005-0000-0000-000027C10000}"/>
    <cellStyle name="Normal 8 2 2 2 3 2 4 4" xfId="18447" xr:uid="{00000000-0005-0000-0000-000028C10000}"/>
    <cellStyle name="Normal 8 2 2 2 3 2 5" xfId="44116" xr:uid="{00000000-0005-0000-0000-000029C10000}"/>
    <cellStyle name="Normal 8 2 2 2 3 2 6" xfId="28016" xr:uid="{00000000-0005-0000-0000-00002AC10000}"/>
    <cellStyle name="Normal 8 2 2 2 3 2 7" xfId="14952" xr:uid="{00000000-0005-0000-0000-00002BC10000}"/>
    <cellStyle name="Normal 8 2 2 2 3 3" xfId="1556" xr:uid="{00000000-0005-0000-0000-00002CC10000}"/>
    <cellStyle name="Normal 8 2 2 2 3 3 2" xfId="8090" xr:uid="{00000000-0005-0000-0000-00002DC10000}"/>
    <cellStyle name="Normal 8 2 2 2 3 3 2 2" xfId="39831" xr:uid="{00000000-0005-0000-0000-00002EC10000}"/>
    <cellStyle name="Normal 8 2 2 2 3 3 2 2 2" xfId="55931" xr:uid="{00000000-0005-0000-0000-00002FC10000}"/>
    <cellStyle name="Normal 8 2 2 2 3 3 2 3" xfId="46364" xr:uid="{00000000-0005-0000-0000-000030C10000}"/>
    <cellStyle name="Normal 8 2 2 2 3 3 2 4" xfId="30264" xr:uid="{00000000-0005-0000-0000-000031C10000}"/>
    <cellStyle name="Normal 8 2 2 2 3 3 2 5" xfId="20695" xr:uid="{00000000-0005-0000-0000-000032C10000}"/>
    <cellStyle name="Normal 8 2 2 2 3 3 3" xfId="11126" xr:uid="{00000000-0005-0000-0000-000033C10000}"/>
    <cellStyle name="Normal 8 2 2 2 3 3 3 2" xfId="49400" xr:uid="{00000000-0005-0000-0000-000034C10000}"/>
    <cellStyle name="Normal 8 2 2 2 3 3 3 3" xfId="33300" xr:uid="{00000000-0005-0000-0000-000035C10000}"/>
    <cellStyle name="Normal 8 2 2 2 3 3 3 4" xfId="23731" xr:uid="{00000000-0005-0000-0000-000036C10000}"/>
    <cellStyle name="Normal 8 2 2 2 3 3 4" xfId="5054" xr:uid="{00000000-0005-0000-0000-000037C10000}"/>
    <cellStyle name="Normal 8 2 2 2 3 3 4 2" xfId="52895" xr:uid="{00000000-0005-0000-0000-000038C10000}"/>
    <cellStyle name="Normal 8 2 2 2 3 3 4 3" xfId="36795" xr:uid="{00000000-0005-0000-0000-000039C10000}"/>
    <cellStyle name="Normal 8 2 2 2 3 3 4 4" xfId="17659" xr:uid="{00000000-0005-0000-0000-00003AC10000}"/>
    <cellStyle name="Normal 8 2 2 2 3 3 5" xfId="43328" xr:uid="{00000000-0005-0000-0000-00003BC10000}"/>
    <cellStyle name="Normal 8 2 2 2 3 3 6" xfId="27228" xr:uid="{00000000-0005-0000-0000-00003CC10000}"/>
    <cellStyle name="Normal 8 2 2 2 3 3 7" xfId="14164" xr:uid="{00000000-0005-0000-0000-00003DC10000}"/>
    <cellStyle name="Normal 8 2 2 2 3 4" xfId="7080" xr:uid="{00000000-0005-0000-0000-00003EC10000}"/>
    <cellStyle name="Normal 8 2 2 2 3 4 2" xfId="38821" xr:uid="{00000000-0005-0000-0000-00003FC10000}"/>
    <cellStyle name="Normal 8 2 2 2 3 4 2 2" xfId="54921" xr:uid="{00000000-0005-0000-0000-000040C10000}"/>
    <cellStyle name="Normal 8 2 2 2 3 4 3" xfId="45354" xr:uid="{00000000-0005-0000-0000-000041C10000}"/>
    <cellStyle name="Normal 8 2 2 2 3 4 4" xfId="29254" xr:uid="{00000000-0005-0000-0000-000042C10000}"/>
    <cellStyle name="Normal 8 2 2 2 3 4 5" xfId="19685" xr:uid="{00000000-0005-0000-0000-000043C10000}"/>
    <cellStyle name="Normal 8 2 2 2 3 5" xfId="10116" xr:uid="{00000000-0005-0000-0000-000044C10000}"/>
    <cellStyle name="Normal 8 2 2 2 3 5 2" xfId="48390" xr:uid="{00000000-0005-0000-0000-000045C10000}"/>
    <cellStyle name="Normal 8 2 2 2 3 5 3" xfId="32290" xr:uid="{00000000-0005-0000-0000-000046C10000}"/>
    <cellStyle name="Normal 8 2 2 2 3 5 4" xfId="22721" xr:uid="{00000000-0005-0000-0000-000047C10000}"/>
    <cellStyle name="Normal 8 2 2 2 3 6" xfId="4044" xr:uid="{00000000-0005-0000-0000-000048C10000}"/>
    <cellStyle name="Normal 8 2 2 2 3 6 2" xfId="51885" xr:uid="{00000000-0005-0000-0000-000049C10000}"/>
    <cellStyle name="Normal 8 2 2 2 3 6 3" xfId="35785" xr:uid="{00000000-0005-0000-0000-00004AC10000}"/>
    <cellStyle name="Normal 8 2 2 2 3 6 4" xfId="16649" xr:uid="{00000000-0005-0000-0000-00004BC10000}"/>
    <cellStyle name="Normal 8 2 2 2 3 7" xfId="42318" xr:uid="{00000000-0005-0000-0000-00004CC10000}"/>
    <cellStyle name="Normal 8 2 2 2 3 8" xfId="26218" xr:uid="{00000000-0005-0000-0000-00004DC10000}"/>
    <cellStyle name="Normal 8 2 2 2 3 9" xfId="13154" xr:uid="{00000000-0005-0000-0000-00004EC10000}"/>
    <cellStyle name="Normal 8 2 2 2 4" xfId="582" xr:uid="{00000000-0005-0000-0000-00004FC10000}"/>
    <cellStyle name="Normal 8 2 2 2 4 2" xfId="2611" xr:uid="{00000000-0005-0000-0000-000050C10000}"/>
    <cellStyle name="Normal 8 2 2 2 4 2 2" xfId="9143" xr:uid="{00000000-0005-0000-0000-000051C10000}"/>
    <cellStyle name="Normal 8 2 2 2 4 2 2 2" xfId="40884" xr:uid="{00000000-0005-0000-0000-000052C10000}"/>
    <cellStyle name="Normal 8 2 2 2 4 2 2 2 2" xfId="56984" xr:uid="{00000000-0005-0000-0000-000053C10000}"/>
    <cellStyle name="Normal 8 2 2 2 4 2 2 3" xfId="47417" xr:uid="{00000000-0005-0000-0000-000054C10000}"/>
    <cellStyle name="Normal 8 2 2 2 4 2 2 4" xfId="31317" xr:uid="{00000000-0005-0000-0000-000055C10000}"/>
    <cellStyle name="Normal 8 2 2 2 4 2 2 5" xfId="21748" xr:uid="{00000000-0005-0000-0000-000056C10000}"/>
    <cellStyle name="Normal 8 2 2 2 4 2 3" xfId="12179" xr:uid="{00000000-0005-0000-0000-000057C10000}"/>
    <cellStyle name="Normal 8 2 2 2 4 2 3 2" xfId="50453" xr:uid="{00000000-0005-0000-0000-000058C10000}"/>
    <cellStyle name="Normal 8 2 2 2 4 2 3 3" xfId="34353" xr:uid="{00000000-0005-0000-0000-000059C10000}"/>
    <cellStyle name="Normal 8 2 2 2 4 2 3 4" xfId="24784" xr:uid="{00000000-0005-0000-0000-00005AC10000}"/>
    <cellStyle name="Normal 8 2 2 2 4 2 4" xfId="6107" xr:uid="{00000000-0005-0000-0000-00005BC10000}"/>
    <cellStyle name="Normal 8 2 2 2 4 2 4 2" xfId="53948" xr:uid="{00000000-0005-0000-0000-00005CC10000}"/>
    <cellStyle name="Normal 8 2 2 2 4 2 4 3" xfId="37848" xr:uid="{00000000-0005-0000-0000-00005DC10000}"/>
    <cellStyle name="Normal 8 2 2 2 4 2 4 4" xfId="18712" xr:uid="{00000000-0005-0000-0000-00005EC10000}"/>
    <cellStyle name="Normal 8 2 2 2 4 2 5" xfId="44381" xr:uid="{00000000-0005-0000-0000-00005FC10000}"/>
    <cellStyle name="Normal 8 2 2 2 4 2 6" xfId="28281" xr:uid="{00000000-0005-0000-0000-000060C10000}"/>
    <cellStyle name="Normal 8 2 2 2 4 2 7" xfId="15217" xr:uid="{00000000-0005-0000-0000-000061C10000}"/>
    <cellStyle name="Normal 8 2 2 2 4 3" xfId="1379" xr:uid="{00000000-0005-0000-0000-000062C10000}"/>
    <cellStyle name="Normal 8 2 2 2 4 3 2" xfId="7913" xr:uid="{00000000-0005-0000-0000-000063C10000}"/>
    <cellStyle name="Normal 8 2 2 2 4 3 2 2" xfId="39654" xr:uid="{00000000-0005-0000-0000-000064C10000}"/>
    <cellStyle name="Normal 8 2 2 2 4 3 2 2 2" xfId="55754" xr:uid="{00000000-0005-0000-0000-000065C10000}"/>
    <cellStyle name="Normal 8 2 2 2 4 3 2 3" xfId="46187" xr:uid="{00000000-0005-0000-0000-000066C10000}"/>
    <cellStyle name="Normal 8 2 2 2 4 3 2 4" xfId="30087" xr:uid="{00000000-0005-0000-0000-000067C10000}"/>
    <cellStyle name="Normal 8 2 2 2 4 3 2 5" xfId="20518" xr:uid="{00000000-0005-0000-0000-000068C10000}"/>
    <cellStyle name="Normal 8 2 2 2 4 3 3" xfId="10949" xr:uid="{00000000-0005-0000-0000-000069C10000}"/>
    <cellStyle name="Normal 8 2 2 2 4 3 3 2" xfId="49223" xr:uid="{00000000-0005-0000-0000-00006AC10000}"/>
    <cellStyle name="Normal 8 2 2 2 4 3 3 3" xfId="33123" xr:uid="{00000000-0005-0000-0000-00006BC10000}"/>
    <cellStyle name="Normal 8 2 2 2 4 3 3 4" xfId="23554" xr:uid="{00000000-0005-0000-0000-00006CC10000}"/>
    <cellStyle name="Normal 8 2 2 2 4 3 4" xfId="4877" xr:uid="{00000000-0005-0000-0000-00006DC10000}"/>
    <cellStyle name="Normal 8 2 2 2 4 3 4 2" xfId="52718" xr:uid="{00000000-0005-0000-0000-00006EC10000}"/>
    <cellStyle name="Normal 8 2 2 2 4 3 4 3" xfId="36618" xr:uid="{00000000-0005-0000-0000-00006FC10000}"/>
    <cellStyle name="Normal 8 2 2 2 4 3 4 4" xfId="17482" xr:uid="{00000000-0005-0000-0000-000070C10000}"/>
    <cellStyle name="Normal 8 2 2 2 4 3 5" xfId="43151" xr:uid="{00000000-0005-0000-0000-000071C10000}"/>
    <cellStyle name="Normal 8 2 2 2 4 3 6" xfId="27051" xr:uid="{00000000-0005-0000-0000-000072C10000}"/>
    <cellStyle name="Normal 8 2 2 2 4 3 7" xfId="13987" xr:uid="{00000000-0005-0000-0000-000073C10000}"/>
    <cellStyle name="Normal 8 2 2 2 4 4" xfId="6903" xr:uid="{00000000-0005-0000-0000-000074C10000}"/>
    <cellStyle name="Normal 8 2 2 2 4 4 2" xfId="38644" xr:uid="{00000000-0005-0000-0000-000075C10000}"/>
    <cellStyle name="Normal 8 2 2 2 4 4 2 2" xfId="54744" xr:uid="{00000000-0005-0000-0000-000076C10000}"/>
    <cellStyle name="Normal 8 2 2 2 4 4 3" xfId="45177" xr:uid="{00000000-0005-0000-0000-000077C10000}"/>
    <cellStyle name="Normal 8 2 2 2 4 4 4" xfId="29077" xr:uid="{00000000-0005-0000-0000-000078C10000}"/>
    <cellStyle name="Normal 8 2 2 2 4 4 5" xfId="19508" xr:uid="{00000000-0005-0000-0000-000079C10000}"/>
    <cellStyle name="Normal 8 2 2 2 4 5" xfId="9939" xr:uid="{00000000-0005-0000-0000-00007AC10000}"/>
    <cellStyle name="Normal 8 2 2 2 4 5 2" xfId="48213" xr:uid="{00000000-0005-0000-0000-00007BC10000}"/>
    <cellStyle name="Normal 8 2 2 2 4 5 3" xfId="32113" xr:uid="{00000000-0005-0000-0000-00007CC10000}"/>
    <cellStyle name="Normal 8 2 2 2 4 5 4" xfId="22544" xr:uid="{00000000-0005-0000-0000-00007DC10000}"/>
    <cellStyle name="Normal 8 2 2 2 4 6" xfId="3867" xr:uid="{00000000-0005-0000-0000-00007EC10000}"/>
    <cellStyle name="Normal 8 2 2 2 4 6 2" xfId="51708" xr:uid="{00000000-0005-0000-0000-00007FC10000}"/>
    <cellStyle name="Normal 8 2 2 2 4 6 3" xfId="35608" xr:uid="{00000000-0005-0000-0000-000080C10000}"/>
    <cellStyle name="Normal 8 2 2 2 4 6 4" xfId="16472" xr:uid="{00000000-0005-0000-0000-000081C10000}"/>
    <cellStyle name="Normal 8 2 2 2 4 7" xfId="42141" xr:uid="{00000000-0005-0000-0000-000082C10000}"/>
    <cellStyle name="Normal 8 2 2 2 4 8" xfId="26041" xr:uid="{00000000-0005-0000-0000-000083C10000}"/>
    <cellStyle name="Normal 8 2 2 2 4 9" xfId="12977" xr:uid="{00000000-0005-0000-0000-000084C10000}"/>
    <cellStyle name="Normal 8 2 2 2 5" xfId="811" xr:uid="{00000000-0005-0000-0000-000085C10000}"/>
    <cellStyle name="Normal 8 2 2 2 5 2" xfId="2839" xr:uid="{00000000-0005-0000-0000-000086C10000}"/>
    <cellStyle name="Normal 8 2 2 2 5 2 2" xfId="9371" xr:uid="{00000000-0005-0000-0000-000087C10000}"/>
    <cellStyle name="Normal 8 2 2 2 5 2 2 2" xfId="41112" xr:uid="{00000000-0005-0000-0000-000088C10000}"/>
    <cellStyle name="Normal 8 2 2 2 5 2 2 2 2" xfId="57212" xr:uid="{00000000-0005-0000-0000-000089C10000}"/>
    <cellStyle name="Normal 8 2 2 2 5 2 2 3" xfId="47645" xr:uid="{00000000-0005-0000-0000-00008AC10000}"/>
    <cellStyle name="Normal 8 2 2 2 5 2 2 4" xfId="31545" xr:uid="{00000000-0005-0000-0000-00008BC10000}"/>
    <cellStyle name="Normal 8 2 2 2 5 2 2 5" xfId="21976" xr:uid="{00000000-0005-0000-0000-00008CC10000}"/>
    <cellStyle name="Normal 8 2 2 2 5 2 3" xfId="12407" xr:uid="{00000000-0005-0000-0000-00008DC10000}"/>
    <cellStyle name="Normal 8 2 2 2 5 2 3 2" xfId="50681" xr:uid="{00000000-0005-0000-0000-00008EC10000}"/>
    <cellStyle name="Normal 8 2 2 2 5 2 3 3" xfId="34581" xr:uid="{00000000-0005-0000-0000-00008FC10000}"/>
    <cellStyle name="Normal 8 2 2 2 5 2 3 4" xfId="25012" xr:uid="{00000000-0005-0000-0000-000090C10000}"/>
    <cellStyle name="Normal 8 2 2 2 5 2 4" xfId="6335" xr:uid="{00000000-0005-0000-0000-000091C10000}"/>
    <cellStyle name="Normal 8 2 2 2 5 2 4 2" xfId="54176" xr:uid="{00000000-0005-0000-0000-000092C10000}"/>
    <cellStyle name="Normal 8 2 2 2 5 2 4 3" xfId="38076" xr:uid="{00000000-0005-0000-0000-000093C10000}"/>
    <cellStyle name="Normal 8 2 2 2 5 2 4 4" xfId="18940" xr:uid="{00000000-0005-0000-0000-000094C10000}"/>
    <cellStyle name="Normal 8 2 2 2 5 2 5" xfId="44609" xr:uid="{00000000-0005-0000-0000-000095C10000}"/>
    <cellStyle name="Normal 8 2 2 2 5 2 6" xfId="28509" xr:uid="{00000000-0005-0000-0000-000096C10000}"/>
    <cellStyle name="Normal 8 2 2 2 5 2 7" xfId="15445" xr:uid="{00000000-0005-0000-0000-000097C10000}"/>
    <cellStyle name="Normal 8 2 2 2 5 3" xfId="1821" xr:uid="{00000000-0005-0000-0000-000098C10000}"/>
    <cellStyle name="Normal 8 2 2 2 5 3 2" xfId="8355" xr:uid="{00000000-0005-0000-0000-000099C10000}"/>
    <cellStyle name="Normal 8 2 2 2 5 3 2 2" xfId="40096" xr:uid="{00000000-0005-0000-0000-00009AC10000}"/>
    <cellStyle name="Normal 8 2 2 2 5 3 2 2 2" xfId="56196" xr:uid="{00000000-0005-0000-0000-00009BC10000}"/>
    <cellStyle name="Normal 8 2 2 2 5 3 2 3" xfId="46629" xr:uid="{00000000-0005-0000-0000-00009CC10000}"/>
    <cellStyle name="Normal 8 2 2 2 5 3 2 4" xfId="30529" xr:uid="{00000000-0005-0000-0000-00009DC10000}"/>
    <cellStyle name="Normal 8 2 2 2 5 3 2 5" xfId="20960" xr:uid="{00000000-0005-0000-0000-00009EC10000}"/>
    <cellStyle name="Normal 8 2 2 2 5 3 3" xfId="11391" xr:uid="{00000000-0005-0000-0000-00009FC10000}"/>
    <cellStyle name="Normal 8 2 2 2 5 3 3 2" xfId="49665" xr:uid="{00000000-0005-0000-0000-0000A0C10000}"/>
    <cellStyle name="Normal 8 2 2 2 5 3 3 3" xfId="33565" xr:uid="{00000000-0005-0000-0000-0000A1C10000}"/>
    <cellStyle name="Normal 8 2 2 2 5 3 3 4" xfId="23996" xr:uid="{00000000-0005-0000-0000-0000A2C10000}"/>
    <cellStyle name="Normal 8 2 2 2 5 3 4" xfId="5319" xr:uid="{00000000-0005-0000-0000-0000A3C10000}"/>
    <cellStyle name="Normal 8 2 2 2 5 3 4 2" xfId="53160" xr:uid="{00000000-0005-0000-0000-0000A4C10000}"/>
    <cellStyle name="Normal 8 2 2 2 5 3 4 3" xfId="37060" xr:uid="{00000000-0005-0000-0000-0000A5C10000}"/>
    <cellStyle name="Normal 8 2 2 2 5 3 4 4" xfId="17924" xr:uid="{00000000-0005-0000-0000-0000A6C10000}"/>
    <cellStyle name="Normal 8 2 2 2 5 3 5" xfId="43593" xr:uid="{00000000-0005-0000-0000-0000A7C10000}"/>
    <cellStyle name="Normal 8 2 2 2 5 3 6" xfId="27493" xr:uid="{00000000-0005-0000-0000-0000A8C10000}"/>
    <cellStyle name="Normal 8 2 2 2 5 3 7" xfId="14429" xr:uid="{00000000-0005-0000-0000-0000A9C10000}"/>
    <cellStyle name="Normal 8 2 2 2 5 4" xfId="7345" xr:uid="{00000000-0005-0000-0000-0000AAC10000}"/>
    <cellStyle name="Normal 8 2 2 2 5 4 2" xfId="39086" xr:uid="{00000000-0005-0000-0000-0000ABC10000}"/>
    <cellStyle name="Normal 8 2 2 2 5 4 2 2" xfId="55186" xr:uid="{00000000-0005-0000-0000-0000ACC10000}"/>
    <cellStyle name="Normal 8 2 2 2 5 4 3" xfId="45619" xr:uid="{00000000-0005-0000-0000-0000ADC10000}"/>
    <cellStyle name="Normal 8 2 2 2 5 4 4" xfId="29519" xr:uid="{00000000-0005-0000-0000-0000AEC10000}"/>
    <cellStyle name="Normal 8 2 2 2 5 4 5" xfId="19950" xr:uid="{00000000-0005-0000-0000-0000AFC10000}"/>
    <cellStyle name="Normal 8 2 2 2 5 5" xfId="10381" xr:uid="{00000000-0005-0000-0000-0000B0C10000}"/>
    <cellStyle name="Normal 8 2 2 2 5 5 2" xfId="48655" xr:uid="{00000000-0005-0000-0000-0000B1C10000}"/>
    <cellStyle name="Normal 8 2 2 2 5 5 3" xfId="32555" xr:uid="{00000000-0005-0000-0000-0000B2C10000}"/>
    <cellStyle name="Normal 8 2 2 2 5 5 4" xfId="22986" xr:uid="{00000000-0005-0000-0000-0000B3C10000}"/>
    <cellStyle name="Normal 8 2 2 2 5 6" xfId="4309" xr:uid="{00000000-0005-0000-0000-0000B4C10000}"/>
    <cellStyle name="Normal 8 2 2 2 5 6 2" xfId="52150" xr:uid="{00000000-0005-0000-0000-0000B5C10000}"/>
    <cellStyle name="Normal 8 2 2 2 5 6 3" xfId="36050" xr:uid="{00000000-0005-0000-0000-0000B6C10000}"/>
    <cellStyle name="Normal 8 2 2 2 5 6 4" xfId="16914" xr:uid="{00000000-0005-0000-0000-0000B7C10000}"/>
    <cellStyle name="Normal 8 2 2 2 5 7" xfId="42583" xr:uid="{00000000-0005-0000-0000-0000B8C10000}"/>
    <cellStyle name="Normal 8 2 2 2 5 8" xfId="26483" xr:uid="{00000000-0005-0000-0000-0000B9C10000}"/>
    <cellStyle name="Normal 8 2 2 2 5 9" xfId="13419" xr:uid="{00000000-0005-0000-0000-0000BAC10000}"/>
    <cellStyle name="Normal 8 2 2 2 6" xfId="2167" xr:uid="{00000000-0005-0000-0000-0000BBC10000}"/>
    <cellStyle name="Normal 8 2 2 2 6 2" xfId="8701" xr:uid="{00000000-0005-0000-0000-0000BCC10000}"/>
    <cellStyle name="Normal 8 2 2 2 6 2 2" xfId="40442" xr:uid="{00000000-0005-0000-0000-0000BDC10000}"/>
    <cellStyle name="Normal 8 2 2 2 6 2 2 2" xfId="56542" xr:uid="{00000000-0005-0000-0000-0000BEC10000}"/>
    <cellStyle name="Normal 8 2 2 2 6 2 3" xfId="46975" xr:uid="{00000000-0005-0000-0000-0000BFC10000}"/>
    <cellStyle name="Normal 8 2 2 2 6 2 4" xfId="30875" xr:uid="{00000000-0005-0000-0000-0000C0C10000}"/>
    <cellStyle name="Normal 8 2 2 2 6 2 5" xfId="21306" xr:uid="{00000000-0005-0000-0000-0000C1C10000}"/>
    <cellStyle name="Normal 8 2 2 2 6 3" xfId="11737" xr:uid="{00000000-0005-0000-0000-0000C2C10000}"/>
    <cellStyle name="Normal 8 2 2 2 6 3 2" xfId="50011" xr:uid="{00000000-0005-0000-0000-0000C3C10000}"/>
    <cellStyle name="Normal 8 2 2 2 6 3 3" xfId="33911" xr:uid="{00000000-0005-0000-0000-0000C4C10000}"/>
    <cellStyle name="Normal 8 2 2 2 6 3 4" xfId="24342" xr:uid="{00000000-0005-0000-0000-0000C5C10000}"/>
    <cellStyle name="Normal 8 2 2 2 6 4" xfId="5665" xr:uid="{00000000-0005-0000-0000-0000C6C10000}"/>
    <cellStyle name="Normal 8 2 2 2 6 4 2" xfId="53506" xr:uid="{00000000-0005-0000-0000-0000C7C10000}"/>
    <cellStyle name="Normal 8 2 2 2 6 4 3" xfId="37406" xr:uid="{00000000-0005-0000-0000-0000C8C10000}"/>
    <cellStyle name="Normal 8 2 2 2 6 4 4" xfId="18270" xr:uid="{00000000-0005-0000-0000-0000C9C10000}"/>
    <cellStyle name="Normal 8 2 2 2 6 5" xfId="43939" xr:uid="{00000000-0005-0000-0000-0000CAC10000}"/>
    <cellStyle name="Normal 8 2 2 2 6 6" xfId="27839" xr:uid="{00000000-0005-0000-0000-0000CBC10000}"/>
    <cellStyle name="Normal 8 2 2 2 6 7" xfId="14775" xr:uid="{00000000-0005-0000-0000-0000CCC10000}"/>
    <cellStyle name="Normal 8 2 2 2 7" xfId="1138" xr:uid="{00000000-0005-0000-0000-0000CDC10000}"/>
    <cellStyle name="Normal 8 2 2 2 7 2" xfId="7672" xr:uid="{00000000-0005-0000-0000-0000CEC10000}"/>
    <cellStyle name="Normal 8 2 2 2 7 2 2" xfId="39413" xr:uid="{00000000-0005-0000-0000-0000CFC10000}"/>
    <cellStyle name="Normal 8 2 2 2 7 2 2 2" xfId="55513" xr:uid="{00000000-0005-0000-0000-0000D0C10000}"/>
    <cellStyle name="Normal 8 2 2 2 7 2 3" xfId="45946" xr:uid="{00000000-0005-0000-0000-0000D1C10000}"/>
    <cellStyle name="Normal 8 2 2 2 7 2 4" xfId="29846" xr:uid="{00000000-0005-0000-0000-0000D2C10000}"/>
    <cellStyle name="Normal 8 2 2 2 7 2 5" xfId="20277" xr:uid="{00000000-0005-0000-0000-0000D3C10000}"/>
    <cellStyle name="Normal 8 2 2 2 7 3" xfId="10708" xr:uid="{00000000-0005-0000-0000-0000D4C10000}"/>
    <cellStyle name="Normal 8 2 2 2 7 3 2" xfId="48982" xr:uid="{00000000-0005-0000-0000-0000D5C10000}"/>
    <cellStyle name="Normal 8 2 2 2 7 3 3" xfId="32882" xr:uid="{00000000-0005-0000-0000-0000D6C10000}"/>
    <cellStyle name="Normal 8 2 2 2 7 3 4" xfId="23313" xr:uid="{00000000-0005-0000-0000-0000D7C10000}"/>
    <cellStyle name="Normal 8 2 2 2 7 4" xfId="4636" xr:uid="{00000000-0005-0000-0000-0000D8C10000}"/>
    <cellStyle name="Normal 8 2 2 2 7 4 2" xfId="52477" xr:uid="{00000000-0005-0000-0000-0000D9C10000}"/>
    <cellStyle name="Normal 8 2 2 2 7 4 3" xfId="36377" xr:uid="{00000000-0005-0000-0000-0000DAC10000}"/>
    <cellStyle name="Normal 8 2 2 2 7 4 4" xfId="17241" xr:uid="{00000000-0005-0000-0000-0000DBC10000}"/>
    <cellStyle name="Normal 8 2 2 2 7 5" xfId="42910" xr:uid="{00000000-0005-0000-0000-0000DCC10000}"/>
    <cellStyle name="Normal 8 2 2 2 7 6" xfId="26810" xr:uid="{00000000-0005-0000-0000-0000DDC10000}"/>
    <cellStyle name="Normal 8 2 2 2 7 7" xfId="13746" xr:uid="{00000000-0005-0000-0000-0000DEC10000}"/>
    <cellStyle name="Normal 8 2 2 2 8" xfId="3626" xr:uid="{00000000-0005-0000-0000-0000DFC10000}"/>
    <cellStyle name="Normal 8 2 2 2 8 2" xfId="35367" xr:uid="{00000000-0005-0000-0000-0000E0C10000}"/>
    <cellStyle name="Normal 8 2 2 2 8 2 2" xfId="51467" xr:uid="{00000000-0005-0000-0000-0000E1C10000}"/>
    <cellStyle name="Normal 8 2 2 2 8 3" xfId="41900" xr:uid="{00000000-0005-0000-0000-0000E2C10000}"/>
    <cellStyle name="Normal 8 2 2 2 8 4" xfId="25800" xr:uid="{00000000-0005-0000-0000-0000E3C10000}"/>
    <cellStyle name="Normal 8 2 2 2 8 5" xfId="16231" xr:uid="{00000000-0005-0000-0000-0000E4C10000}"/>
    <cellStyle name="Normal 8 2 2 2 9" xfId="6662" xr:uid="{00000000-0005-0000-0000-0000E5C10000}"/>
    <cellStyle name="Normal 8 2 2 2 9 2" xfId="38403" xr:uid="{00000000-0005-0000-0000-0000E6C10000}"/>
    <cellStyle name="Normal 8 2 2 2 9 2 2" xfId="54503" xr:uid="{00000000-0005-0000-0000-0000E7C10000}"/>
    <cellStyle name="Normal 8 2 2 2 9 3" xfId="44936" xr:uid="{00000000-0005-0000-0000-0000E8C10000}"/>
    <cellStyle name="Normal 8 2 2 2 9 4" xfId="28836" xr:uid="{00000000-0005-0000-0000-0000E9C10000}"/>
    <cellStyle name="Normal 8 2 2 2 9 5" xfId="19267" xr:uid="{00000000-0005-0000-0000-0000EAC10000}"/>
    <cellStyle name="Normal 8 2 2 3" xfId="108" xr:uid="{00000000-0005-0000-0000-0000EBC10000}"/>
    <cellStyle name="Normal 8 2 2 3 10" xfId="41626" xr:uid="{00000000-0005-0000-0000-0000ECC10000}"/>
    <cellStyle name="Normal 8 2 2 3 11" xfId="25526" xr:uid="{00000000-0005-0000-0000-0000EDC10000}"/>
    <cellStyle name="Normal 8 2 2 3 12" xfId="12941" xr:uid="{00000000-0005-0000-0000-0000EEC10000}"/>
    <cellStyle name="Normal 8 2 2 3 2" xfId="289" xr:uid="{00000000-0005-0000-0000-0000EFC10000}"/>
    <cellStyle name="Normal 8 2 2 3 2 2" xfId="2308" xr:uid="{00000000-0005-0000-0000-0000F0C10000}"/>
    <cellStyle name="Normal 8 2 2 3 2 2 2" xfId="8842" xr:uid="{00000000-0005-0000-0000-0000F1C10000}"/>
    <cellStyle name="Normal 8 2 2 3 2 2 2 2" xfId="40583" xr:uid="{00000000-0005-0000-0000-0000F2C10000}"/>
    <cellStyle name="Normal 8 2 2 3 2 2 2 2 2" xfId="56683" xr:uid="{00000000-0005-0000-0000-0000F3C10000}"/>
    <cellStyle name="Normal 8 2 2 3 2 2 2 3" xfId="47116" xr:uid="{00000000-0005-0000-0000-0000F4C10000}"/>
    <cellStyle name="Normal 8 2 2 3 2 2 2 4" xfId="31016" xr:uid="{00000000-0005-0000-0000-0000F5C10000}"/>
    <cellStyle name="Normal 8 2 2 3 2 2 2 5" xfId="21447" xr:uid="{00000000-0005-0000-0000-0000F6C10000}"/>
    <cellStyle name="Normal 8 2 2 3 2 2 3" xfId="11878" xr:uid="{00000000-0005-0000-0000-0000F7C10000}"/>
    <cellStyle name="Normal 8 2 2 3 2 2 3 2" xfId="50152" xr:uid="{00000000-0005-0000-0000-0000F8C10000}"/>
    <cellStyle name="Normal 8 2 2 3 2 2 3 3" xfId="34052" xr:uid="{00000000-0005-0000-0000-0000F9C10000}"/>
    <cellStyle name="Normal 8 2 2 3 2 2 3 4" xfId="24483" xr:uid="{00000000-0005-0000-0000-0000FAC10000}"/>
    <cellStyle name="Normal 8 2 2 3 2 2 4" xfId="5806" xr:uid="{00000000-0005-0000-0000-0000FBC10000}"/>
    <cellStyle name="Normal 8 2 2 3 2 2 4 2" xfId="53647" xr:uid="{00000000-0005-0000-0000-0000FCC10000}"/>
    <cellStyle name="Normal 8 2 2 3 2 2 4 3" xfId="37547" xr:uid="{00000000-0005-0000-0000-0000FDC10000}"/>
    <cellStyle name="Normal 8 2 2 3 2 2 4 4" xfId="18411" xr:uid="{00000000-0005-0000-0000-0000FEC10000}"/>
    <cellStyle name="Normal 8 2 2 3 2 2 5" xfId="44080" xr:uid="{00000000-0005-0000-0000-0000FFC10000}"/>
    <cellStyle name="Normal 8 2 2 3 2 2 6" xfId="27980" xr:uid="{00000000-0005-0000-0000-000000C20000}"/>
    <cellStyle name="Normal 8 2 2 3 2 2 7" xfId="14916" xr:uid="{00000000-0005-0000-0000-000001C20000}"/>
    <cellStyle name="Normal 8 2 2 3 2 3" xfId="1520" xr:uid="{00000000-0005-0000-0000-000002C20000}"/>
    <cellStyle name="Normal 8 2 2 3 2 3 2" xfId="8054" xr:uid="{00000000-0005-0000-0000-000003C20000}"/>
    <cellStyle name="Normal 8 2 2 3 2 3 2 2" xfId="39795" xr:uid="{00000000-0005-0000-0000-000004C20000}"/>
    <cellStyle name="Normal 8 2 2 3 2 3 2 2 2" xfId="55895" xr:uid="{00000000-0005-0000-0000-000005C20000}"/>
    <cellStyle name="Normal 8 2 2 3 2 3 2 3" xfId="46328" xr:uid="{00000000-0005-0000-0000-000006C20000}"/>
    <cellStyle name="Normal 8 2 2 3 2 3 2 4" xfId="30228" xr:uid="{00000000-0005-0000-0000-000007C20000}"/>
    <cellStyle name="Normal 8 2 2 3 2 3 2 5" xfId="20659" xr:uid="{00000000-0005-0000-0000-000008C20000}"/>
    <cellStyle name="Normal 8 2 2 3 2 3 3" xfId="11090" xr:uid="{00000000-0005-0000-0000-000009C20000}"/>
    <cellStyle name="Normal 8 2 2 3 2 3 3 2" xfId="49364" xr:uid="{00000000-0005-0000-0000-00000AC20000}"/>
    <cellStyle name="Normal 8 2 2 3 2 3 3 3" xfId="33264" xr:uid="{00000000-0005-0000-0000-00000BC20000}"/>
    <cellStyle name="Normal 8 2 2 3 2 3 3 4" xfId="23695" xr:uid="{00000000-0005-0000-0000-00000CC20000}"/>
    <cellStyle name="Normal 8 2 2 3 2 3 4" xfId="5018" xr:uid="{00000000-0005-0000-0000-00000DC20000}"/>
    <cellStyle name="Normal 8 2 2 3 2 3 4 2" xfId="52859" xr:uid="{00000000-0005-0000-0000-00000EC20000}"/>
    <cellStyle name="Normal 8 2 2 3 2 3 4 3" xfId="36759" xr:uid="{00000000-0005-0000-0000-00000FC20000}"/>
    <cellStyle name="Normal 8 2 2 3 2 3 4 4" xfId="17623" xr:uid="{00000000-0005-0000-0000-000010C20000}"/>
    <cellStyle name="Normal 8 2 2 3 2 3 5" xfId="43292" xr:uid="{00000000-0005-0000-0000-000011C20000}"/>
    <cellStyle name="Normal 8 2 2 3 2 3 6" xfId="27192" xr:uid="{00000000-0005-0000-0000-000012C20000}"/>
    <cellStyle name="Normal 8 2 2 3 2 3 7" xfId="14128" xr:uid="{00000000-0005-0000-0000-000013C20000}"/>
    <cellStyle name="Normal 8 2 2 3 2 4" xfId="7044" xr:uid="{00000000-0005-0000-0000-000014C20000}"/>
    <cellStyle name="Normal 8 2 2 3 2 4 2" xfId="38785" xr:uid="{00000000-0005-0000-0000-000015C20000}"/>
    <cellStyle name="Normal 8 2 2 3 2 4 2 2" xfId="54885" xr:uid="{00000000-0005-0000-0000-000016C20000}"/>
    <cellStyle name="Normal 8 2 2 3 2 4 3" xfId="45318" xr:uid="{00000000-0005-0000-0000-000017C20000}"/>
    <cellStyle name="Normal 8 2 2 3 2 4 4" xfId="29218" xr:uid="{00000000-0005-0000-0000-000018C20000}"/>
    <cellStyle name="Normal 8 2 2 3 2 4 5" xfId="19649" xr:uid="{00000000-0005-0000-0000-000019C20000}"/>
    <cellStyle name="Normal 8 2 2 3 2 5" xfId="10080" xr:uid="{00000000-0005-0000-0000-00001AC20000}"/>
    <cellStyle name="Normal 8 2 2 3 2 5 2" xfId="48354" xr:uid="{00000000-0005-0000-0000-00001BC20000}"/>
    <cellStyle name="Normal 8 2 2 3 2 5 3" xfId="32254" xr:uid="{00000000-0005-0000-0000-00001CC20000}"/>
    <cellStyle name="Normal 8 2 2 3 2 5 4" xfId="22685" xr:uid="{00000000-0005-0000-0000-00001DC20000}"/>
    <cellStyle name="Normal 8 2 2 3 2 6" xfId="4008" xr:uid="{00000000-0005-0000-0000-00001EC20000}"/>
    <cellStyle name="Normal 8 2 2 3 2 6 2" xfId="51849" xr:uid="{00000000-0005-0000-0000-00001FC20000}"/>
    <cellStyle name="Normal 8 2 2 3 2 6 3" xfId="35749" xr:uid="{00000000-0005-0000-0000-000020C20000}"/>
    <cellStyle name="Normal 8 2 2 3 2 6 4" xfId="16613" xr:uid="{00000000-0005-0000-0000-000021C20000}"/>
    <cellStyle name="Normal 8 2 2 3 2 7" xfId="42282" xr:uid="{00000000-0005-0000-0000-000022C20000}"/>
    <cellStyle name="Normal 8 2 2 3 2 8" xfId="26182" xr:uid="{00000000-0005-0000-0000-000023C20000}"/>
    <cellStyle name="Normal 8 2 2 3 2 9" xfId="13118" xr:uid="{00000000-0005-0000-0000-000024C20000}"/>
    <cellStyle name="Normal 8 2 2 3 3" xfId="981" xr:uid="{00000000-0005-0000-0000-000025C20000}"/>
    <cellStyle name="Normal 8 2 2 3 3 2" xfId="3009" xr:uid="{00000000-0005-0000-0000-000026C20000}"/>
    <cellStyle name="Normal 8 2 2 3 3 2 2" xfId="9541" xr:uid="{00000000-0005-0000-0000-000027C20000}"/>
    <cellStyle name="Normal 8 2 2 3 3 2 2 2" xfId="41282" xr:uid="{00000000-0005-0000-0000-000028C20000}"/>
    <cellStyle name="Normal 8 2 2 3 3 2 2 2 2" xfId="57382" xr:uid="{00000000-0005-0000-0000-000029C20000}"/>
    <cellStyle name="Normal 8 2 2 3 3 2 2 3" xfId="47815" xr:uid="{00000000-0005-0000-0000-00002AC20000}"/>
    <cellStyle name="Normal 8 2 2 3 3 2 2 4" xfId="31715" xr:uid="{00000000-0005-0000-0000-00002BC20000}"/>
    <cellStyle name="Normal 8 2 2 3 3 2 2 5" xfId="22146" xr:uid="{00000000-0005-0000-0000-00002CC20000}"/>
    <cellStyle name="Normal 8 2 2 3 3 2 3" xfId="12577" xr:uid="{00000000-0005-0000-0000-00002DC20000}"/>
    <cellStyle name="Normal 8 2 2 3 3 2 3 2" xfId="50851" xr:uid="{00000000-0005-0000-0000-00002EC20000}"/>
    <cellStyle name="Normal 8 2 2 3 3 2 3 3" xfId="34751" xr:uid="{00000000-0005-0000-0000-00002FC20000}"/>
    <cellStyle name="Normal 8 2 2 3 3 2 3 4" xfId="25182" xr:uid="{00000000-0005-0000-0000-000030C20000}"/>
    <cellStyle name="Normal 8 2 2 3 3 2 4" xfId="6505" xr:uid="{00000000-0005-0000-0000-000031C20000}"/>
    <cellStyle name="Normal 8 2 2 3 3 2 4 2" xfId="54346" xr:uid="{00000000-0005-0000-0000-000032C20000}"/>
    <cellStyle name="Normal 8 2 2 3 3 2 4 3" xfId="38246" xr:uid="{00000000-0005-0000-0000-000033C20000}"/>
    <cellStyle name="Normal 8 2 2 3 3 2 4 4" xfId="19110" xr:uid="{00000000-0005-0000-0000-000034C20000}"/>
    <cellStyle name="Normal 8 2 2 3 3 2 5" xfId="44779" xr:uid="{00000000-0005-0000-0000-000035C20000}"/>
    <cellStyle name="Normal 8 2 2 3 3 2 6" xfId="28679" xr:uid="{00000000-0005-0000-0000-000036C20000}"/>
    <cellStyle name="Normal 8 2 2 3 3 2 7" xfId="15615" xr:uid="{00000000-0005-0000-0000-000037C20000}"/>
    <cellStyle name="Normal 8 2 2 3 3 3" xfId="1991" xr:uid="{00000000-0005-0000-0000-000038C20000}"/>
    <cellStyle name="Normal 8 2 2 3 3 3 2" xfId="8525" xr:uid="{00000000-0005-0000-0000-000039C20000}"/>
    <cellStyle name="Normal 8 2 2 3 3 3 2 2" xfId="40266" xr:uid="{00000000-0005-0000-0000-00003AC20000}"/>
    <cellStyle name="Normal 8 2 2 3 3 3 2 2 2" xfId="56366" xr:uid="{00000000-0005-0000-0000-00003BC20000}"/>
    <cellStyle name="Normal 8 2 2 3 3 3 2 3" xfId="46799" xr:uid="{00000000-0005-0000-0000-00003CC20000}"/>
    <cellStyle name="Normal 8 2 2 3 3 3 2 4" xfId="30699" xr:uid="{00000000-0005-0000-0000-00003DC20000}"/>
    <cellStyle name="Normal 8 2 2 3 3 3 2 5" xfId="21130" xr:uid="{00000000-0005-0000-0000-00003EC20000}"/>
    <cellStyle name="Normal 8 2 2 3 3 3 3" xfId="11561" xr:uid="{00000000-0005-0000-0000-00003FC20000}"/>
    <cellStyle name="Normal 8 2 2 3 3 3 3 2" xfId="49835" xr:uid="{00000000-0005-0000-0000-000040C20000}"/>
    <cellStyle name="Normal 8 2 2 3 3 3 3 3" xfId="33735" xr:uid="{00000000-0005-0000-0000-000041C20000}"/>
    <cellStyle name="Normal 8 2 2 3 3 3 3 4" xfId="24166" xr:uid="{00000000-0005-0000-0000-000042C20000}"/>
    <cellStyle name="Normal 8 2 2 3 3 3 4" xfId="5489" xr:uid="{00000000-0005-0000-0000-000043C20000}"/>
    <cellStyle name="Normal 8 2 2 3 3 3 4 2" xfId="53330" xr:uid="{00000000-0005-0000-0000-000044C20000}"/>
    <cellStyle name="Normal 8 2 2 3 3 3 4 3" xfId="37230" xr:uid="{00000000-0005-0000-0000-000045C20000}"/>
    <cellStyle name="Normal 8 2 2 3 3 3 4 4" xfId="18094" xr:uid="{00000000-0005-0000-0000-000046C20000}"/>
    <cellStyle name="Normal 8 2 2 3 3 3 5" xfId="43763" xr:uid="{00000000-0005-0000-0000-000047C20000}"/>
    <cellStyle name="Normal 8 2 2 3 3 3 6" xfId="27663" xr:uid="{00000000-0005-0000-0000-000048C20000}"/>
    <cellStyle name="Normal 8 2 2 3 3 3 7" xfId="14599" xr:uid="{00000000-0005-0000-0000-000049C20000}"/>
    <cellStyle name="Normal 8 2 2 3 3 4" xfId="7515" xr:uid="{00000000-0005-0000-0000-00004AC20000}"/>
    <cellStyle name="Normal 8 2 2 3 3 4 2" xfId="39256" xr:uid="{00000000-0005-0000-0000-00004BC20000}"/>
    <cellStyle name="Normal 8 2 2 3 3 4 2 2" xfId="55356" xr:uid="{00000000-0005-0000-0000-00004CC20000}"/>
    <cellStyle name="Normal 8 2 2 3 3 4 3" xfId="45789" xr:uid="{00000000-0005-0000-0000-00004DC20000}"/>
    <cellStyle name="Normal 8 2 2 3 3 4 4" xfId="29689" xr:uid="{00000000-0005-0000-0000-00004EC20000}"/>
    <cellStyle name="Normal 8 2 2 3 3 4 5" xfId="20120" xr:uid="{00000000-0005-0000-0000-00004FC20000}"/>
    <cellStyle name="Normal 8 2 2 3 3 5" xfId="10551" xr:uid="{00000000-0005-0000-0000-000050C20000}"/>
    <cellStyle name="Normal 8 2 2 3 3 5 2" xfId="48825" xr:uid="{00000000-0005-0000-0000-000051C20000}"/>
    <cellStyle name="Normal 8 2 2 3 3 5 3" xfId="32725" xr:uid="{00000000-0005-0000-0000-000052C20000}"/>
    <cellStyle name="Normal 8 2 2 3 3 5 4" xfId="23156" xr:uid="{00000000-0005-0000-0000-000053C20000}"/>
    <cellStyle name="Normal 8 2 2 3 3 6" xfId="4479" xr:uid="{00000000-0005-0000-0000-000054C20000}"/>
    <cellStyle name="Normal 8 2 2 3 3 6 2" xfId="52320" xr:uid="{00000000-0005-0000-0000-000055C20000}"/>
    <cellStyle name="Normal 8 2 2 3 3 6 3" xfId="36220" xr:uid="{00000000-0005-0000-0000-000056C20000}"/>
    <cellStyle name="Normal 8 2 2 3 3 6 4" xfId="17084" xr:uid="{00000000-0005-0000-0000-000057C20000}"/>
    <cellStyle name="Normal 8 2 2 3 3 7" xfId="42753" xr:uid="{00000000-0005-0000-0000-000058C20000}"/>
    <cellStyle name="Normal 8 2 2 3 3 8" xfId="26653" xr:uid="{00000000-0005-0000-0000-000059C20000}"/>
    <cellStyle name="Normal 8 2 2 3 3 9" xfId="13589" xr:uid="{00000000-0005-0000-0000-00005AC20000}"/>
    <cellStyle name="Normal 8 2 2 3 4" xfId="2131" xr:uid="{00000000-0005-0000-0000-00005BC20000}"/>
    <cellStyle name="Normal 8 2 2 3 4 2" xfId="8665" xr:uid="{00000000-0005-0000-0000-00005CC20000}"/>
    <cellStyle name="Normal 8 2 2 3 4 2 2" xfId="40406" xr:uid="{00000000-0005-0000-0000-00005DC20000}"/>
    <cellStyle name="Normal 8 2 2 3 4 2 2 2" xfId="56506" xr:uid="{00000000-0005-0000-0000-00005EC20000}"/>
    <cellStyle name="Normal 8 2 2 3 4 2 3" xfId="46939" xr:uid="{00000000-0005-0000-0000-00005FC20000}"/>
    <cellStyle name="Normal 8 2 2 3 4 2 4" xfId="30839" xr:uid="{00000000-0005-0000-0000-000060C20000}"/>
    <cellStyle name="Normal 8 2 2 3 4 2 5" xfId="21270" xr:uid="{00000000-0005-0000-0000-000061C20000}"/>
    <cellStyle name="Normal 8 2 2 3 4 3" xfId="11701" xr:uid="{00000000-0005-0000-0000-000062C20000}"/>
    <cellStyle name="Normal 8 2 2 3 4 3 2" xfId="49975" xr:uid="{00000000-0005-0000-0000-000063C20000}"/>
    <cellStyle name="Normal 8 2 2 3 4 3 3" xfId="33875" xr:uid="{00000000-0005-0000-0000-000064C20000}"/>
    <cellStyle name="Normal 8 2 2 3 4 3 4" xfId="24306" xr:uid="{00000000-0005-0000-0000-000065C20000}"/>
    <cellStyle name="Normal 8 2 2 3 4 4" xfId="5629" xr:uid="{00000000-0005-0000-0000-000066C20000}"/>
    <cellStyle name="Normal 8 2 2 3 4 4 2" xfId="53470" xr:uid="{00000000-0005-0000-0000-000067C20000}"/>
    <cellStyle name="Normal 8 2 2 3 4 4 3" xfId="37370" xr:uid="{00000000-0005-0000-0000-000068C20000}"/>
    <cellStyle name="Normal 8 2 2 3 4 4 4" xfId="18234" xr:uid="{00000000-0005-0000-0000-000069C20000}"/>
    <cellStyle name="Normal 8 2 2 3 4 5" xfId="43903" xr:uid="{00000000-0005-0000-0000-00006AC20000}"/>
    <cellStyle name="Normal 8 2 2 3 4 6" xfId="27803" xr:uid="{00000000-0005-0000-0000-00006BC20000}"/>
    <cellStyle name="Normal 8 2 2 3 4 7" xfId="14739" xr:uid="{00000000-0005-0000-0000-00006CC20000}"/>
    <cellStyle name="Normal 8 2 2 3 5" xfId="1343" xr:uid="{00000000-0005-0000-0000-00006DC20000}"/>
    <cellStyle name="Normal 8 2 2 3 5 2" xfId="7877" xr:uid="{00000000-0005-0000-0000-00006EC20000}"/>
    <cellStyle name="Normal 8 2 2 3 5 2 2" xfId="39618" xr:uid="{00000000-0005-0000-0000-00006FC20000}"/>
    <cellStyle name="Normal 8 2 2 3 5 2 2 2" xfId="55718" xr:uid="{00000000-0005-0000-0000-000070C20000}"/>
    <cellStyle name="Normal 8 2 2 3 5 2 3" xfId="46151" xr:uid="{00000000-0005-0000-0000-000071C20000}"/>
    <cellStyle name="Normal 8 2 2 3 5 2 4" xfId="30051" xr:uid="{00000000-0005-0000-0000-000072C20000}"/>
    <cellStyle name="Normal 8 2 2 3 5 2 5" xfId="20482" xr:uid="{00000000-0005-0000-0000-000073C20000}"/>
    <cellStyle name="Normal 8 2 2 3 5 3" xfId="10913" xr:uid="{00000000-0005-0000-0000-000074C20000}"/>
    <cellStyle name="Normal 8 2 2 3 5 3 2" xfId="49187" xr:uid="{00000000-0005-0000-0000-000075C20000}"/>
    <cellStyle name="Normal 8 2 2 3 5 3 3" xfId="33087" xr:uid="{00000000-0005-0000-0000-000076C20000}"/>
    <cellStyle name="Normal 8 2 2 3 5 3 4" xfId="23518" xr:uid="{00000000-0005-0000-0000-000077C20000}"/>
    <cellStyle name="Normal 8 2 2 3 5 4" xfId="4841" xr:uid="{00000000-0005-0000-0000-000078C20000}"/>
    <cellStyle name="Normal 8 2 2 3 5 4 2" xfId="52682" xr:uid="{00000000-0005-0000-0000-000079C20000}"/>
    <cellStyle name="Normal 8 2 2 3 5 4 3" xfId="36582" xr:uid="{00000000-0005-0000-0000-00007AC20000}"/>
    <cellStyle name="Normal 8 2 2 3 5 4 4" xfId="17446" xr:uid="{00000000-0005-0000-0000-00007BC20000}"/>
    <cellStyle name="Normal 8 2 2 3 5 5" xfId="43115" xr:uid="{00000000-0005-0000-0000-00007CC20000}"/>
    <cellStyle name="Normal 8 2 2 3 5 6" xfId="27015" xr:uid="{00000000-0005-0000-0000-00007DC20000}"/>
    <cellStyle name="Normal 8 2 2 3 5 7" xfId="13951" xr:uid="{00000000-0005-0000-0000-00007EC20000}"/>
    <cellStyle name="Normal 8 2 2 3 6" xfId="3831" xr:uid="{00000000-0005-0000-0000-00007FC20000}"/>
    <cellStyle name="Normal 8 2 2 3 6 2" xfId="35572" xr:uid="{00000000-0005-0000-0000-000080C20000}"/>
    <cellStyle name="Normal 8 2 2 3 6 2 2" xfId="51672" xr:uid="{00000000-0005-0000-0000-000081C20000}"/>
    <cellStyle name="Normal 8 2 2 3 6 3" xfId="42105" xr:uid="{00000000-0005-0000-0000-000082C20000}"/>
    <cellStyle name="Normal 8 2 2 3 6 4" xfId="26005" xr:uid="{00000000-0005-0000-0000-000083C20000}"/>
    <cellStyle name="Normal 8 2 2 3 6 5" xfId="16436" xr:uid="{00000000-0005-0000-0000-000084C20000}"/>
    <cellStyle name="Normal 8 2 2 3 7" xfId="6867" xr:uid="{00000000-0005-0000-0000-000085C20000}"/>
    <cellStyle name="Normal 8 2 2 3 7 2" xfId="38608" xr:uid="{00000000-0005-0000-0000-000086C20000}"/>
    <cellStyle name="Normal 8 2 2 3 7 2 2" xfId="54708" xr:uid="{00000000-0005-0000-0000-000087C20000}"/>
    <cellStyle name="Normal 8 2 2 3 7 3" xfId="45141" xr:uid="{00000000-0005-0000-0000-000088C20000}"/>
    <cellStyle name="Normal 8 2 2 3 7 4" xfId="29041" xr:uid="{00000000-0005-0000-0000-000089C20000}"/>
    <cellStyle name="Normal 8 2 2 3 7 5" xfId="19472" xr:uid="{00000000-0005-0000-0000-00008AC20000}"/>
    <cellStyle name="Normal 8 2 2 3 8" xfId="9903" xr:uid="{00000000-0005-0000-0000-00008BC20000}"/>
    <cellStyle name="Normal 8 2 2 3 8 2" xfId="48177" xr:uid="{00000000-0005-0000-0000-00008CC20000}"/>
    <cellStyle name="Normal 8 2 2 3 8 3" xfId="32077" xr:uid="{00000000-0005-0000-0000-00008DC20000}"/>
    <cellStyle name="Normal 8 2 2 3 8 4" xfId="22508" xr:uid="{00000000-0005-0000-0000-00008EC20000}"/>
    <cellStyle name="Normal 8 2 2 3 9" xfId="3352" xr:uid="{00000000-0005-0000-0000-00008FC20000}"/>
    <cellStyle name="Normal 8 2 2 3 9 2" xfId="51193" xr:uid="{00000000-0005-0000-0000-000090C20000}"/>
    <cellStyle name="Normal 8 2 2 3 9 3" xfId="35093" xr:uid="{00000000-0005-0000-0000-000091C20000}"/>
    <cellStyle name="Normal 8 2 2 3 9 4" xfId="15957" xr:uid="{00000000-0005-0000-0000-000092C20000}"/>
    <cellStyle name="Normal 8 2 2 4" xfId="183" xr:uid="{00000000-0005-0000-0000-000093C20000}"/>
    <cellStyle name="Normal 8 2 2 4 10" xfId="26076" xr:uid="{00000000-0005-0000-0000-000094C20000}"/>
    <cellStyle name="Normal 8 2 2 4 11" xfId="13012" xr:uid="{00000000-0005-0000-0000-000095C20000}"/>
    <cellStyle name="Normal 8 2 2 4 2" xfId="360" xr:uid="{00000000-0005-0000-0000-000096C20000}"/>
    <cellStyle name="Normal 8 2 2 4 2 2" xfId="2379" xr:uid="{00000000-0005-0000-0000-000097C20000}"/>
    <cellStyle name="Normal 8 2 2 4 2 2 2" xfId="8913" xr:uid="{00000000-0005-0000-0000-000098C20000}"/>
    <cellStyle name="Normal 8 2 2 4 2 2 2 2" xfId="40654" xr:uid="{00000000-0005-0000-0000-000099C20000}"/>
    <cellStyle name="Normal 8 2 2 4 2 2 2 2 2" xfId="56754" xr:uid="{00000000-0005-0000-0000-00009AC20000}"/>
    <cellStyle name="Normal 8 2 2 4 2 2 2 3" xfId="47187" xr:uid="{00000000-0005-0000-0000-00009BC20000}"/>
    <cellStyle name="Normal 8 2 2 4 2 2 2 4" xfId="31087" xr:uid="{00000000-0005-0000-0000-00009CC20000}"/>
    <cellStyle name="Normal 8 2 2 4 2 2 2 5" xfId="21518" xr:uid="{00000000-0005-0000-0000-00009DC20000}"/>
    <cellStyle name="Normal 8 2 2 4 2 2 3" xfId="11949" xr:uid="{00000000-0005-0000-0000-00009EC20000}"/>
    <cellStyle name="Normal 8 2 2 4 2 2 3 2" xfId="50223" xr:uid="{00000000-0005-0000-0000-00009FC20000}"/>
    <cellStyle name="Normal 8 2 2 4 2 2 3 3" xfId="34123" xr:uid="{00000000-0005-0000-0000-0000A0C20000}"/>
    <cellStyle name="Normal 8 2 2 4 2 2 3 4" xfId="24554" xr:uid="{00000000-0005-0000-0000-0000A1C20000}"/>
    <cellStyle name="Normal 8 2 2 4 2 2 4" xfId="5877" xr:uid="{00000000-0005-0000-0000-0000A2C20000}"/>
    <cellStyle name="Normal 8 2 2 4 2 2 4 2" xfId="53718" xr:uid="{00000000-0005-0000-0000-0000A3C20000}"/>
    <cellStyle name="Normal 8 2 2 4 2 2 4 3" xfId="37618" xr:uid="{00000000-0005-0000-0000-0000A4C20000}"/>
    <cellStyle name="Normal 8 2 2 4 2 2 4 4" xfId="18482" xr:uid="{00000000-0005-0000-0000-0000A5C20000}"/>
    <cellStyle name="Normal 8 2 2 4 2 2 5" xfId="44151" xr:uid="{00000000-0005-0000-0000-0000A6C20000}"/>
    <cellStyle name="Normal 8 2 2 4 2 2 6" xfId="28051" xr:uid="{00000000-0005-0000-0000-0000A7C20000}"/>
    <cellStyle name="Normal 8 2 2 4 2 2 7" xfId="14987" xr:uid="{00000000-0005-0000-0000-0000A8C20000}"/>
    <cellStyle name="Normal 8 2 2 4 2 3" xfId="1591" xr:uid="{00000000-0005-0000-0000-0000A9C20000}"/>
    <cellStyle name="Normal 8 2 2 4 2 3 2" xfId="8125" xr:uid="{00000000-0005-0000-0000-0000AAC20000}"/>
    <cellStyle name="Normal 8 2 2 4 2 3 2 2" xfId="39866" xr:uid="{00000000-0005-0000-0000-0000ABC20000}"/>
    <cellStyle name="Normal 8 2 2 4 2 3 2 2 2" xfId="55966" xr:uid="{00000000-0005-0000-0000-0000ACC20000}"/>
    <cellStyle name="Normal 8 2 2 4 2 3 2 3" xfId="46399" xr:uid="{00000000-0005-0000-0000-0000ADC20000}"/>
    <cellStyle name="Normal 8 2 2 4 2 3 2 4" xfId="30299" xr:uid="{00000000-0005-0000-0000-0000AEC20000}"/>
    <cellStyle name="Normal 8 2 2 4 2 3 2 5" xfId="20730" xr:uid="{00000000-0005-0000-0000-0000AFC20000}"/>
    <cellStyle name="Normal 8 2 2 4 2 3 3" xfId="11161" xr:uid="{00000000-0005-0000-0000-0000B0C20000}"/>
    <cellStyle name="Normal 8 2 2 4 2 3 3 2" xfId="49435" xr:uid="{00000000-0005-0000-0000-0000B1C20000}"/>
    <cellStyle name="Normal 8 2 2 4 2 3 3 3" xfId="33335" xr:uid="{00000000-0005-0000-0000-0000B2C20000}"/>
    <cellStyle name="Normal 8 2 2 4 2 3 3 4" xfId="23766" xr:uid="{00000000-0005-0000-0000-0000B3C20000}"/>
    <cellStyle name="Normal 8 2 2 4 2 3 4" xfId="5089" xr:uid="{00000000-0005-0000-0000-0000B4C20000}"/>
    <cellStyle name="Normal 8 2 2 4 2 3 4 2" xfId="52930" xr:uid="{00000000-0005-0000-0000-0000B5C20000}"/>
    <cellStyle name="Normal 8 2 2 4 2 3 4 3" xfId="36830" xr:uid="{00000000-0005-0000-0000-0000B6C20000}"/>
    <cellStyle name="Normal 8 2 2 4 2 3 4 4" xfId="17694" xr:uid="{00000000-0005-0000-0000-0000B7C20000}"/>
    <cellStyle name="Normal 8 2 2 4 2 3 5" xfId="43363" xr:uid="{00000000-0005-0000-0000-0000B8C20000}"/>
    <cellStyle name="Normal 8 2 2 4 2 3 6" xfId="27263" xr:uid="{00000000-0005-0000-0000-0000B9C20000}"/>
    <cellStyle name="Normal 8 2 2 4 2 3 7" xfId="14199" xr:uid="{00000000-0005-0000-0000-0000BAC20000}"/>
    <cellStyle name="Normal 8 2 2 4 2 4" xfId="7115" xr:uid="{00000000-0005-0000-0000-0000BBC20000}"/>
    <cellStyle name="Normal 8 2 2 4 2 4 2" xfId="38856" xr:uid="{00000000-0005-0000-0000-0000BCC20000}"/>
    <cellStyle name="Normal 8 2 2 4 2 4 2 2" xfId="54956" xr:uid="{00000000-0005-0000-0000-0000BDC20000}"/>
    <cellStyle name="Normal 8 2 2 4 2 4 3" xfId="45389" xr:uid="{00000000-0005-0000-0000-0000BEC20000}"/>
    <cellStyle name="Normal 8 2 2 4 2 4 4" xfId="29289" xr:uid="{00000000-0005-0000-0000-0000BFC20000}"/>
    <cellStyle name="Normal 8 2 2 4 2 4 5" xfId="19720" xr:uid="{00000000-0005-0000-0000-0000C0C20000}"/>
    <cellStyle name="Normal 8 2 2 4 2 5" xfId="10151" xr:uid="{00000000-0005-0000-0000-0000C1C20000}"/>
    <cellStyle name="Normal 8 2 2 4 2 5 2" xfId="48425" xr:uid="{00000000-0005-0000-0000-0000C2C20000}"/>
    <cellStyle name="Normal 8 2 2 4 2 5 3" xfId="32325" xr:uid="{00000000-0005-0000-0000-0000C3C20000}"/>
    <cellStyle name="Normal 8 2 2 4 2 5 4" xfId="22756" xr:uid="{00000000-0005-0000-0000-0000C4C20000}"/>
    <cellStyle name="Normal 8 2 2 4 2 6" xfId="4079" xr:uid="{00000000-0005-0000-0000-0000C5C20000}"/>
    <cellStyle name="Normal 8 2 2 4 2 6 2" xfId="51920" xr:uid="{00000000-0005-0000-0000-0000C6C20000}"/>
    <cellStyle name="Normal 8 2 2 4 2 6 3" xfId="35820" xr:uid="{00000000-0005-0000-0000-0000C7C20000}"/>
    <cellStyle name="Normal 8 2 2 4 2 6 4" xfId="16684" xr:uid="{00000000-0005-0000-0000-0000C8C20000}"/>
    <cellStyle name="Normal 8 2 2 4 2 7" xfId="42353" xr:uid="{00000000-0005-0000-0000-0000C9C20000}"/>
    <cellStyle name="Normal 8 2 2 4 2 8" xfId="26253" xr:uid="{00000000-0005-0000-0000-0000CAC20000}"/>
    <cellStyle name="Normal 8 2 2 4 2 9" xfId="13189" xr:uid="{00000000-0005-0000-0000-0000CBC20000}"/>
    <cellStyle name="Normal 8 2 2 4 3" xfId="1000" xr:uid="{00000000-0005-0000-0000-0000CCC20000}"/>
    <cellStyle name="Normal 8 2 2 4 3 2" xfId="3028" xr:uid="{00000000-0005-0000-0000-0000CDC20000}"/>
    <cellStyle name="Normal 8 2 2 4 3 2 2" xfId="9560" xr:uid="{00000000-0005-0000-0000-0000CEC20000}"/>
    <cellStyle name="Normal 8 2 2 4 3 2 2 2" xfId="41301" xr:uid="{00000000-0005-0000-0000-0000CFC20000}"/>
    <cellStyle name="Normal 8 2 2 4 3 2 2 2 2" xfId="57401" xr:uid="{00000000-0005-0000-0000-0000D0C20000}"/>
    <cellStyle name="Normal 8 2 2 4 3 2 2 3" xfId="47834" xr:uid="{00000000-0005-0000-0000-0000D1C20000}"/>
    <cellStyle name="Normal 8 2 2 4 3 2 2 4" xfId="31734" xr:uid="{00000000-0005-0000-0000-0000D2C20000}"/>
    <cellStyle name="Normal 8 2 2 4 3 2 2 5" xfId="22165" xr:uid="{00000000-0005-0000-0000-0000D3C20000}"/>
    <cellStyle name="Normal 8 2 2 4 3 2 3" xfId="12596" xr:uid="{00000000-0005-0000-0000-0000D4C20000}"/>
    <cellStyle name="Normal 8 2 2 4 3 2 3 2" xfId="50870" xr:uid="{00000000-0005-0000-0000-0000D5C20000}"/>
    <cellStyle name="Normal 8 2 2 4 3 2 3 3" xfId="34770" xr:uid="{00000000-0005-0000-0000-0000D6C20000}"/>
    <cellStyle name="Normal 8 2 2 4 3 2 3 4" xfId="25201" xr:uid="{00000000-0005-0000-0000-0000D7C20000}"/>
    <cellStyle name="Normal 8 2 2 4 3 2 4" xfId="6524" xr:uid="{00000000-0005-0000-0000-0000D8C20000}"/>
    <cellStyle name="Normal 8 2 2 4 3 2 4 2" xfId="54365" xr:uid="{00000000-0005-0000-0000-0000D9C20000}"/>
    <cellStyle name="Normal 8 2 2 4 3 2 4 3" xfId="38265" xr:uid="{00000000-0005-0000-0000-0000DAC20000}"/>
    <cellStyle name="Normal 8 2 2 4 3 2 4 4" xfId="19129" xr:uid="{00000000-0005-0000-0000-0000DBC20000}"/>
    <cellStyle name="Normal 8 2 2 4 3 2 5" xfId="44798" xr:uid="{00000000-0005-0000-0000-0000DCC20000}"/>
    <cellStyle name="Normal 8 2 2 4 3 2 6" xfId="28698" xr:uid="{00000000-0005-0000-0000-0000DDC20000}"/>
    <cellStyle name="Normal 8 2 2 4 3 2 7" xfId="15634" xr:uid="{00000000-0005-0000-0000-0000DEC20000}"/>
    <cellStyle name="Normal 8 2 2 4 3 3" xfId="2010" xr:uid="{00000000-0005-0000-0000-0000DFC20000}"/>
    <cellStyle name="Normal 8 2 2 4 3 3 2" xfId="8544" xr:uid="{00000000-0005-0000-0000-0000E0C20000}"/>
    <cellStyle name="Normal 8 2 2 4 3 3 2 2" xfId="40285" xr:uid="{00000000-0005-0000-0000-0000E1C20000}"/>
    <cellStyle name="Normal 8 2 2 4 3 3 2 2 2" xfId="56385" xr:uid="{00000000-0005-0000-0000-0000E2C20000}"/>
    <cellStyle name="Normal 8 2 2 4 3 3 2 3" xfId="46818" xr:uid="{00000000-0005-0000-0000-0000E3C20000}"/>
    <cellStyle name="Normal 8 2 2 4 3 3 2 4" xfId="30718" xr:uid="{00000000-0005-0000-0000-0000E4C20000}"/>
    <cellStyle name="Normal 8 2 2 4 3 3 2 5" xfId="21149" xr:uid="{00000000-0005-0000-0000-0000E5C20000}"/>
    <cellStyle name="Normal 8 2 2 4 3 3 3" xfId="11580" xr:uid="{00000000-0005-0000-0000-0000E6C20000}"/>
    <cellStyle name="Normal 8 2 2 4 3 3 3 2" xfId="49854" xr:uid="{00000000-0005-0000-0000-0000E7C20000}"/>
    <cellStyle name="Normal 8 2 2 4 3 3 3 3" xfId="33754" xr:uid="{00000000-0005-0000-0000-0000E8C20000}"/>
    <cellStyle name="Normal 8 2 2 4 3 3 3 4" xfId="24185" xr:uid="{00000000-0005-0000-0000-0000E9C20000}"/>
    <cellStyle name="Normal 8 2 2 4 3 3 4" xfId="5508" xr:uid="{00000000-0005-0000-0000-0000EAC20000}"/>
    <cellStyle name="Normal 8 2 2 4 3 3 4 2" xfId="53349" xr:uid="{00000000-0005-0000-0000-0000EBC20000}"/>
    <cellStyle name="Normal 8 2 2 4 3 3 4 3" xfId="37249" xr:uid="{00000000-0005-0000-0000-0000ECC20000}"/>
    <cellStyle name="Normal 8 2 2 4 3 3 4 4" xfId="18113" xr:uid="{00000000-0005-0000-0000-0000EDC20000}"/>
    <cellStyle name="Normal 8 2 2 4 3 3 5" xfId="43782" xr:uid="{00000000-0005-0000-0000-0000EEC20000}"/>
    <cellStyle name="Normal 8 2 2 4 3 3 6" xfId="27682" xr:uid="{00000000-0005-0000-0000-0000EFC20000}"/>
    <cellStyle name="Normal 8 2 2 4 3 3 7" xfId="14618" xr:uid="{00000000-0005-0000-0000-0000F0C20000}"/>
    <cellStyle name="Normal 8 2 2 4 3 4" xfId="7534" xr:uid="{00000000-0005-0000-0000-0000F1C20000}"/>
    <cellStyle name="Normal 8 2 2 4 3 4 2" xfId="39275" xr:uid="{00000000-0005-0000-0000-0000F2C20000}"/>
    <cellStyle name="Normal 8 2 2 4 3 4 2 2" xfId="55375" xr:uid="{00000000-0005-0000-0000-0000F3C20000}"/>
    <cellStyle name="Normal 8 2 2 4 3 4 3" xfId="45808" xr:uid="{00000000-0005-0000-0000-0000F4C20000}"/>
    <cellStyle name="Normal 8 2 2 4 3 4 4" xfId="29708" xr:uid="{00000000-0005-0000-0000-0000F5C20000}"/>
    <cellStyle name="Normal 8 2 2 4 3 4 5" xfId="20139" xr:uid="{00000000-0005-0000-0000-0000F6C20000}"/>
    <cellStyle name="Normal 8 2 2 4 3 5" xfId="10570" xr:uid="{00000000-0005-0000-0000-0000F7C20000}"/>
    <cellStyle name="Normal 8 2 2 4 3 5 2" xfId="48844" xr:uid="{00000000-0005-0000-0000-0000F8C20000}"/>
    <cellStyle name="Normal 8 2 2 4 3 5 3" xfId="32744" xr:uid="{00000000-0005-0000-0000-0000F9C20000}"/>
    <cellStyle name="Normal 8 2 2 4 3 5 4" xfId="23175" xr:uid="{00000000-0005-0000-0000-0000FAC20000}"/>
    <cellStyle name="Normal 8 2 2 4 3 6" xfId="4498" xr:uid="{00000000-0005-0000-0000-0000FBC20000}"/>
    <cellStyle name="Normal 8 2 2 4 3 6 2" xfId="52339" xr:uid="{00000000-0005-0000-0000-0000FCC20000}"/>
    <cellStyle name="Normal 8 2 2 4 3 6 3" xfId="36239" xr:uid="{00000000-0005-0000-0000-0000FDC20000}"/>
    <cellStyle name="Normal 8 2 2 4 3 6 4" xfId="17103" xr:uid="{00000000-0005-0000-0000-0000FEC20000}"/>
    <cellStyle name="Normal 8 2 2 4 3 7" xfId="42772" xr:uid="{00000000-0005-0000-0000-0000FFC20000}"/>
    <cellStyle name="Normal 8 2 2 4 3 8" xfId="26672" xr:uid="{00000000-0005-0000-0000-000000C30000}"/>
    <cellStyle name="Normal 8 2 2 4 3 9" xfId="13608" xr:uid="{00000000-0005-0000-0000-000001C30000}"/>
    <cellStyle name="Normal 8 2 2 4 4" xfId="2202" xr:uid="{00000000-0005-0000-0000-000002C30000}"/>
    <cellStyle name="Normal 8 2 2 4 4 2" xfId="8736" xr:uid="{00000000-0005-0000-0000-000003C30000}"/>
    <cellStyle name="Normal 8 2 2 4 4 2 2" xfId="40477" xr:uid="{00000000-0005-0000-0000-000004C30000}"/>
    <cellStyle name="Normal 8 2 2 4 4 2 2 2" xfId="56577" xr:uid="{00000000-0005-0000-0000-000005C30000}"/>
    <cellStyle name="Normal 8 2 2 4 4 2 3" xfId="47010" xr:uid="{00000000-0005-0000-0000-000006C30000}"/>
    <cellStyle name="Normal 8 2 2 4 4 2 4" xfId="30910" xr:uid="{00000000-0005-0000-0000-000007C30000}"/>
    <cellStyle name="Normal 8 2 2 4 4 2 5" xfId="21341" xr:uid="{00000000-0005-0000-0000-000008C30000}"/>
    <cellStyle name="Normal 8 2 2 4 4 3" xfId="11772" xr:uid="{00000000-0005-0000-0000-000009C30000}"/>
    <cellStyle name="Normal 8 2 2 4 4 3 2" xfId="50046" xr:uid="{00000000-0005-0000-0000-00000AC30000}"/>
    <cellStyle name="Normal 8 2 2 4 4 3 3" xfId="33946" xr:uid="{00000000-0005-0000-0000-00000BC30000}"/>
    <cellStyle name="Normal 8 2 2 4 4 3 4" xfId="24377" xr:uid="{00000000-0005-0000-0000-00000CC30000}"/>
    <cellStyle name="Normal 8 2 2 4 4 4" xfId="5700" xr:uid="{00000000-0005-0000-0000-00000DC30000}"/>
    <cellStyle name="Normal 8 2 2 4 4 4 2" xfId="53541" xr:uid="{00000000-0005-0000-0000-00000EC30000}"/>
    <cellStyle name="Normal 8 2 2 4 4 4 3" xfId="37441" xr:uid="{00000000-0005-0000-0000-00000FC30000}"/>
    <cellStyle name="Normal 8 2 2 4 4 4 4" xfId="18305" xr:uid="{00000000-0005-0000-0000-000010C30000}"/>
    <cellStyle name="Normal 8 2 2 4 4 5" xfId="43974" xr:uid="{00000000-0005-0000-0000-000011C30000}"/>
    <cellStyle name="Normal 8 2 2 4 4 6" xfId="27874" xr:uid="{00000000-0005-0000-0000-000012C30000}"/>
    <cellStyle name="Normal 8 2 2 4 4 7" xfId="14810" xr:uid="{00000000-0005-0000-0000-000013C30000}"/>
    <cellStyle name="Normal 8 2 2 4 5" xfId="1414" xr:uid="{00000000-0005-0000-0000-000014C30000}"/>
    <cellStyle name="Normal 8 2 2 4 5 2" xfId="7948" xr:uid="{00000000-0005-0000-0000-000015C30000}"/>
    <cellStyle name="Normal 8 2 2 4 5 2 2" xfId="39689" xr:uid="{00000000-0005-0000-0000-000016C30000}"/>
    <cellStyle name="Normal 8 2 2 4 5 2 2 2" xfId="55789" xr:uid="{00000000-0005-0000-0000-000017C30000}"/>
    <cellStyle name="Normal 8 2 2 4 5 2 3" xfId="46222" xr:uid="{00000000-0005-0000-0000-000018C30000}"/>
    <cellStyle name="Normal 8 2 2 4 5 2 4" xfId="30122" xr:uid="{00000000-0005-0000-0000-000019C30000}"/>
    <cellStyle name="Normal 8 2 2 4 5 2 5" xfId="20553" xr:uid="{00000000-0005-0000-0000-00001AC30000}"/>
    <cellStyle name="Normal 8 2 2 4 5 3" xfId="10984" xr:uid="{00000000-0005-0000-0000-00001BC30000}"/>
    <cellStyle name="Normal 8 2 2 4 5 3 2" xfId="49258" xr:uid="{00000000-0005-0000-0000-00001CC30000}"/>
    <cellStyle name="Normal 8 2 2 4 5 3 3" xfId="33158" xr:uid="{00000000-0005-0000-0000-00001DC30000}"/>
    <cellStyle name="Normal 8 2 2 4 5 3 4" xfId="23589" xr:uid="{00000000-0005-0000-0000-00001EC30000}"/>
    <cellStyle name="Normal 8 2 2 4 5 4" xfId="4912" xr:uid="{00000000-0005-0000-0000-00001FC30000}"/>
    <cellStyle name="Normal 8 2 2 4 5 4 2" xfId="52753" xr:uid="{00000000-0005-0000-0000-000020C30000}"/>
    <cellStyle name="Normal 8 2 2 4 5 4 3" xfId="36653" xr:uid="{00000000-0005-0000-0000-000021C30000}"/>
    <cellStyle name="Normal 8 2 2 4 5 4 4" xfId="17517" xr:uid="{00000000-0005-0000-0000-000022C30000}"/>
    <cellStyle name="Normal 8 2 2 4 5 5" xfId="43186" xr:uid="{00000000-0005-0000-0000-000023C30000}"/>
    <cellStyle name="Normal 8 2 2 4 5 6" xfId="27086" xr:uid="{00000000-0005-0000-0000-000024C30000}"/>
    <cellStyle name="Normal 8 2 2 4 5 7" xfId="14022" xr:uid="{00000000-0005-0000-0000-000025C30000}"/>
    <cellStyle name="Normal 8 2 2 4 6" xfId="6938" xr:uid="{00000000-0005-0000-0000-000026C30000}"/>
    <cellStyle name="Normal 8 2 2 4 6 2" xfId="38679" xr:uid="{00000000-0005-0000-0000-000027C30000}"/>
    <cellStyle name="Normal 8 2 2 4 6 2 2" xfId="54779" xr:uid="{00000000-0005-0000-0000-000028C30000}"/>
    <cellStyle name="Normal 8 2 2 4 6 3" xfId="45212" xr:uid="{00000000-0005-0000-0000-000029C30000}"/>
    <cellStyle name="Normal 8 2 2 4 6 4" xfId="29112" xr:uid="{00000000-0005-0000-0000-00002AC30000}"/>
    <cellStyle name="Normal 8 2 2 4 6 5" xfId="19543" xr:uid="{00000000-0005-0000-0000-00002BC30000}"/>
    <cellStyle name="Normal 8 2 2 4 7" xfId="9974" xr:uid="{00000000-0005-0000-0000-00002CC30000}"/>
    <cellStyle name="Normal 8 2 2 4 7 2" xfId="48248" xr:uid="{00000000-0005-0000-0000-00002DC30000}"/>
    <cellStyle name="Normal 8 2 2 4 7 3" xfId="32148" xr:uid="{00000000-0005-0000-0000-00002EC30000}"/>
    <cellStyle name="Normal 8 2 2 4 7 4" xfId="22579" xr:uid="{00000000-0005-0000-0000-00002FC30000}"/>
    <cellStyle name="Normal 8 2 2 4 8" xfId="3902" xr:uid="{00000000-0005-0000-0000-000030C30000}"/>
    <cellStyle name="Normal 8 2 2 4 8 2" xfId="51743" xr:uid="{00000000-0005-0000-0000-000031C30000}"/>
    <cellStyle name="Normal 8 2 2 4 8 3" xfId="35643" xr:uid="{00000000-0005-0000-0000-000032C30000}"/>
    <cellStyle name="Normal 8 2 2 4 8 4" xfId="16507" xr:uid="{00000000-0005-0000-0000-000033C30000}"/>
    <cellStyle name="Normal 8 2 2 4 9" xfId="42176" xr:uid="{00000000-0005-0000-0000-000034C30000}"/>
    <cellStyle name="Normal 8 2 2 5" xfId="254" xr:uid="{00000000-0005-0000-0000-000035C30000}"/>
    <cellStyle name="Normal 8 2 2 5 2" xfId="2273" xr:uid="{00000000-0005-0000-0000-000036C30000}"/>
    <cellStyle name="Normal 8 2 2 5 2 2" xfId="8807" xr:uid="{00000000-0005-0000-0000-000037C30000}"/>
    <cellStyle name="Normal 8 2 2 5 2 2 2" xfId="40548" xr:uid="{00000000-0005-0000-0000-000038C30000}"/>
    <cellStyle name="Normal 8 2 2 5 2 2 2 2" xfId="56648" xr:uid="{00000000-0005-0000-0000-000039C30000}"/>
    <cellStyle name="Normal 8 2 2 5 2 2 3" xfId="47081" xr:uid="{00000000-0005-0000-0000-00003AC30000}"/>
    <cellStyle name="Normal 8 2 2 5 2 2 4" xfId="30981" xr:uid="{00000000-0005-0000-0000-00003BC30000}"/>
    <cellStyle name="Normal 8 2 2 5 2 2 5" xfId="21412" xr:uid="{00000000-0005-0000-0000-00003CC30000}"/>
    <cellStyle name="Normal 8 2 2 5 2 3" xfId="11843" xr:uid="{00000000-0005-0000-0000-00003DC30000}"/>
    <cellStyle name="Normal 8 2 2 5 2 3 2" xfId="50117" xr:uid="{00000000-0005-0000-0000-00003EC30000}"/>
    <cellStyle name="Normal 8 2 2 5 2 3 3" xfId="34017" xr:uid="{00000000-0005-0000-0000-00003FC30000}"/>
    <cellStyle name="Normal 8 2 2 5 2 3 4" xfId="24448" xr:uid="{00000000-0005-0000-0000-000040C30000}"/>
    <cellStyle name="Normal 8 2 2 5 2 4" xfId="5771" xr:uid="{00000000-0005-0000-0000-000041C30000}"/>
    <cellStyle name="Normal 8 2 2 5 2 4 2" xfId="53612" xr:uid="{00000000-0005-0000-0000-000042C30000}"/>
    <cellStyle name="Normal 8 2 2 5 2 4 3" xfId="37512" xr:uid="{00000000-0005-0000-0000-000043C30000}"/>
    <cellStyle name="Normal 8 2 2 5 2 4 4" xfId="18376" xr:uid="{00000000-0005-0000-0000-000044C30000}"/>
    <cellStyle name="Normal 8 2 2 5 2 5" xfId="44045" xr:uid="{00000000-0005-0000-0000-000045C30000}"/>
    <cellStyle name="Normal 8 2 2 5 2 6" xfId="27945" xr:uid="{00000000-0005-0000-0000-000046C30000}"/>
    <cellStyle name="Normal 8 2 2 5 2 7" xfId="14881" xr:uid="{00000000-0005-0000-0000-000047C30000}"/>
    <cellStyle name="Normal 8 2 2 5 3" xfId="1485" xr:uid="{00000000-0005-0000-0000-000048C30000}"/>
    <cellStyle name="Normal 8 2 2 5 3 2" xfId="8019" xr:uid="{00000000-0005-0000-0000-000049C30000}"/>
    <cellStyle name="Normal 8 2 2 5 3 2 2" xfId="39760" xr:uid="{00000000-0005-0000-0000-00004AC30000}"/>
    <cellStyle name="Normal 8 2 2 5 3 2 2 2" xfId="55860" xr:uid="{00000000-0005-0000-0000-00004BC30000}"/>
    <cellStyle name="Normal 8 2 2 5 3 2 3" xfId="46293" xr:uid="{00000000-0005-0000-0000-00004CC30000}"/>
    <cellStyle name="Normal 8 2 2 5 3 2 4" xfId="30193" xr:uid="{00000000-0005-0000-0000-00004DC30000}"/>
    <cellStyle name="Normal 8 2 2 5 3 2 5" xfId="20624" xr:uid="{00000000-0005-0000-0000-00004EC30000}"/>
    <cellStyle name="Normal 8 2 2 5 3 3" xfId="11055" xr:uid="{00000000-0005-0000-0000-00004FC30000}"/>
    <cellStyle name="Normal 8 2 2 5 3 3 2" xfId="49329" xr:uid="{00000000-0005-0000-0000-000050C30000}"/>
    <cellStyle name="Normal 8 2 2 5 3 3 3" xfId="33229" xr:uid="{00000000-0005-0000-0000-000051C30000}"/>
    <cellStyle name="Normal 8 2 2 5 3 3 4" xfId="23660" xr:uid="{00000000-0005-0000-0000-000052C30000}"/>
    <cellStyle name="Normal 8 2 2 5 3 4" xfId="4983" xr:uid="{00000000-0005-0000-0000-000053C30000}"/>
    <cellStyle name="Normal 8 2 2 5 3 4 2" xfId="52824" xr:uid="{00000000-0005-0000-0000-000054C30000}"/>
    <cellStyle name="Normal 8 2 2 5 3 4 3" xfId="36724" xr:uid="{00000000-0005-0000-0000-000055C30000}"/>
    <cellStyle name="Normal 8 2 2 5 3 4 4" xfId="17588" xr:uid="{00000000-0005-0000-0000-000056C30000}"/>
    <cellStyle name="Normal 8 2 2 5 3 5" xfId="43257" xr:uid="{00000000-0005-0000-0000-000057C30000}"/>
    <cellStyle name="Normal 8 2 2 5 3 6" xfId="27157" xr:uid="{00000000-0005-0000-0000-000058C30000}"/>
    <cellStyle name="Normal 8 2 2 5 3 7" xfId="14093" xr:uid="{00000000-0005-0000-0000-000059C30000}"/>
    <cellStyle name="Normal 8 2 2 5 4" xfId="7009" xr:uid="{00000000-0005-0000-0000-00005AC30000}"/>
    <cellStyle name="Normal 8 2 2 5 4 2" xfId="38750" xr:uid="{00000000-0005-0000-0000-00005BC30000}"/>
    <cellStyle name="Normal 8 2 2 5 4 2 2" xfId="54850" xr:uid="{00000000-0005-0000-0000-00005CC30000}"/>
    <cellStyle name="Normal 8 2 2 5 4 3" xfId="45283" xr:uid="{00000000-0005-0000-0000-00005DC30000}"/>
    <cellStyle name="Normal 8 2 2 5 4 4" xfId="29183" xr:uid="{00000000-0005-0000-0000-00005EC30000}"/>
    <cellStyle name="Normal 8 2 2 5 4 5" xfId="19614" xr:uid="{00000000-0005-0000-0000-00005FC30000}"/>
    <cellStyle name="Normal 8 2 2 5 5" xfId="10045" xr:uid="{00000000-0005-0000-0000-000060C30000}"/>
    <cellStyle name="Normal 8 2 2 5 5 2" xfId="48319" xr:uid="{00000000-0005-0000-0000-000061C30000}"/>
    <cellStyle name="Normal 8 2 2 5 5 3" xfId="32219" xr:uid="{00000000-0005-0000-0000-000062C30000}"/>
    <cellStyle name="Normal 8 2 2 5 5 4" xfId="22650" xr:uid="{00000000-0005-0000-0000-000063C30000}"/>
    <cellStyle name="Normal 8 2 2 5 6" xfId="3973" xr:uid="{00000000-0005-0000-0000-000064C30000}"/>
    <cellStyle name="Normal 8 2 2 5 6 2" xfId="51814" xr:uid="{00000000-0005-0000-0000-000065C30000}"/>
    <cellStyle name="Normal 8 2 2 5 6 3" xfId="35714" xr:uid="{00000000-0005-0000-0000-000066C30000}"/>
    <cellStyle name="Normal 8 2 2 5 6 4" xfId="16578" xr:uid="{00000000-0005-0000-0000-000067C30000}"/>
    <cellStyle name="Normal 8 2 2 5 7" xfId="42247" xr:uid="{00000000-0005-0000-0000-000068C30000}"/>
    <cellStyle name="Normal 8 2 2 5 8" xfId="26147" xr:uid="{00000000-0005-0000-0000-000069C30000}"/>
    <cellStyle name="Normal 8 2 2 5 9" xfId="13083" xr:uid="{00000000-0005-0000-0000-00006AC30000}"/>
    <cellStyle name="Normal 8 2 2 6" xfId="529" xr:uid="{00000000-0005-0000-0000-00006BC30000}"/>
    <cellStyle name="Normal 8 2 2 6 2" xfId="2559" xr:uid="{00000000-0005-0000-0000-00006CC30000}"/>
    <cellStyle name="Normal 8 2 2 6 2 2" xfId="9091" xr:uid="{00000000-0005-0000-0000-00006DC30000}"/>
    <cellStyle name="Normal 8 2 2 6 2 2 2" xfId="40832" xr:uid="{00000000-0005-0000-0000-00006EC30000}"/>
    <cellStyle name="Normal 8 2 2 6 2 2 2 2" xfId="56932" xr:uid="{00000000-0005-0000-0000-00006FC30000}"/>
    <cellStyle name="Normal 8 2 2 6 2 2 3" xfId="47365" xr:uid="{00000000-0005-0000-0000-000070C30000}"/>
    <cellStyle name="Normal 8 2 2 6 2 2 4" xfId="31265" xr:uid="{00000000-0005-0000-0000-000071C30000}"/>
    <cellStyle name="Normal 8 2 2 6 2 2 5" xfId="21696" xr:uid="{00000000-0005-0000-0000-000072C30000}"/>
    <cellStyle name="Normal 8 2 2 6 2 3" xfId="12127" xr:uid="{00000000-0005-0000-0000-000073C30000}"/>
    <cellStyle name="Normal 8 2 2 6 2 3 2" xfId="50401" xr:uid="{00000000-0005-0000-0000-000074C30000}"/>
    <cellStyle name="Normal 8 2 2 6 2 3 3" xfId="34301" xr:uid="{00000000-0005-0000-0000-000075C30000}"/>
    <cellStyle name="Normal 8 2 2 6 2 3 4" xfId="24732" xr:uid="{00000000-0005-0000-0000-000076C30000}"/>
    <cellStyle name="Normal 8 2 2 6 2 4" xfId="6055" xr:uid="{00000000-0005-0000-0000-000077C30000}"/>
    <cellStyle name="Normal 8 2 2 6 2 4 2" xfId="53896" xr:uid="{00000000-0005-0000-0000-000078C30000}"/>
    <cellStyle name="Normal 8 2 2 6 2 4 3" xfId="37796" xr:uid="{00000000-0005-0000-0000-000079C30000}"/>
    <cellStyle name="Normal 8 2 2 6 2 4 4" xfId="18660" xr:uid="{00000000-0005-0000-0000-00007AC30000}"/>
    <cellStyle name="Normal 8 2 2 6 2 5" xfId="44329" xr:uid="{00000000-0005-0000-0000-00007BC30000}"/>
    <cellStyle name="Normal 8 2 2 6 2 6" xfId="28229" xr:uid="{00000000-0005-0000-0000-00007CC30000}"/>
    <cellStyle name="Normal 8 2 2 6 2 7" xfId="15165" xr:uid="{00000000-0005-0000-0000-00007DC30000}"/>
    <cellStyle name="Normal 8 2 2 6 3" xfId="1308" xr:uid="{00000000-0005-0000-0000-00007EC30000}"/>
    <cellStyle name="Normal 8 2 2 6 3 2" xfId="7842" xr:uid="{00000000-0005-0000-0000-00007FC30000}"/>
    <cellStyle name="Normal 8 2 2 6 3 2 2" xfId="39583" xr:uid="{00000000-0005-0000-0000-000080C30000}"/>
    <cellStyle name="Normal 8 2 2 6 3 2 2 2" xfId="55683" xr:uid="{00000000-0005-0000-0000-000081C30000}"/>
    <cellStyle name="Normal 8 2 2 6 3 2 3" xfId="46116" xr:uid="{00000000-0005-0000-0000-000082C30000}"/>
    <cellStyle name="Normal 8 2 2 6 3 2 4" xfId="30016" xr:uid="{00000000-0005-0000-0000-000083C30000}"/>
    <cellStyle name="Normal 8 2 2 6 3 2 5" xfId="20447" xr:uid="{00000000-0005-0000-0000-000084C30000}"/>
    <cellStyle name="Normal 8 2 2 6 3 3" xfId="10878" xr:uid="{00000000-0005-0000-0000-000085C30000}"/>
    <cellStyle name="Normal 8 2 2 6 3 3 2" xfId="49152" xr:uid="{00000000-0005-0000-0000-000086C30000}"/>
    <cellStyle name="Normal 8 2 2 6 3 3 3" xfId="33052" xr:uid="{00000000-0005-0000-0000-000087C30000}"/>
    <cellStyle name="Normal 8 2 2 6 3 3 4" xfId="23483" xr:uid="{00000000-0005-0000-0000-000088C30000}"/>
    <cellStyle name="Normal 8 2 2 6 3 4" xfId="4806" xr:uid="{00000000-0005-0000-0000-000089C30000}"/>
    <cellStyle name="Normal 8 2 2 6 3 4 2" xfId="52647" xr:uid="{00000000-0005-0000-0000-00008AC30000}"/>
    <cellStyle name="Normal 8 2 2 6 3 4 3" xfId="36547" xr:uid="{00000000-0005-0000-0000-00008BC30000}"/>
    <cellStyle name="Normal 8 2 2 6 3 4 4" xfId="17411" xr:uid="{00000000-0005-0000-0000-00008CC30000}"/>
    <cellStyle name="Normal 8 2 2 6 3 5" xfId="43080" xr:uid="{00000000-0005-0000-0000-00008DC30000}"/>
    <cellStyle name="Normal 8 2 2 6 3 6" xfId="26980" xr:uid="{00000000-0005-0000-0000-00008EC30000}"/>
    <cellStyle name="Normal 8 2 2 6 3 7" xfId="13916" xr:uid="{00000000-0005-0000-0000-00008FC30000}"/>
    <cellStyle name="Normal 8 2 2 6 4" xfId="6832" xr:uid="{00000000-0005-0000-0000-000090C30000}"/>
    <cellStyle name="Normal 8 2 2 6 4 2" xfId="38573" xr:uid="{00000000-0005-0000-0000-000091C30000}"/>
    <cellStyle name="Normal 8 2 2 6 4 2 2" xfId="54673" xr:uid="{00000000-0005-0000-0000-000092C30000}"/>
    <cellStyle name="Normal 8 2 2 6 4 3" xfId="45106" xr:uid="{00000000-0005-0000-0000-000093C30000}"/>
    <cellStyle name="Normal 8 2 2 6 4 4" xfId="29006" xr:uid="{00000000-0005-0000-0000-000094C30000}"/>
    <cellStyle name="Normal 8 2 2 6 4 5" xfId="19437" xr:uid="{00000000-0005-0000-0000-000095C30000}"/>
    <cellStyle name="Normal 8 2 2 6 5" xfId="9868" xr:uid="{00000000-0005-0000-0000-000096C30000}"/>
    <cellStyle name="Normal 8 2 2 6 5 2" xfId="48142" xr:uid="{00000000-0005-0000-0000-000097C30000}"/>
    <cellStyle name="Normal 8 2 2 6 5 3" xfId="32042" xr:uid="{00000000-0005-0000-0000-000098C30000}"/>
    <cellStyle name="Normal 8 2 2 6 5 4" xfId="22473" xr:uid="{00000000-0005-0000-0000-000099C30000}"/>
    <cellStyle name="Normal 8 2 2 6 6" xfId="3796" xr:uid="{00000000-0005-0000-0000-00009AC30000}"/>
    <cellStyle name="Normal 8 2 2 6 6 2" xfId="51637" xr:uid="{00000000-0005-0000-0000-00009BC30000}"/>
    <cellStyle name="Normal 8 2 2 6 6 3" xfId="35537" xr:uid="{00000000-0005-0000-0000-00009CC30000}"/>
    <cellStyle name="Normal 8 2 2 6 6 4" xfId="16401" xr:uid="{00000000-0005-0000-0000-00009DC30000}"/>
    <cellStyle name="Normal 8 2 2 6 7" xfId="42070" xr:uid="{00000000-0005-0000-0000-00009EC30000}"/>
    <cellStyle name="Normal 8 2 2 6 8" xfId="25970" xr:uid="{00000000-0005-0000-0000-00009FC30000}"/>
    <cellStyle name="Normal 8 2 2 6 9" xfId="12906" xr:uid="{00000000-0005-0000-0000-0000A0C30000}"/>
    <cellStyle name="Normal 8 2 2 7" xfId="759" xr:uid="{00000000-0005-0000-0000-0000A1C30000}"/>
    <cellStyle name="Normal 8 2 2 7 2" xfId="2787" xr:uid="{00000000-0005-0000-0000-0000A2C30000}"/>
    <cellStyle name="Normal 8 2 2 7 2 2" xfId="9319" xr:uid="{00000000-0005-0000-0000-0000A3C30000}"/>
    <cellStyle name="Normal 8 2 2 7 2 2 2" xfId="41060" xr:uid="{00000000-0005-0000-0000-0000A4C30000}"/>
    <cellStyle name="Normal 8 2 2 7 2 2 2 2" xfId="57160" xr:uid="{00000000-0005-0000-0000-0000A5C30000}"/>
    <cellStyle name="Normal 8 2 2 7 2 2 3" xfId="47593" xr:uid="{00000000-0005-0000-0000-0000A6C30000}"/>
    <cellStyle name="Normal 8 2 2 7 2 2 4" xfId="31493" xr:uid="{00000000-0005-0000-0000-0000A7C30000}"/>
    <cellStyle name="Normal 8 2 2 7 2 2 5" xfId="21924" xr:uid="{00000000-0005-0000-0000-0000A8C30000}"/>
    <cellStyle name="Normal 8 2 2 7 2 3" xfId="12355" xr:uid="{00000000-0005-0000-0000-0000A9C30000}"/>
    <cellStyle name="Normal 8 2 2 7 2 3 2" xfId="50629" xr:uid="{00000000-0005-0000-0000-0000AAC30000}"/>
    <cellStyle name="Normal 8 2 2 7 2 3 3" xfId="34529" xr:uid="{00000000-0005-0000-0000-0000ABC30000}"/>
    <cellStyle name="Normal 8 2 2 7 2 3 4" xfId="24960" xr:uid="{00000000-0005-0000-0000-0000ACC30000}"/>
    <cellStyle name="Normal 8 2 2 7 2 4" xfId="6283" xr:uid="{00000000-0005-0000-0000-0000ADC30000}"/>
    <cellStyle name="Normal 8 2 2 7 2 4 2" xfId="54124" xr:uid="{00000000-0005-0000-0000-0000AEC30000}"/>
    <cellStyle name="Normal 8 2 2 7 2 4 3" xfId="38024" xr:uid="{00000000-0005-0000-0000-0000AFC30000}"/>
    <cellStyle name="Normal 8 2 2 7 2 4 4" xfId="18888" xr:uid="{00000000-0005-0000-0000-0000B0C30000}"/>
    <cellStyle name="Normal 8 2 2 7 2 5" xfId="44557" xr:uid="{00000000-0005-0000-0000-0000B1C30000}"/>
    <cellStyle name="Normal 8 2 2 7 2 6" xfId="28457" xr:uid="{00000000-0005-0000-0000-0000B2C30000}"/>
    <cellStyle name="Normal 8 2 2 7 2 7" xfId="15393" xr:uid="{00000000-0005-0000-0000-0000B3C30000}"/>
    <cellStyle name="Normal 8 2 2 7 3" xfId="1769" xr:uid="{00000000-0005-0000-0000-0000B4C30000}"/>
    <cellStyle name="Normal 8 2 2 7 3 2" xfId="8303" xr:uid="{00000000-0005-0000-0000-0000B5C30000}"/>
    <cellStyle name="Normal 8 2 2 7 3 2 2" xfId="40044" xr:uid="{00000000-0005-0000-0000-0000B6C30000}"/>
    <cellStyle name="Normal 8 2 2 7 3 2 2 2" xfId="56144" xr:uid="{00000000-0005-0000-0000-0000B7C30000}"/>
    <cellStyle name="Normal 8 2 2 7 3 2 3" xfId="46577" xr:uid="{00000000-0005-0000-0000-0000B8C30000}"/>
    <cellStyle name="Normal 8 2 2 7 3 2 4" xfId="30477" xr:uid="{00000000-0005-0000-0000-0000B9C30000}"/>
    <cellStyle name="Normal 8 2 2 7 3 2 5" xfId="20908" xr:uid="{00000000-0005-0000-0000-0000BAC30000}"/>
    <cellStyle name="Normal 8 2 2 7 3 3" xfId="11339" xr:uid="{00000000-0005-0000-0000-0000BBC30000}"/>
    <cellStyle name="Normal 8 2 2 7 3 3 2" xfId="49613" xr:uid="{00000000-0005-0000-0000-0000BCC30000}"/>
    <cellStyle name="Normal 8 2 2 7 3 3 3" xfId="33513" xr:uid="{00000000-0005-0000-0000-0000BDC30000}"/>
    <cellStyle name="Normal 8 2 2 7 3 3 4" xfId="23944" xr:uid="{00000000-0005-0000-0000-0000BEC30000}"/>
    <cellStyle name="Normal 8 2 2 7 3 4" xfId="5267" xr:uid="{00000000-0005-0000-0000-0000BFC30000}"/>
    <cellStyle name="Normal 8 2 2 7 3 4 2" xfId="53108" xr:uid="{00000000-0005-0000-0000-0000C0C30000}"/>
    <cellStyle name="Normal 8 2 2 7 3 4 3" xfId="37008" xr:uid="{00000000-0005-0000-0000-0000C1C30000}"/>
    <cellStyle name="Normal 8 2 2 7 3 4 4" xfId="17872" xr:uid="{00000000-0005-0000-0000-0000C2C30000}"/>
    <cellStyle name="Normal 8 2 2 7 3 5" xfId="43541" xr:uid="{00000000-0005-0000-0000-0000C3C30000}"/>
    <cellStyle name="Normal 8 2 2 7 3 6" xfId="27441" xr:uid="{00000000-0005-0000-0000-0000C4C30000}"/>
    <cellStyle name="Normal 8 2 2 7 3 7" xfId="14377" xr:uid="{00000000-0005-0000-0000-0000C5C30000}"/>
    <cellStyle name="Normal 8 2 2 7 4" xfId="7293" xr:uid="{00000000-0005-0000-0000-0000C6C30000}"/>
    <cellStyle name="Normal 8 2 2 7 4 2" xfId="39034" xr:uid="{00000000-0005-0000-0000-0000C7C30000}"/>
    <cellStyle name="Normal 8 2 2 7 4 2 2" xfId="55134" xr:uid="{00000000-0005-0000-0000-0000C8C30000}"/>
    <cellStyle name="Normal 8 2 2 7 4 3" xfId="45567" xr:uid="{00000000-0005-0000-0000-0000C9C30000}"/>
    <cellStyle name="Normal 8 2 2 7 4 4" xfId="29467" xr:uid="{00000000-0005-0000-0000-0000CAC30000}"/>
    <cellStyle name="Normal 8 2 2 7 4 5" xfId="19898" xr:uid="{00000000-0005-0000-0000-0000CBC30000}"/>
    <cellStyle name="Normal 8 2 2 7 5" xfId="10329" xr:uid="{00000000-0005-0000-0000-0000CCC30000}"/>
    <cellStyle name="Normal 8 2 2 7 5 2" xfId="48603" xr:uid="{00000000-0005-0000-0000-0000CDC30000}"/>
    <cellStyle name="Normal 8 2 2 7 5 3" xfId="32503" xr:uid="{00000000-0005-0000-0000-0000CEC30000}"/>
    <cellStyle name="Normal 8 2 2 7 5 4" xfId="22934" xr:uid="{00000000-0005-0000-0000-0000CFC30000}"/>
    <cellStyle name="Normal 8 2 2 7 6" xfId="4257" xr:uid="{00000000-0005-0000-0000-0000D0C30000}"/>
    <cellStyle name="Normal 8 2 2 7 6 2" xfId="52098" xr:uid="{00000000-0005-0000-0000-0000D1C30000}"/>
    <cellStyle name="Normal 8 2 2 7 6 3" xfId="35998" xr:uid="{00000000-0005-0000-0000-0000D2C30000}"/>
    <cellStyle name="Normal 8 2 2 7 6 4" xfId="16862" xr:uid="{00000000-0005-0000-0000-0000D3C30000}"/>
    <cellStyle name="Normal 8 2 2 7 7" xfId="42531" xr:uid="{00000000-0005-0000-0000-0000D4C30000}"/>
    <cellStyle name="Normal 8 2 2 7 8" xfId="26431" xr:uid="{00000000-0005-0000-0000-0000D5C30000}"/>
    <cellStyle name="Normal 8 2 2 7 9" xfId="13367" xr:uid="{00000000-0005-0000-0000-0000D6C30000}"/>
    <cellStyle name="Normal 8 2 2 8" xfId="2096" xr:uid="{00000000-0005-0000-0000-0000D7C30000}"/>
    <cellStyle name="Normal 8 2 2 8 2" xfId="8630" xr:uid="{00000000-0005-0000-0000-0000D8C30000}"/>
    <cellStyle name="Normal 8 2 2 8 2 2" xfId="40371" xr:uid="{00000000-0005-0000-0000-0000D9C30000}"/>
    <cellStyle name="Normal 8 2 2 8 2 2 2" xfId="56471" xr:uid="{00000000-0005-0000-0000-0000DAC30000}"/>
    <cellStyle name="Normal 8 2 2 8 2 3" xfId="46904" xr:uid="{00000000-0005-0000-0000-0000DBC30000}"/>
    <cellStyle name="Normal 8 2 2 8 2 4" xfId="30804" xr:uid="{00000000-0005-0000-0000-0000DCC30000}"/>
    <cellStyle name="Normal 8 2 2 8 2 5" xfId="21235" xr:uid="{00000000-0005-0000-0000-0000DDC30000}"/>
    <cellStyle name="Normal 8 2 2 8 3" xfId="11666" xr:uid="{00000000-0005-0000-0000-0000DEC30000}"/>
    <cellStyle name="Normal 8 2 2 8 3 2" xfId="49940" xr:uid="{00000000-0005-0000-0000-0000DFC30000}"/>
    <cellStyle name="Normal 8 2 2 8 3 3" xfId="33840" xr:uid="{00000000-0005-0000-0000-0000E0C30000}"/>
    <cellStyle name="Normal 8 2 2 8 3 4" xfId="24271" xr:uid="{00000000-0005-0000-0000-0000E1C30000}"/>
    <cellStyle name="Normal 8 2 2 8 4" xfId="5594" xr:uid="{00000000-0005-0000-0000-0000E2C30000}"/>
    <cellStyle name="Normal 8 2 2 8 4 2" xfId="53435" xr:uid="{00000000-0005-0000-0000-0000E3C30000}"/>
    <cellStyle name="Normal 8 2 2 8 4 3" xfId="37335" xr:uid="{00000000-0005-0000-0000-0000E4C30000}"/>
    <cellStyle name="Normal 8 2 2 8 4 4" xfId="18199" xr:uid="{00000000-0005-0000-0000-0000E5C30000}"/>
    <cellStyle name="Normal 8 2 2 8 5" xfId="43868" xr:uid="{00000000-0005-0000-0000-0000E6C30000}"/>
    <cellStyle name="Normal 8 2 2 8 6" xfId="27768" xr:uid="{00000000-0005-0000-0000-0000E7C30000}"/>
    <cellStyle name="Normal 8 2 2 8 7" xfId="14704" xr:uid="{00000000-0005-0000-0000-0000E8C30000}"/>
    <cellStyle name="Normal 8 2 2 9" xfId="1086" xr:uid="{00000000-0005-0000-0000-0000E9C30000}"/>
    <cellStyle name="Normal 8 2 2 9 2" xfId="7620" xr:uid="{00000000-0005-0000-0000-0000EAC30000}"/>
    <cellStyle name="Normal 8 2 2 9 2 2" xfId="39361" xr:uid="{00000000-0005-0000-0000-0000EBC30000}"/>
    <cellStyle name="Normal 8 2 2 9 2 2 2" xfId="55461" xr:uid="{00000000-0005-0000-0000-0000ECC30000}"/>
    <cellStyle name="Normal 8 2 2 9 2 3" xfId="45894" xr:uid="{00000000-0005-0000-0000-0000EDC30000}"/>
    <cellStyle name="Normal 8 2 2 9 2 4" xfId="29794" xr:uid="{00000000-0005-0000-0000-0000EEC30000}"/>
    <cellStyle name="Normal 8 2 2 9 2 5" xfId="20225" xr:uid="{00000000-0005-0000-0000-0000EFC30000}"/>
    <cellStyle name="Normal 8 2 2 9 3" xfId="10656" xr:uid="{00000000-0005-0000-0000-0000F0C30000}"/>
    <cellStyle name="Normal 8 2 2 9 3 2" xfId="48930" xr:uid="{00000000-0005-0000-0000-0000F1C30000}"/>
    <cellStyle name="Normal 8 2 2 9 3 3" xfId="32830" xr:uid="{00000000-0005-0000-0000-0000F2C30000}"/>
    <cellStyle name="Normal 8 2 2 9 3 4" xfId="23261" xr:uid="{00000000-0005-0000-0000-0000F3C30000}"/>
    <cellStyle name="Normal 8 2 2 9 4" xfId="4584" xr:uid="{00000000-0005-0000-0000-0000F4C30000}"/>
    <cellStyle name="Normal 8 2 2 9 4 2" xfId="52425" xr:uid="{00000000-0005-0000-0000-0000F5C30000}"/>
    <cellStyle name="Normal 8 2 2 9 4 3" xfId="36325" xr:uid="{00000000-0005-0000-0000-0000F6C30000}"/>
    <cellStyle name="Normal 8 2 2 9 4 4" xfId="17189" xr:uid="{00000000-0005-0000-0000-0000F7C30000}"/>
    <cellStyle name="Normal 8 2 2 9 5" xfId="42858" xr:uid="{00000000-0005-0000-0000-0000F8C30000}"/>
    <cellStyle name="Normal 8 2 2 9 6" xfId="26758" xr:uid="{00000000-0005-0000-0000-0000F9C30000}"/>
    <cellStyle name="Normal 8 2 2 9 7" xfId="13694" xr:uid="{00000000-0005-0000-0000-0000FAC30000}"/>
    <cellStyle name="Normal 8 2 20" xfId="3096" xr:uid="{00000000-0005-0000-0000-0000FBC30000}"/>
    <cellStyle name="Normal 8 2 20 2" xfId="50938" xr:uid="{00000000-0005-0000-0000-0000FCC30000}"/>
    <cellStyle name="Normal 8 2 20 3" xfId="34838" xr:uid="{00000000-0005-0000-0000-0000FDC30000}"/>
    <cellStyle name="Normal 8 2 20 4" xfId="15702" xr:uid="{00000000-0005-0000-0000-0000FEC30000}"/>
    <cellStyle name="Normal 8 2 21" xfId="41371" xr:uid="{00000000-0005-0000-0000-0000FFC30000}"/>
    <cellStyle name="Normal 8 2 22" xfId="25271" xr:uid="{00000000-0005-0000-0000-000000C40000}"/>
    <cellStyle name="Normal 8 2 23" xfId="12666" xr:uid="{00000000-0005-0000-0000-000001C40000}"/>
    <cellStyle name="Normal 8 2 3" xfId="126" xr:uid="{00000000-0005-0000-0000-000002C40000}"/>
    <cellStyle name="Normal 8 2 3 10" xfId="9715" xr:uid="{00000000-0005-0000-0000-000003C40000}"/>
    <cellStyle name="Normal 8 2 3 10 2" xfId="47989" xr:uid="{00000000-0005-0000-0000-000004C40000}"/>
    <cellStyle name="Normal 8 2 3 10 3" xfId="31889" xr:uid="{00000000-0005-0000-0000-000005C40000}"/>
    <cellStyle name="Normal 8 2 3 10 4" xfId="22320" xr:uid="{00000000-0005-0000-0000-000006C40000}"/>
    <cellStyle name="Normal 8 2 3 11" xfId="3183" xr:uid="{00000000-0005-0000-0000-000007C40000}"/>
    <cellStyle name="Normal 8 2 3 11 2" xfId="51025" xr:uid="{00000000-0005-0000-0000-000008C40000}"/>
    <cellStyle name="Normal 8 2 3 11 3" xfId="34925" xr:uid="{00000000-0005-0000-0000-000009C40000}"/>
    <cellStyle name="Normal 8 2 3 11 4" xfId="15789" xr:uid="{00000000-0005-0000-0000-00000AC40000}"/>
    <cellStyle name="Normal 8 2 3 12" xfId="41458" xr:uid="{00000000-0005-0000-0000-00000BC40000}"/>
    <cellStyle name="Normal 8 2 3 13" xfId="25358" xr:uid="{00000000-0005-0000-0000-00000CC40000}"/>
    <cellStyle name="Normal 8 2 3 14" xfId="12753" xr:uid="{00000000-0005-0000-0000-00000DC40000}"/>
    <cellStyle name="Normal 8 2 3 2" xfId="201" xr:uid="{00000000-0005-0000-0000-00000EC40000}"/>
    <cellStyle name="Normal 8 2 3 2 10" xfId="41695" xr:uid="{00000000-0005-0000-0000-00000FC40000}"/>
    <cellStyle name="Normal 8 2 3 2 11" xfId="25595" xr:uid="{00000000-0005-0000-0000-000010C40000}"/>
    <cellStyle name="Normal 8 2 3 2 12" xfId="13030" xr:uid="{00000000-0005-0000-0000-000011C40000}"/>
    <cellStyle name="Normal 8 2 3 2 2" xfId="378" xr:uid="{00000000-0005-0000-0000-000012C40000}"/>
    <cellStyle name="Normal 8 2 3 2 2 2" xfId="2397" xr:uid="{00000000-0005-0000-0000-000013C40000}"/>
    <cellStyle name="Normal 8 2 3 2 2 2 2" xfId="8931" xr:uid="{00000000-0005-0000-0000-000014C40000}"/>
    <cellStyle name="Normal 8 2 3 2 2 2 2 2" xfId="40672" xr:uid="{00000000-0005-0000-0000-000015C40000}"/>
    <cellStyle name="Normal 8 2 3 2 2 2 2 2 2" xfId="56772" xr:uid="{00000000-0005-0000-0000-000016C40000}"/>
    <cellStyle name="Normal 8 2 3 2 2 2 2 3" xfId="47205" xr:uid="{00000000-0005-0000-0000-000017C40000}"/>
    <cellStyle name="Normal 8 2 3 2 2 2 2 4" xfId="31105" xr:uid="{00000000-0005-0000-0000-000018C40000}"/>
    <cellStyle name="Normal 8 2 3 2 2 2 2 5" xfId="21536" xr:uid="{00000000-0005-0000-0000-000019C40000}"/>
    <cellStyle name="Normal 8 2 3 2 2 2 3" xfId="11967" xr:uid="{00000000-0005-0000-0000-00001AC40000}"/>
    <cellStyle name="Normal 8 2 3 2 2 2 3 2" xfId="50241" xr:uid="{00000000-0005-0000-0000-00001BC40000}"/>
    <cellStyle name="Normal 8 2 3 2 2 2 3 3" xfId="34141" xr:uid="{00000000-0005-0000-0000-00001CC40000}"/>
    <cellStyle name="Normal 8 2 3 2 2 2 3 4" xfId="24572" xr:uid="{00000000-0005-0000-0000-00001DC40000}"/>
    <cellStyle name="Normal 8 2 3 2 2 2 4" xfId="5895" xr:uid="{00000000-0005-0000-0000-00001EC40000}"/>
    <cellStyle name="Normal 8 2 3 2 2 2 4 2" xfId="53736" xr:uid="{00000000-0005-0000-0000-00001FC40000}"/>
    <cellStyle name="Normal 8 2 3 2 2 2 4 3" xfId="37636" xr:uid="{00000000-0005-0000-0000-000020C40000}"/>
    <cellStyle name="Normal 8 2 3 2 2 2 4 4" xfId="18500" xr:uid="{00000000-0005-0000-0000-000021C40000}"/>
    <cellStyle name="Normal 8 2 3 2 2 2 5" xfId="44169" xr:uid="{00000000-0005-0000-0000-000022C40000}"/>
    <cellStyle name="Normal 8 2 3 2 2 2 6" xfId="28069" xr:uid="{00000000-0005-0000-0000-000023C40000}"/>
    <cellStyle name="Normal 8 2 3 2 2 2 7" xfId="15005" xr:uid="{00000000-0005-0000-0000-000024C40000}"/>
    <cellStyle name="Normal 8 2 3 2 2 3" xfId="1609" xr:uid="{00000000-0005-0000-0000-000025C40000}"/>
    <cellStyle name="Normal 8 2 3 2 2 3 2" xfId="8143" xr:uid="{00000000-0005-0000-0000-000026C40000}"/>
    <cellStyle name="Normal 8 2 3 2 2 3 2 2" xfId="39884" xr:uid="{00000000-0005-0000-0000-000027C40000}"/>
    <cellStyle name="Normal 8 2 3 2 2 3 2 2 2" xfId="55984" xr:uid="{00000000-0005-0000-0000-000028C40000}"/>
    <cellStyle name="Normal 8 2 3 2 2 3 2 3" xfId="46417" xr:uid="{00000000-0005-0000-0000-000029C40000}"/>
    <cellStyle name="Normal 8 2 3 2 2 3 2 4" xfId="30317" xr:uid="{00000000-0005-0000-0000-00002AC40000}"/>
    <cellStyle name="Normal 8 2 3 2 2 3 2 5" xfId="20748" xr:uid="{00000000-0005-0000-0000-00002BC40000}"/>
    <cellStyle name="Normal 8 2 3 2 2 3 3" xfId="11179" xr:uid="{00000000-0005-0000-0000-00002CC40000}"/>
    <cellStyle name="Normal 8 2 3 2 2 3 3 2" xfId="49453" xr:uid="{00000000-0005-0000-0000-00002DC40000}"/>
    <cellStyle name="Normal 8 2 3 2 2 3 3 3" xfId="33353" xr:uid="{00000000-0005-0000-0000-00002EC40000}"/>
    <cellStyle name="Normal 8 2 3 2 2 3 3 4" xfId="23784" xr:uid="{00000000-0005-0000-0000-00002FC40000}"/>
    <cellStyle name="Normal 8 2 3 2 2 3 4" xfId="5107" xr:uid="{00000000-0005-0000-0000-000030C40000}"/>
    <cellStyle name="Normal 8 2 3 2 2 3 4 2" xfId="52948" xr:uid="{00000000-0005-0000-0000-000031C40000}"/>
    <cellStyle name="Normal 8 2 3 2 2 3 4 3" xfId="36848" xr:uid="{00000000-0005-0000-0000-000032C40000}"/>
    <cellStyle name="Normal 8 2 3 2 2 3 4 4" xfId="17712" xr:uid="{00000000-0005-0000-0000-000033C40000}"/>
    <cellStyle name="Normal 8 2 3 2 2 3 5" xfId="43381" xr:uid="{00000000-0005-0000-0000-000034C40000}"/>
    <cellStyle name="Normal 8 2 3 2 2 3 6" xfId="27281" xr:uid="{00000000-0005-0000-0000-000035C40000}"/>
    <cellStyle name="Normal 8 2 3 2 2 3 7" xfId="14217" xr:uid="{00000000-0005-0000-0000-000036C40000}"/>
    <cellStyle name="Normal 8 2 3 2 2 4" xfId="7133" xr:uid="{00000000-0005-0000-0000-000037C40000}"/>
    <cellStyle name="Normal 8 2 3 2 2 4 2" xfId="38874" xr:uid="{00000000-0005-0000-0000-000038C40000}"/>
    <cellStyle name="Normal 8 2 3 2 2 4 2 2" xfId="54974" xr:uid="{00000000-0005-0000-0000-000039C40000}"/>
    <cellStyle name="Normal 8 2 3 2 2 4 3" xfId="45407" xr:uid="{00000000-0005-0000-0000-00003AC40000}"/>
    <cellStyle name="Normal 8 2 3 2 2 4 4" xfId="29307" xr:uid="{00000000-0005-0000-0000-00003BC40000}"/>
    <cellStyle name="Normal 8 2 3 2 2 4 5" xfId="19738" xr:uid="{00000000-0005-0000-0000-00003CC40000}"/>
    <cellStyle name="Normal 8 2 3 2 2 5" xfId="10169" xr:uid="{00000000-0005-0000-0000-00003DC40000}"/>
    <cellStyle name="Normal 8 2 3 2 2 5 2" xfId="48443" xr:uid="{00000000-0005-0000-0000-00003EC40000}"/>
    <cellStyle name="Normal 8 2 3 2 2 5 3" xfId="32343" xr:uid="{00000000-0005-0000-0000-00003FC40000}"/>
    <cellStyle name="Normal 8 2 3 2 2 5 4" xfId="22774" xr:uid="{00000000-0005-0000-0000-000040C40000}"/>
    <cellStyle name="Normal 8 2 3 2 2 6" xfId="4097" xr:uid="{00000000-0005-0000-0000-000041C40000}"/>
    <cellStyle name="Normal 8 2 3 2 2 6 2" xfId="51938" xr:uid="{00000000-0005-0000-0000-000042C40000}"/>
    <cellStyle name="Normal 8 2 3 2 2 6 3" xfId="35838" xr:uid="{00000000-0005-0000-0000-000043C40000}"/>
    <cellStyle name="Normal 8 2 3 2 2 6 4" xfId="16702" xr:uid="{00000000-0005-0000-0000-000044C40000}"/>
    <cellStyle name="Normal 8 2 3 2 2 7" xfId="42371" xr:uid="{00000000-0005-0000-0000-000045C40000}"/>
    <cellStyle name="Normal 8 2 3 2 2 8" xfId="26271" xr:uid="{00000000-0005-0000-0000-000046C40000}"/>
    <cellStyle name="Normal 8 2 3 2 2 9" xfId="13207" xr:uid="{00000000-0005-0000-0000-000047C40000}"/>
    <cellStyle name="Normal 8 2 3 2 3" xfId="1017" xr:uid="{00000000-0005-0000-0000-000048C40000}"/>
    <cellStyle name="Normal 8 2 3 2 3 2" xfId="3045" xr:uid="{00000000-0005-0000-0000-000049C40000}"/>
    <cellStyle name="Normal 8 2 3 2 3 2 2" xfId="9577" xr:uid="{00000000-0005-0000-0000-00004AC40000}"/>
    <cellStyle name="Normal 8 2 3 2 3 2 2 2" xfId="41318" xr:uid="{00000000-0005-0000-0000-00004BC40000}"/>
    <cellStyle name="Normal 8 2 3 2 3 2 2 2 2" xfId="57418" xr:uid="{00000000-0005-0000-0000-00004CC40000}"/>
    <cellStyle name="Normal 8 2 3 2 3 2 2 3" xfId="47851" xr:uid="{00000000-0005-0000-0000-00004DC40000}"/>
    <cellStyle name="Normal 8 2 3 2 3 2 2 4" xfId="31751" xr:uid="{00000000-0005-0000-0000-00004EC40000}"/>
    <cellStyle name="Normal 8 2 3 2 3 2 2 5" xfId="22182" xr:uid="{00000000-0005-0000-0000-00004FC40000}"/>
    <cellStyle name="Normal 8 2 3 2 3 2 3" xfId="12613" xr:uid="{00000000-0005-0000-0000-000050C40000}"/>
    <cellStyle name="Normal 8 2 3 2 3 2 3 2" xfId="50887" xr:uid="{00000000-0005-0000-0000-000051C40000}"/>
    <cellStyle name="Normal 8 2 3 2 3 2 3 3" xfId="34787" xr:uid="{00000000-0005-0000-0000-000052C40000}"/>
    <cellStyle name="Normal 8 2 3 2 3 2 3 4" xfId="25218" xr:uid="{00000000-0005-0000-0000-000053C40000}"/>
    <cellStyle name="Normal 8 2 3 2 3 2 4" xfId="6541" xr:uid="{00000000-0005-0000-0000-000054C40000}"/>
    <cellStyle name="Normal 8 2 3 2 3 2 4 2" xfId="54382" xr:uid="{00000000-0005-0000-0000-000055C40000}"/>
    <cellStyle name="Normal 8 2 3 2 3 2 4 3" xfId="38282" xr:uid="{00000000-0005-0000-0000-000056C40000}"/>
    <cellStyle name="Normal 8 2 3 2 3 2 4 4" xfId="19146" xr:uid="{00000000-0005-0000-0000-000057C40000}"/>
    <cellStyle name="Normal 8 2 3 2 3 2 5" xfId="44815" xr:uid="{00000000-0005-0000-0000-000058C40000}"/>
    <cellStyle name="Normal 8 2 3 2 3 2 6" xfId="28715" xr:uid="{00000000-0005-0000-0000-000059C40000}"/>
    <cellStyle name="Normal 8 2 3 2 3 2 7" xfId="15651" xr:uid="{00000000-0005-0000-0000-00005AC40000}"/>
    <cellStyle name="Normal 8 2 3 2 3 3" xfId="2027" xr:uid="{00000000-0005-0000-0000-00005BC40000}"/>
    <cellStyle name="Normal 8 2 3 2 3 3 2" xfId="8561" xr:uid="{00000000-0005-0000-0000-00005CC40000}"/>
    <cellStyle name="Normal 8 2 3 2 3 3 2 2" xfId="40302" xr:uid="{00000000-0005-0000-0000-00005DC40000}"/>
    <cellStyle name="Normal 8 2 3 2 3 3 2 2 2" xfId="56402" xr:uid="{00000000-0005-0000-0000-00005EC40000}"/>
    <cellStyle name="Normal 8 2 3 2 3 3 2 3" xfId="46835" xr:uid="{00000000-0005-0000-0000-00005FC40000}"/>
    <cellStyle name="Normal 8 2 3 2 3 3 2 4" xfId="30735" xr:uid="{00000000-0005-0000-0000-000060C40000}"/>
    <cellStyle name="Normal 8 2 3 2 3 3 2 5" xfId="21166" xr:uid="{00000000-0005-0000-0000-000061C40000}"/>
    <cellStyle name="Normal 8 2 3 2 3 3 3" xfId="11597" xr:uid="{00000000-0005-0000-0000-000062C40000}"/>
    <cellStyle name="Normal 8 2 3 2 3 3 3 2" xfId="49871" xr:uid="{00000000-0005-0000-0000-000063C40000}"/>
    <cellStyle name="Normal 8 2 3 2 3 3 3 3" xfId="33771" xr:uid="{00000000-0005-0000-0000-000064C40000}"/>
    <cellStyle name="Normal 8 2 3 2 3 3 3 4" xfId="24202" xr:uid="{00000000-0005-0000-0000-000065C40000}"/>
    <cellStyle name="Normal 8 2 3 2 3 3 4" xfId="5525" xr:uid="{00000000-0005-0000-0000-000066C40000}"/>
    <cellStyle name="Normal 8 2 3 2 3 3 4 2" xfId="53366" xr:uid="{00000000-0005-0000-0000-000067C40000}"/>
    <cellStyle name="Normal 8 2 3 2 3 3 4 3" xfId="37266" xr:uid="{00000000-0005-0000-0000-000068C40000}"/>
    <cellStyle name="Normal 8 2 3 2 3 3 4 4" xfId="18130" xr:uid="{00000000-0005-0000-0000-000069C40000}"/>
    <cellStyle name="Normal 8 2 3 2 3 3 5" xfId="43799" xr:uid="{00000000-0005-0000-0000-00006AC40000}"/>
    <cellStyle name="Normal 8 2 3 2 3 3 6" xfId="27699" xr:uid="{00000000-0005-0000-0000-00006BC40000}"/>
    <cellStyle name="Normal 8 2 3 2 3 3 7" xfId="14635" xr:uid="{00000000-0005-0000-0000-00006CC40000}"/>
    <cellStyle name="Normal 8 2 3 2 3 4" xfId="7551" xr:uid="{00000000-0005-0000-0000-00006DC40000}"/>
    <cellStyle name="Normal 8 2 3 2 3 4 2" xfId="39292" xr:uid="{00000000-0005-0000-0000-00006EC40000}"/>
    <cellStyle name="Normal 8 2 3 2 3 4 2 2" xfId="55392" xr:uid="{00000000-0005-0000-0000-00006FC40000}"/>
    <cellStyle name="Normal 8 2 3 2 3 4 3" xfId="45825" xr:uid="{00000000-0005-0000-0000-000070C40000}"/>
    <cellStyle name="Normal 8 2 3 2 3 4 4" xfId="29725" xr:uid="{00000000-0005-0000-0000-000071C40000}"/>
    <cellStyle name="Normal 8 2 3 2 3 4 5" xfId="20156" xr:uid="{00000000-0005-0000-0000-000072C40000}"/>
    <cellStyle name="Normal 8 2 3 2 3 5" xfId="10587" xr:uid="{00000000-0005-0000-0000-000073C40000}"/>
    <cellStyle name="Normal 8 2 3 2 3 5 2" xfId="48861" xr:uid="{00000000-0005-0000-0000-000074C40000}"/>
    <cellStyle name="Normal 8 2 3 2 3 5 3" xfId="32761" xr:uid="{00000000-0005-0000-0000-000075C40000}"/>
    <cellStyle name="Normal 8 2 3 2 3 5 4" xfId="23192" xr:uid="{00000000-0005-0000-0000-000076C40000}"/>
    <cellStyle name="Normal 8 2 3 2 3 6" xfId="4515" xr:uid="{00000000-0005-0000-0000-000077C40000}"/>
    <cellStyle name="Normal 8 2 3 2 3 6 2" xfId="52356" xr:uid="{00000000-0005-0000-0000-000078C40000}"/>
    <cellStyle name="Normal 8 2 3 2 3 6 3" xfId="36256" xr:uid="{00000000-0005-0000-0000-000079C40000}"/>
    <cellStyle name="Normal 8 2 3 2 3 6 4" xfId="17120" xr:uid="{00000000-0005-0000-0000-00007AC40000}"/>
    <cellStyle name="Normal 8 2 3 2 3 7" xfId="42789" xr:uid="{00000000-0005-0000-0000-00007BC40000}"/>
    <cellStyle name="Normal 8 2 3 2 3 8" xfId="26689" xr:uid="{00000000-0005-0000-0000-00007CC40000}"/>
    <cellStyle name="Normal 8 2 3 2 3 9" xfId="13625" xr:uid="{00000000-0005-0000-0000-00007DC40000}"/>
    <cellStyle name="Normal 8 2 3 2 4" xfId="2220" xr:uid="{00000000-0005-0000-0000-00007EC40000}"/>
    <cellStyle name="Normal 8 2 3 2 4 2" xfId="8754" xr:uid="{00000000-0005-0000-0000-00007FC40000}"/>
    <cellStyle name="Normal 8 2 3 2 4 2 2" xfId="40495" xr:uid="{00000000-0005-0000-0000-000080C40000}"/>
    <cellStyle name="Normal 8 2 3 2 4 2 2 2" xfId="56595" xr:uid="{00000000-0005-0000-0000-000081C40000}"/>
    <cellStyle name="Normal 8 2 3 2 4 2 3" xfId="47028" xr:uid="{00000000-0005-0000-0000-000082C40000}"/>
    <cellStyle name="Normal 8 2 3 2 4 2 4" xfId="30928" xr:uid="{00000000-0005-0000-0000-000083C40000}"/>
    <cellStyle name="Normal 8 2 3 2 4 2 5" xfId="21359" xr:uid="{00000000-0005-0000-0000-000084C40000}"/>
    <cellStyle name="Normal 8 2 3 2 4 3" xfId="11790" xr:uid="{00000000-0005-0000-0000-000085C40000}"/>
    <cellStyle name="Normal 8 2 3 2 4 3 2" xfId="50064" xr:uid="{00000000-0005-0000-0000-000086C40000}"/>
    <cellStyle name="Normal 8 2 3 2 4 3 3" xfId="33964" xr:uid="{00000000-0005-0000-0000-000087C40000}"/>
    <cellStyle name="Normal 8 2 3 2 4 3 4" xfId="24395" xr:uid="{00000000-0005-0000-0000-000088C40000}"/>
    <cellStyle name="Normal 8 2 3 2 4 4" xfId="5718" xr:uid="{00000000-0005-0000-0000-000089C40000}"/>
    <cellStyle name="Normal 8 2 3 2 4 4 2" xfId="53559" xr:uid="{00000000-0005-0000-0000-00008AC40000}"/>
    <cellStyle name="Normal 8 2 3 2 4 4 3" xfId="37459" xr:uid="{00000000-0005-0000-0000-00008BC40000}"/>
    <cellStyle name="Normal 8 2 3 2 4 4 4" xfId="18323" xr:uid="{00000000-0005-0000-0000-00008CC40000}"/>
    <cellStyle name="Normal 8 2 3 2 4 5" xfId="43992" xr:uid="{00000000-0005-0000-0000-00008DC40000}"/>
    <cellStyle name="Normal 8 2 3 2 4 6" xfId="27892" xr:uid="{00000000-0005-0000-0000-00008EC40000}"/>
    <cellStyle name="Normal 8 2 3 2 4 7" xfId="14828" xr:uid="{00000000-0005-0000-0000-00008FC40000}"/>
    <cellStyle name="Normal 8 2 3 2 5" xfId="1432" xr:uid="{00000000-0005-0000-0000-000090C40000}"/>
    <cellStyle name="Normal 8 2 3 2 5 2" xfId="7966" xr:uid="{00000000-0005-0000-0000-000091C40000}"/>
    <cellStyle name="Normal 8 2 3 2 5 2 2" xfId="39707" xr:uid="{00000000-0005-0000-0000-000092C40000}"/>
    <cellStyle name="Normal 8 2 3 2 5 2 2 2" xfId="55807" xr:uid="{00000000-0005-0000-0000-000093C40000}"/>
    <cellStyle name="Normal 8 2 3 2 5 2 3" xfId="46240" xr:uid="{00000000-0005-0000-0000-000094C40000}"/>
    <cellStyle name="Normal 8 2 3 2 5 2 4" xfId="30140" xr:uid="{00000000-0005-0000-0000-000095C40000}"/>
    <cellStyle name="Normal 8 2 3 2 5 2 5" xfId="20571" xr:uid="{00000000-0005-0000-0000-000096C40000}"/>
    <cellStyle name="Normal 8 2 3 2 5 3" xfId="11002" xr:uid="{00000000-0005-0000-0000-000097C40000}"/>
    <cellStyle name="Normal 8 2 3 2 5 3 2" xfId="49276" xr:uid="{00000000-0005-0000-0000-000098C40000}"/>
    <cellStyle name="Normal 8 2 3 2 5 3 3" xfId="33176" xr:uid="{00000000-0005-0000-0000-000099C40000}"/>
    <cellStyle name="Normal 8 2 3 2 5 3 4" xfId="23607" xr:uid="{00000000-0005-0000-0000-00009AC40000}"/>
    <cellStyle name="Normal 8 2 3 2 5 4" xfId="4930" xr:uid="{00000000-0005-0000-0000-00009BC40000}"/>
    <cellStyle name="Normal 8 2 3 2 5 4 2" xfId="52771" xr:uid="{00000000-0005-0000-0000-00009CC40000}"/>
    <cellStyle name="Normal 8 2 3 2 5 4 3" xfId="36671" xr:uid="{00000000-0005-0000-0000-00009DC40000}"/>
    <cellStyle name="Normal 8 2 3 2 5 4 4" xfId="17535" xr:uid="{00000000-0005-0000-0000-00009EC40000}"/>
    <cellStyle name="Normal 8 2 3 2 5 5" xfId="43204" xr:uid="{00000000-0005-0000-0000-00009FC40000}"/>
    <cellStyle name="Normal 8 2 3 2 5 6" xfId="27104" xr:uid="{00000000-0005-0000-0000-0000A0C40000}"/>
    <cellStyle name="Normal 8 2 3 2 5 7" xfId="14040" xr:uid="{00000000-0005-0000-0000-0000A1C40000}"/>
    <cellStyle name="Normal 8 2 3 2 6" xfId="3920" xr:uid="{00000000-0005-0000-0000-0000A2C40000}"/>
    <cellStyle name="Normal 8 2 3 2 6 2" xfId="35661" xr:uid="{00000000-0005-0000-0000-0000A3C40000}"/>
    <cellStyle name="Normal 8 2 3 2 6 2 2" xfId="51761" xr:uid="{00000000-0005-0000-0000-0000A4C40000}"/>
    <cellStyle name="Normal 8 2 3 2 6 3" xfId="42194" xr:uid="{00000000-0005-0000-0000-0000A5C40000}"/>
    <cellStyle name="Normal 8 2 3 2 6 4" xfId="26094" xr:uid="{00000000-0005-0000-0000-0000A6C40000}"/>
    <cellStyle name="Normal 8 2 3 2 6 5" xfId="16525" xr:uid="{00000000-0005-0000-0000-0000A7C40000}"/>
    <cellStyle name="Normal 8 2 3 2 7" xfId="6956" xr:uid="{00000000-0005-0000-0000-0000A8C40000}"/>
    <cellStyle name="Normal 8 2 3 2 7 2" xfId="38697" xr:uid="{00000000-0005-0000-0000-0000A9C40000}"/>
    <cellStyle name="Normal 8 2 3 2 7 2 2" xfId="54797" xr:uid="{00000000-0005-0000-0000-0000AAC40000}"/>
    <cellStyle name="Normal 8 2 3 2 7 3" xfId="45230" xr:uid="{00000000-0005-0000-0000-0000ABC40000}"/>
    <cellStyle name="Normal 8 2 3 2 7 4" xfId="29130" xr:uid="{00000000-0005-0000-0000-0000ACC40000}"/>
    <cellStyle name="Normal 8 2 3 2 7 5" xfId="19561" xr:uid="{00000000-0005-0000-0000-0000ADC40000}"/>
    <cellStyle name="Normal 8 2 3 2 8" xfId="9992" xr:uid="{00000000-0005-0000-0000-0000AEC40000}"/>
    <cellStyle name="Normal 8 2 3 2 8 2" xfId="48266" xr:uid="{00000000-0005-0000-0000-0000AFC40000}"/>
    <cellStyle name="Normal 8 2 3 2 8 3" xfId="32166" xr:uid="{00000000-0005-0000-0000-0000B0C40000}"/>
    <cellStyle name="Normal 8 2 3 2 8 4" xfId="22597" xr:uid="{00000000-0005-0000-0000-0000B1C40000}"/>
    <cellStyle name="Normal 8 2 3 2 9" xfId="3421" xr:uid="{00000000-0005-0000-0000-0000B2C40000}"/>
    <cellStyle name="Normal 8 2 3 2 9 2" xfId="51262" xr:uid="{00000000-0005-0000-0000-0000B3C40000}"/>
    <cellStyle name="Normal 8 2 3 2 9 3" xfId="35162" xr:uid="{00000000-0005-0000-0000-0000B4C40000}"/>
    <cellStyle name="Normal 8 2 3 2 9 4" xfId="16026" xr:uid="{00000000-0005-0000-0000-0000B5C40000}"/>
    <cellStyle name="Normal 8 2 3 3" xfId="307" xr:uid="{00000000-0005-0000-0000-0000B6C40000}"/>
    <cellStyle name="Normal 8 2 3 3 2" xfId="2326" xr:uid="{00000000-0005-0000-0000-0000B7C40000}"/>
    <cellStyle name="Normal 8 2 3 3 2 2" xfId="8860" xr:uid="{00000000-0005-0000-0000-0000B8C40000}"/>
    <cellStyle name="Normal 8 2 3 3 2 2 2" xfId="40601" xr:uid="{00000000-0005-0000-0000-0000B9C40000}"/>
    <cellStyle name="Normal 8 2 3 3 2 2 2 2" xfId="56701" xr:uid="{00000000-0005-0000-0000-0000BAC40000}"/>
    <cellStyle name="Normal 8 2 3 3 2 2 3" xfId="47134" xr:uid="{00000000-0005-0000-0000-0000BBC40000}"/>
    <cellStyle name="Normal 8 2 3 3 2 2 4" xfId="31034" xr:uid="{00000000-0005-0000-0000-0000BCC40000}"/>
    <cellStyle name="Normal 8 2 3 3 2 2 5" xfId="21465" xr:uid="{00000000-0005-0000-0000-0000BDC40000}"/>
    <cellStyle name="Normal 8 2 3 3 2 3" xfId="11896" xr:uid="{00000000-0005-0000-0000-0000BEC40000}"/>
    <cellStyle name="Normal 8 2 3 3 2 3 2" xfId="50170" xr:uid="{00000000-0005-0000-0000-0000BFC40000}"/>
    <cellStyle name="Normal 8 2 3 3 2 3 3" xfId="34070" xr:uid="{00000000-0005-0000-0000-0000C0C40000}"/>
    <cellStyle name="Normal 8 2 3 3 2 3 4" xfId="24501" xr:uid="{00000000-0005-0000-0000-0000C1C40000}"/>
    <cellStyle name="Normal 8 2 3 3 2 4" xfId="5824" xr:uid="{00000000-0005-0000-0000-0000C2C40000}"/>
    <cellStyle name="Normal 8 2 3 3 2 4 2" xfId="53665" xr:uid="{00000000-0005-0000-0000-0000C3C40000}"/>
    <cellStyle name="Normal 8 2 3 3 2 4 3" xfId="37565" xr:uid="{00000000-0005-0000-0000-0000C4C40000}"/>
    <cellStyle name="Normal 8 2 3 3 2 4 4" xfId="18429" xr:uid="{00000000-0005-0000-0000-0000C5C40000}"/>
    <cellStyle name="Normal 8 2 3 3 2 5" xfId="44098" xr:uid="{00000000-0005-0000-0000-0000C6C40000}"/>
    <cellStyle name="Normal 8 2 3 3 2 6" xfId="27998" xr:uid="{00000000-0005-0000-0000-0000C7C40000}"/>
    <cellStyle name="Normal 8 2 3 3 2 7" xfId="14934" xr:uid="{00000000-0005-0000-0000-0000C8C40000}"/>
    <cellStyle name="Normal 8 2 3 3 3" xfId="1538" xr:uid="{00000000-0005-0000-0000-0000C9C40000}"/>
    <cellStyle name="Normal 8 2 3 3 3 2" xfId="8072" xr:uid="{00000000-0005-0000-0000-0000CAC40000}"/>
    <cellStyle name="Normal 8 2 3 3 3 2 2" xfId="39813" xr:uid="{00000000-0005-0000-0000-0000CBC40000}"/>
    <cellStyle name="Normal 8 2 3 3 3 2 2 2" xfId="55913" xr:uid="{00000000-0005-0000-0000-0000CCC40000}"/>
    <cellStyle name="Normal 8 2 3 3 3 2 3" xfId="46346" xr:uid="{00000000-0005-0000-0000-0000CDC40000}"/>
    <cellStyle name="Normal 8 2 3 3 3 2 4" xfId="30246" xr:uid="{00000000-0005-0000-0000-0000CEC40000}"/>
    <cellStyle name="Normal 8 2 3 3 3 2 5" xfId="20677" xr:uid="{00000000-0005-0000-0000-0000CFC40000}"/>
    <cellStyle name="Normal 8 2 3 3 3 3" xfId="11108" xr:uid="{00000000-0005-0000-0000-0000D0C40000}"/>
    <cellStyle name="Normal 8 2 3 3 3 3 2" xfId="49382" xr:uid="{00000000-0005-0000-0000-0000D1C40000}"/>
    <cellStyle name="Normal 8 2 3 3 3 3 3" xfId="33282" xr:uid="{00000000-0005-0000-0000-0000D2C40000}"/>
    <cellStyle name="Normal 8 2 3 3 3 3 4" xfId="23713" xr:uid="{00000000-0005-0000-0000-0000D3C40000}"/>
    <cellStyle name="Normal 8 2 3 3 3 4" xfId="5036" xr:uid="{00000000-0005-0000-0000-0000D4C40000}"/>
    <cellStyle name="Normal 8 2 3 3 3 4 2" xfId="52877" xr:uid="{00000000-0005-0000-0000-0000D5C40000}"/>
    <cellStyle name="Normal 8 2 3 3 3 4 3" xfId="36777" xr:uid="{00000000-0005-0000-0000-0000D6C40000}"/>
    <cellStyle name="Normal 8 2 3 3 3 4 4" xfId="17641" xr:uid="{00000000-0005-0000-0000-0000D7C40000}"/>
    <cellStyle name="Normal 8 2 3 3 3 5" xfId="43310" xr:uid="{00000000-0005-0000-0000-0000D8C40000}"/>
    <cellStyle name="Normal 8 2 3 3 3 6" xfId="27210" xr:uid="{00000000-0005-0000-0000-0000D9C40000}"/>
    <cellStyle name="Normal 8 2 3 3 3 7" xfId="14146" xr:uid="{00000000-0005-0000-0000-0000DAC40000}"/>
    <cellStyle name="Normal 8 2 3 3 4" xfId="7062" xr:uid="{00000000-0005-0000-0000-0000DBC40000}"/>
    <cellStyle name="Normal 8 2 3 3 4 2" xfId="38803" xr:uid="{00000000-0005-0000-0000-0000DCC40000}"/>
    <cellStyle name="Normal 8 2 3 3 4 2 2" xfId="54903" xr:uid="{00000000-0005-0000-0000-0000DDC40000}"/>
    <cellStyle name="Normal 8 2 3 3 4 3" xfId="45336" xr:uid="{00000000-0005-0000-0000-0000DEC40000}"/>
    <cellStyle name="Normal 8 2 3 3 4 4" xfId="29236" xr:uid="{00000000-0005-0000-0000-0000DFC40000}"/>
    <cellStyle name="Normal 8 2 3 3 4 5" xfId="19667" xr:uid="{00000000-0005-0000-0000-0000E0C40000}"/>
    <cellStyle name="Normal 8 2 3 3 5" xfId="10098" xr:uid="{00000000-0005-0000-0000-0000E1C40000}"/>
    <cellStyle name="Normal 8 2 3 3 5 2" xfId="48372" xr:uid="{00000000-0005-0000-0000-0000E2C40000}"/>
    <cellStyle name="Normal 8 2 3 3 5 3" xfId="32272" xr:uid="{00000000-0005-0000-0000-0000E3C40000}"/>
    <cellStyle name="Normal 8 2 3 3 5 4" xfId="22703" xr:uid="{00000000-0005-0000-0000-0000E4C40000}"/>
    <cellStyle name="Normal 8 2 3 3 6" xfId="4026" xr:uid="{00000000-0005-0000-0000-0000E5C40000}"/>
    <cellStyle name="Normal 8 2 3 3 6 2" xfId="51867" xr:uid="{00000000-0005-0000-0000-0000E6C40000}"/>
    <cellStyle name="Normal 8 2 3 3 6 3" xfId="35767" xr:uid="{00000000-0005-0000-0000-0000E7C40000}"/>
    <cellStyle name="Normal 8 2 3 3 6 4" xfId="16631" xr:uid="{00000000-0005-0000-0000-0000E8C40000}"/>
    <cellStyle name="Normal 8 2 3 3 7" xfId="42300" xr:uid="{00000000-0005-0000-0000-0000E9C40000}"/>
    <cellStyle name="Normal 8 2 3 3 8" xfId="26200" xr:uid="{00000000-0005-0000-0000-0000EAC40000}"/>
    <cellStyle name="Normal 8 2 3 3 9" xfId="13136" xr:uid="{00000000-0005-0000-0000-0000EBC40000}"/>
    <cellStyle name="Normal 8 2 3 4" xfId="565" xr:uid="{00000000-0005-0000-0000-0000ECC40000}"/>
    <cellStyle name="Normal 8 2 3 4 2" xfId="2594" xr:uid="{00000000-0005-0000-0000-0000EDC40000}"/>
    <cellStyle name="Normal 8 2 3 4 2 2" xfId="9126" xr:uid="{00000000-0005-0000-0000-0000EEC40000}"/>
    <cellStyle name="Normal 8 2 3 4 2 2 2" xfId="40867" xr:uid="{00000000-0005-0000-0000-0000EFC40000}"/>
    <cellStyle name="Normal 8 2 3 4 2 2 2 2" xfId="56967" xr:uid="{00000000-0005-0000-0000-0000F0C40000}"/>
    <cellStyle name="Normal 8 2 3 4 2 2 3" xfId="47400" xr:uid="{00000000-0005-0000-0000-0000F1C40000}"/>
    <cellStyle name="Normal 8 2 3 4 2 2 4" xfId="31300" xr:uid="{00000000-0005-0000-0000-0000F2C40000}"/>
    <cellStyle name="Normal 8 2 3 4 2 2 5" xfId="21731" xr:uid="{00000000-0005-0000-0000-0000F3C40000}"/>
    <cellStyle name="Normal 8 2 3 4 2 3" xfId="12162" xr:uid="{00000000-0005-0000-0000-0000F4C40000}"/>
    <cellStyle name="Normal 8 2 3 4 2 3 2" xfId="50436" xr:uid="{00000000-0005-0000-0000-0000F5C40000}"/>
    <cellStyle name="Normal 8 2 3 4 2 3 3" xfId="34336" xr:uid="{00000000-0005-0000-0000-0000F6C40000}"/>
    <cellStyle name="Normal 8 2 3 4 2 3 4" xfId="24767" xr:uid="{00000000-0005-0000-0000-0000F7C40000}"/>
    <cellStyle name="Normal 8 2 3 4 2 4" xfId="6090" xr:uid="{00000000-0005-0000-0000-0000F8C40000}"/>
    <cellStyle name="Normal 8 2 3 4 2 4 2" xfId="53931" xr:uid="{00000000-0005-0000-0000-0000F9C40000}"/>
    <cellStyle name="Normal 8 2 3 4 2 4 3" xfId="37831" xr:uid="{00000000-0005-0000-0000-0000FAC40000}"/>
    <cellStyle name="Normal 8 2 3 4 2 4 4" xfId="18695" xr:uid="{00000000-0005-0000-0000-0000FBC40000}"/>
    <cellStyle name="Normal 8 2 3 4 2 5" xfId="44364" xr:uid="{00000000-0005-0000-0000-0000FCC40000}"/>
    <cellStyle name="Normal 8 2 3 4 2 6" xfId="28264" xr:uid="{00000000-0005-0000-0000-0000FDC40000}"/>
    <cellStyle name="Normal 8 2 3 4 2 7" xfId="15200" xr:uid="{00000000-0005-0000-0000-0000FEC40000}"/>
    <cellStyle name="Normal 8 2 3 4 3" xfId="1361" xr:uid="{00000000-0005-0000-0000-0000FFC40000}"/>
    <cellStyle name="Normal 8 2 3 4 3 2" xfId="7895" xr:uid="{00000000-0005-0000-0000-000000C50000}"/>
    <cellStyle name="Normal 8 2 3 4 3 2 2" xfId="39636" xr:uid="{00000000-0005-0000-0000-000001C50000}"/>
    <cellStyle name="Normal 8 2 3 4 3 2 2 2" xfId="55736" xr:uid="{00000000-0005-0000-0000-000002C50000}"/>
    <cellStyle name="Normal 8 2 3 4 3 2 3" xfId="46169" xr:uid="{00000000-0005-0000-0000-000003C50000}"/>
    <cellStyle name="Normal 8 2 3 4 3 2 4" xfId="30069" xr:uid="{00000000-0005-0000-0000-000004C50000}"/>
    <cellStyle name="Normal 8 2 3 4 3 2 5" xfId="20500" xr:uid="{00000000-0005-0000-0000-000005C50000}"/>
    <cellStyle name="Normal 8 2 3 4 3 3" xfId="10931" xr:uid="{00000000-0005-0000-0000-000006C50000}"/>
    <cellStyle name="Normal 8 2 3 4 3 3 2" xfId="49205" xr:uid="{00000000-0005-0000-0000-000007C50000}"/>
    <cellStyle name="Normal 8 2 3 4 3 3 3" xfId="33105" xr:uid="{00000000-0005-0000-0000-000008C50000}"/>
    <cellStyle name="Normal 8 2 3 4 3 3 4" xfId="23536" xr:uid="{00000000-0005-0000-0000-000009C50000}"/>
    <cellStyle name="Normal 8 2 3 4 3 4" xfId="4859" xr:uid="{00000000-0005-0000-0000-00000AC50000}"/>
    <cellStyle name="Normal 8 2 3 4 3 4 2" xfId="52700" xr:uid="{00000000-0005-0000-0000-00000BC50000}"/>
    <cellStyle name="Normal 8 2 3 4 3 4 3" xfId="36600" xr:uid="{00000000-0005-0000-0000-00000CC50000}"/>
    <cellStyle name="Normal 8 2 3 4 3 4 4" xfId="17464" xr:uid="{00000000-0005-0000-0000-00000DC50000}"/>
    <cellStyle name="Normal 8 2 3 4 3 5" xfId="43133" xr:uid="{00000000-0005-0000-0000-00000EC50000}"/>
    <cellStyle name="Normal 8 2 3 4 3 6" xfId="27033" xr:uid="{00000000-0005-0000-0000-00000FC50000}"/>
    <cellStyle name="Normal 8 2 3 4 3 7" xfId="13969" xr:uid="{00000000-0005-0000-0000-000010C50000}"/>
    <cellStyle name="Normal 8 2 3 4 4" xfId="6885" xr:uid="{00000000-0005-0000-0000-000011C50000}"/>
    <cellStyle name="Normal 8 2 3 4 4 2" xfId="38626" xr:uid="{00000000-0005-0000-0000-000012C50000}"/>
    <cellStyle name="Normal 8 2 3 4 4 2 2" xfId="54726" xr:uid="{00000000-0005-0000-0000-000013C50000}"/>
    <cellStyle name="Normal 8 2 3 4 4 3" xfId="45159" xr:uid="{00000000-0005-0000-0000-000014C50000}"/>
    <cellStyle name="Normal 8 2 3 4 4 4" xfId="29059" xr:uid="{00000000-0005-0000-0000-000015C50000}"/>
    <cellStyle name="Normal 8 2 3 4 4 5" xfId="19490" xr:uid="{00000000-0005-0000-0000-000016C50000}"/>
    <cellStyle name="Normal 8 2 3 4 5" xfId="9921" xr:uid="{00000000-0005-0000-0000-000017C50000}"/>
    <cellStyle name="Normal 8 2 3 4 5 2" xfId="48195" xr:uid="{00000000-0005-0000-0000-000018C50000}"/>
    <cellStyle name="Normal 8 2 3 4 5 3" xfId="32095" xr:uid="{00000000-0005-0000-0000-000019C50000}"/>
    <cellStyle name="Normal 8 2 3 4 5 4" xfId="22526" xr:uid="{00000000-0005-0000-0000-00001AC50000}"/>
    <cellStyle name="Normal 8 2 3 4 6" xfId="3849" xr:uid="{00000000-0005-0000-0000-00001BC50000}"/>
    <cellStyle name="Normal 8 2 3 4 6 2" xfId="51690" xr:uid="{00000000-0005-0000-0000-00001CC50000}"/>
    <cellStyle name="Normal 8 2 3 4 6 3" xfId="35590" xr:uid="{00000000-0005-0000-0000-00001DC50000}"/>
    <cellStyle name="Normal 8 2 3 4 6 4" xfId="16454" xr:uid="{00000000-0005-0000-0000-00001EC50000}"/>
    <cellStyle name="Normal 8 2 3 4 7" xfId="42123" xr:uid="{00000000-0005-0000-0000-00001FC50000}"/>
    <cellStyle name="Normal 8 2 3 4 8" xfId="26023" xr:uid="{00000000-0005-0000-0000-000020C50000}"/>
    <cellStyle name="Normal 8 2 3 4 9" xfId="12959" xr:uid="{00000000-0005-0000-0000-000021C50000}"/>
    <cellStyle name="Normal 8 2 3 5" xfId="828" xr:uid="{00000000-0005-0000-0000-000022C50000}"/>
    <cellStyle name="Normal 8 2 3 5 2" xfId="2856" xr:uid="{00000000-0005-0000-0000-000023C50000}"/>
    <cellStyle name="Normal 8 2 3 5 2 2" xfId="9388" xr:uid="{00000000-0005-0000-0000-000024C50000}"/>
    <cellStyle name="Normal 8 2 3 5 2 2 2" xfId="41129" xr:uid="{00000000-0005-0000-0000-000025C50000}"/>
    <cellStyle name="Normal 8 2 3 5 2 2 2 2" xfId="57229" xr:uid="{00000000-0005-0000-0000-000026C50000}"/>
    <cellStyle name="Normal 8 2 3 5 2 2 3" xfId="47662" xr:uid="{00000000-0005-0000-0000-000027C50000}"/>
    <cellStyle name="Normal 8 2 3 5 2 2 4" xfId="31562" xr:uid="{00000000-0005-0000-0000-000028C50000}"/>
    <cellStyle name="Normal 8 2 3 5 2 2 5" xfId="21993" xr:uid="{00000000-0005-0000-0000-000029C50000}"/>
    <cellStyle name="Normal 8 2 3 5 2 3" xfId="12424" xr:uid="{00000000-0005-0000-0000-00002AC50000}"/>
    <cellStyle name="Normal 8 2 3 5 2 3 2" xfId="50698" xr:uid="{00000000-0005-0000-0000-00002BC50000}"/>
    <cellStyle name="Normal 8 2 3 5 2 3 3" xfId="34598" xr:uid="{00000000-0005-0000-0000-00002CC50000}"/>
    <cellStyle name="Normal 8 2 3 5 2 3 4" xfId="25029" xr:uid="{00000000-0005-0000-0000-00002DC50000}"/>
    <cellStyle name="Normal 8 2 3 5 2 4" xfId="6352" xr:uid="{00000000-0005-0000-0000-00002EC50000}"/>
    <cellStyle name="Normal 8 2 3 5 2 4 2" xfId="54193" xr:uid="{00000000-0005-0000-0000-00002FC50000}"/>
    <cellStyle name="Normal 8 2 3 5 2 4 3" xfId="38093" xr:uid="{00000000-0005-0000-0000-000030C50000}"/>
    <cellStyle name="Normal 8 2 3 5 2 4 4" xfId="18957" xr:uid="{00000000-0005-0000-0000-000031C50000}"/>
    <cellStyle name="Normal 8 2 3 5 2 5" xfId="44626" xr:uid="{00000000-0005-0000-0000-000032C50000}"/>
    <cellStyle name="Normal 8 2 3 5 2 6" xfId="28526" xr:uid="{00000000-0005-0000-0000-000033C50000}"/>
    <cellStyle name="Normal 8 2 3 5 2 7" xfId="15462" xr:uid="{00000000-0005-0000-0000-000034C50000}"/>
    <cellStyle name="Normal 8 2 3 5 3" xfId="1838" xr:uid="{00000000-0005-0000-0000-000035C50000}"/>
    <cellStyle name="Normal 8 2 3 5 3 2" xfId="8372" xr:uid="{00000000-0005-0000-0000-000036C50000}"/>
    <cellStyle name="Normal 8 2 3 5 3 2 2" xfId="40113" xr:uid="{00000000-0005-0000-0000-000037C50000}"/>
    <cellStyle name="Normal 8 2 3 5 3 2 2 2" xfId="56213" xr:uid="{00000000-0005-0000-0000-000038C50000}"/>
    <cellStyle name="Normal 8 2 3 5 3 2 3" xfId="46646" xr:uid="{00000000-0005-0000-0000-000039C50000}"/>
    <cellStyle name="Normal 8 2 3 5 3 2 4" xfId="30546" xr:uid="{00000000-0005-0000-0000-00003AC50000}"/>
    <cellStyle name="Normal 8 2 3 5 3 2 5" xfId="20977" xr:uid="{00000000-0005-0000-0000-00003BC50000}"/>
    <cellStyle name="Normal 8 2 3 5 3 3" xfId="11408" xr:uid="{00000000-0005-0000-0000-00003CC50000}"/>
    <cellStyle name="Normal 8 2 3 5 3 3 2" xfId="49682" xr:uid="{00000000-0005-0000-0000-00003DC50000}"/>
    <cellStyle name="Normal 8 2 3 5 3 3 3" xfId="33582" xr:uid="{00000000-0005-0000-0000-00003EC50000}"/>
    <cellStyle name="Normal 8 2 3 5 3 3 4" xfId="24013" xr:uid="{00000000-0005-0000-0000-00003FC50000}"/>
    <cellStyle name="Normal 8 2 3 5 3 4" xfId="5336" xr:uid="{00000000-0005-0000-0000-000040C50000}"/>
    <cellStyle name="Normal 8 2 3 5 3 4 2" xfId="53177" xr:uid="{00000000-0005-0000-0000-000041C50000}"/>
    <cellStyle name="Normal 8 2 3 5 3 4 3" xfId="37077" xr:uid="{00000000-0005-0000-0000-000042C50000}"/>
    <cellStyle name="Normal 8 2 3 5 3 4 4" xfId="17941" xr:uid="{00000000-0005-0000-0000-000043C50000}"/>
    <cellStyle name="Normal 8 2 3 5 3 5" xfId="43610" xr:uid="{00000000-0005-0000-0000-000044C50000}"/>
    <cellStyle name="Normal 8 2 3 5 3 6" xfId="27510" xr:uid="{00000000-0005-0000-0000-000045C50000}"/>
    <cellStyle name="Normal 8 2 3 5 3 7" xfId="14446" xr:uid="{00000000-0005-0000-0000-000046C50000}"/>
    <cellStyle name="Normal 8 2 3 5 4" xfId="7362" xr:uid="{00000000-0005-0000-0000-000047C50000}"/>
    <cellStyle name="Normal 8 2 3 5 4 2" xfId="39103" xr:uid="{00000000-0005-0000-0000-000048C50000}"/>
    <cellStyle name="Normal 8 2 3 5 4 2 2" xfId="55203" xr:uid="{00000000-0005-0000-0000-000049C50000}"/>
    <cellStyle name="Normal 8 2 3 5 4 3" xfId="45636" xr:uid="{00000000-0005-0000-0000-00004AC50000}"/>
    <cellStyle name="Normal 8 2 3 5 4 4" xfId="29536" xr:uid="{00000000-0005-0000-0000-00004BC50000}"/>
    <cellStyle name="Normal 8 2 3 5 4 5" xfId="19967" xr:uid="{00000000-0005-0000-0000-00004CC50000}"/>
    <cellStyle name="Normal 8 2 3 5 5" xfId="10398" xr:uid="{00000000-0005-0000-0000-00004DC50000}"/>
    <cellStyle name="Normal 8 2 3 5 5 2" xfId="48672" xr:uid="{00000000-0005-0000-0000-00004EC50000}"/>
    <cellStyle name="Normal 8 2 3 5 5 3" xfId="32572" xr:uid="{00000000-0005-0000-0000-00004FC50000}"/>
    <cellStyle name="Normal 8 2 3 5 5 4" xfId="23003" xr:uid="{00000000-0005-0000-0000-000050C50000}"/>
    <cellStyle name="Normal 8 2 3 5 6" xfId="4326" xr:uid="{00000000-0005-0000-0000-000051C50000}"/>
    <cellStyle name="Normal 8 2 3 5 6 2" xfId="52167" xr:uid="{00000000-0005-0000-0000-000052C50000}"/>
    <cellStyle name="Normal 8 2 3 5 6 3" xfId="36067" xr:uid="{00000000-0005-0000-0000-000053C50000}"/>
    <cellStyle name="Normal 8 2 3 5 6 4" xfId="16931" xr:uid="{00000000-0005-0000-0000-000054C50000}"/>
    <cellStyle name="Normal 8 2 3 5 7" xfId="42600" xr:uid="{00000000-0005-0000-0000-000055C50000}"/>
    <cellStyle name="Normal 8 2 3 5 8" xfId="26500" xr:uid="{00000000-0005-0000-0000-000056C50000}"/>
    <cellStyle name="Normal 8 2 3 5 9" xfId="13436" xr:uid="{00000000-0005-0000-0000-000057C50000}"/>
    <cellStyle name="Normal 8 2 3 6" xfId="2149" xr:uid="{00000000-0005-0000-0000-000058C50000}"/>
    <cellStyle name="Normal 8 2 3 6 2" xfId="8683" xr:uid="{00000000-0005-0000-0000-000059C50000}"/>
    <cellStyle name="Normal 8 2 3 6 2 2" xfId="40424" xr:uid="{00000000-0005-0000-0000-00005AC50000}"/>
    <cellStyle name="Normal 8 2 3 6 2 2 2" xfId="56524" xr:uid="{00000000-0005-0000-0000-00005BC50000}"/>
    <cellStyle name="Normal 8 2 3 6 2 3" xfId="46957" xr:uid="{00000000-0005-0000-0000-00005CC50000}"/>
    <cellStyle name="Normal 8 2 3 6 2 4" xfId="30857" xr:uid="{00000000-0005-0000-0000-00005DC50000}"/>
    <cellStyle name="Normal 8 2 3 6 2 5" xfId="21288" xr:uid="{00000000-0005-0000-0000-00005EC50000}"/>
    <cellStyle name="Normal 8 2 3 6 3" xfId="11719" xr:uid="{00000000-0005-0000-0000-00005FC50000}"/>
    <cellStyle name="Normal 8 2 3 6 3 2" xfId="49993" xr:uid="{00000000-0005-0000-0000-000060C50000}"/>
    <cellStyle name="Normal 8 2 3 6 3 3" xfId="33893" xr:uid="{00000000-0005-0000-0000-000061C50000}"/>
    <cellStyle name="Normal 8 2 3 6 3 4" xfId="24324" xr:uid="{00000000-0005-0000-0000-000062C50000}"/>
    <cellStyle name="Normal 8 2 3 6 4" xfId="5647" xr:uid="{00000000-0005-0000-0000-000063C50000}"/>
    <cellStyle name="Normal 8 2 3 6 4 2" xfId="53488" xr:uid="{00000000-0005-0000-0000-000064C50000}"/>
    <cellStyle name="Normal 8 2 3 6 4 3" xfId="37388" xr:uid="{00000000-0005-0000-0000-000065C50000}"/>
    <cellStyle name="Normal 8 2 3 6 4 4" xfId="18252" xr:uid="{00000000-0005-0000-0000-000066C50000}"/>
    <cellStyle name="Normal 8 2 3 6 5" xfId="43921" xr:uid="{00000000-0005-0000-0000-000067C50000}"/>
    <cellStyle name="Normal 8 2 3 6 6" xfId="27821" xr:uid="{00000000-0005-0000-0000-000068C50000}"/>
    <cellStyle name="Normal 8 2 3 6 7" xfId="14757" xr:uid="{00000000-0005-0000-0000-000069C50000}"/>
    <cellStyle name="Normal 8 2 3 7" xfId="1155" xr:uid="{00000000-0005-0000-0000-00006AC50000}"/>
    <cellStyle name="Normal 8 2 3 7 2" xfId="7689" xr:uid="{00000000-0005-0000-0000-00006BC50000}"/>
    <cellStyle name="Normal 8 2 3 7 2 2" xfId="39430" xr:uid="{00000000-0005-0000-0000-00006CC50000}"/>
    <cellStyle name="Normal 8 2 3 7 2 2 2" xfId="55530" xr:uid="{00000000-0005-0000-0000-00006DC50000}"/>
    <cellStyle name="Normal 8 2 3 7 2 3" xfId="45963" xr:uid="{00000000-0005-0000-0000-00006EC50000}"/>
    <cellStyle name="Normal 8 2 3 7 2 4" xfId="29863" xr:uid="{00000000-0005-0000-0000-00006FC50000}"/>
    <cellStyle name="Normal 8 2 3 7 2 5" xfId="20294" xr:uid="{00000000-0005-0000-0000-000070C50000}"/>
    <cellStyle name="Normal 8 2 3 7 3" xfId="10725" xr:uid="{00000000-0005-0000-0000-000071C50000}"/>
    <cellStyle name="Normal 8 2 3 7 3 2" xfId="48999" xr:uid="{00000000-0005-0000-0000-000072C50000}"/>
    <cellStyle name="Normal 8 2 3 7 3 3" xfId="32899" xr:uid="{00000000-0005-0000-0000-000073C50000}"/>
    <cellStyle name="Normal 8 2 3 7 3 4" xfId="23330" xr:uid="{00000000-0005-0000-0000-000074C50000}"/>
    <cellStyle name="Normal 8 2 3 7 4" xfId="4653" xr:uid="{00000000-0005-0000-0000-000075C50000}"/>
    <cellStyle name="Normal 8 2 3 7 4 2" xfId="52494" xr:uid="{00000000-0005-0000-0000-000076C50000}"/>
    <cellStyle name="Normal 8 2 3 7 4 3" xfId="36394" xr:uid="{00000000-0005-0000-0000-000077C50000}"/>
    <cellStyle name="Normal 8 2 3 7 4 4" xfId="17258" xr:uid="{00000000-0005-0000-0000-000078C50000}"/>
    <cellStyle name="Normal 8 2 3 7 5" xfId="42927" xr:uid="{00000000-0005-0000-0000-000079C50000}"/>
    <cellStyle name="Normal 8 2 3 7 6" xfId="26827" xr:uid="{00000000-0005-0000-0000-00007AC50000}"/>
    <cellStyle name="Normal 8 2 3 7 7" xfId="13763" xr:uid="{00000000-0005-0000-0000-00007BC50000}"/>
    <cellStyle name="Normal 8 2 3 8" xfId="3643" xr:uid="{00000000-0005-0000-0000-00007CC50000}"/>
    <cellStyle name="Normal 8 2 3 8 2" xfId="35384" xr:uid="{00000000-0005-0000-0000-00007DC50000}"/>
    <cellStyle name="Normal 8 2 3 8 2 2" xfId="51484" xr:uid="{00000000-0005-0000-0000-00007EC50000}"/>
    <cellStyle name="Normal 8 2 3 8 3" xfId="41917" xr:uid="{00000000-0005-0000-0000-00007FC50000}"/>
    <cellStyle name="Normal 8 2 3 8 4" xfId="25817" xr:uid="{00000000-0005-0000-0000-000080C50000}"/>
    <cellStyle name="Normal 8 2 3 8 5" xfId="16248" xr:uid="{00000000-0005-0000-0000-000081C50000}"/>
    <cellStyle name="Normal 8 2 3 9" xfId="6679" xr:uid="{00000000-0005-0000-0000-000082C50000}"/>
    <cellStyle name="Normal 8 2 3 9 2" xfId="38420" xr:uid="{00000000-0005-0000-0000-000083C50000}"/>
    <cellStyle name="Normal 8 2 3 9 2 2" xfId="54520" xr:uid="{00000000-0005-0000-0000-000084C50000}"/>
    <cellStyle name="Normal 8 2 3 9 3" xfId="44953" xr:uid="{00000000-0005-0000-0000-000085C50000}"/>
    <cellStyle name="Normal 8 2 3 9 4" xfId="28853" xr:uid="{00000000-0005-0000-0000-000086C50000}"/>
    <cellStyle name="Normal 8 2 3 9 5" xfId="19284" xr:uid="{00000000-0005-0000-0000-000087C50000}"/>
    <cellStyle name="Normal 8 2 4" xfId="90" xr:uid="{00000000-0005-0000-0000-000088C50000}"/>
    <cellStyle name="Normal 8 2 4 10" xfId="3200" xr:uid="{00000000-0005-0000-0000-000089C50000}"/>
    <cellStyle name="Normal 8 2 4 10 2" xfId="51042" xr:uid="{00000000-0005-0000-0000-00008AC50000}"/>
    <cellStyle name="Normal 8 2 4 10 3" xfId="34942" xr:uid="{00000000-0005-0000-0000-00008BC50000}"/>
    <cellStyle name="Normal 8 2 4 10 4" xfId="15806" xr:uid="{00000000-0005-0000-0000-00008CC50000}"/>
    <cellStyle name="Normal 8 2 4 11" xfId="41475" xr:uid="{00000000-0005-0000-0000-00008DC50000}"/>
    <cellStyle name="Normal 8 2 4 12" xfId="25375" xr:uid="{00000000-0005-0000-0000-00008EC50000}"/>
    <cellStyle name="Normal 8 2 4 13" xfId="12770" xr:uid="{00000000-0005-0000-0000-00008FC50000}"/>
    <cellStyle name="Normal 8 2 4 2" xfId="271" xr:uid="{00000000-0005-0000-0000-000090C50000}"/>
    <cellStyle name="Normal 8 2 4 2 10" xfId="25612" xr:uid="{00000000-0005-0000-0000-000091C50000}"/>
    <cellStyle name="Normal 8 2 4 2 11" xfId="13100" xr:uid="{00000000-0005-0000-0000-000092C50000}"/>
    <cellStyle name="Normal 8 2 4 2 2" xfId="1051" xr:uid="{00000000-0005-0000-0000-000093C50000}"/>
    <cellStyle name="Normal 8 2 4 2 2 2" xfId="3079" xr:uid="{00000000-0005-0000-0000-000094C50000}"/>
    <cellStyle name="Normal 8 2 4 2 2 2 2" xfId="9611" xr:uid="{00000000-0005-0000-0000-000095C50000}"/>
    <cellStyle name="Normal 8 2 4 2 2 2 2 2" xfId="41352" xr:uid="{00000000-0005-0000-0000-000096C50000}"/>
    <cellStyle name="Normal 8 2 4 2 2 2 2 2 2" xfId="57452" xr:uid="{00000000-0005-0000-0000-000097C50000}"/>
    <cellStyle name="Normal 8 2 4 2 2 2 2 3" xfId="47885" xr:uid="{00000000-0005-0000-0000-000098C50000}"/>
    <cellStyle name="Normal 8 2 4 2 2 2 2 4" xfId="31785" xr:uid="{00000000-0005-0000-0000-000099C50000}"/>
    <cellStyle name="Normal 8 2 4 2 2 2 2 5" xfId="22216" xr:uid="{00000000-0005-0000-0000-00009AC50000}"/>
    <cellStyle name="Normal 8 2 4 2 2 2 3" xfId="12647" xr:uid="{00000000-0005-0000-0000-00009BC50000}"/>
    <cellStyle name="Normal 8 2 4 2 2 2 3 2" xfId="50921" xr:uid="{00000000-0005-0000-0000-00009CC50000}"/>
    <cellStyle name="Normal 8 2 4 2 2 2 3 3" xfId="34821" xr:uid="{00000000-0005-0000-0000-00009DC50000}"/>
    <cellStyle name="Normal 8 2 4 2 2 2 3 4" xfId="25252" xr:uid="{00000000-0005-0000-0000-00009EC50000}"/>
    <cellStyle name="Normal 8 2 4 2 2 2 4" xfId="6575" xr:uid="{00000000-0005-0000-0000-00009FC50000}"/>
    <cellStyle name="Normal 8 2 4 2 2 2 4 2" xfId="54416" xr:uid="{00000000-0005-0000-0000-0000A0C50000}"/>
    <cellStyle name="Normal 8 2 4 2 2 2 4 3" xfId="38316" xr:uid="{00000000-0005-0000-0000-0000A1C50000}"/>
    <cellStyle name="Normal 8 2 4 2 2 2 4 4" xfId="19180" xr:uid="{00000000-0005-0000-0000-0000A2C50000}"/>
    <cellStyle name="Normal 8 2 4 2 2 2 5" xfId="44849" xr:uid="{00000000-0005-0000-0000-0000A3C50000}"/>
    <cellStyle name="Normal 8 2 4 2 2 2 6" xfId="28749" xr:uid="{00000000-0005-0000-0000-0000A4C50000}"/>
    <cellStyle name="Normal 8 2 4 2 2 2 7" xfId="15685" xr:uid="{00000000-0005-0000-0000-0000A5C50000}"/>
    <cellStyle name="Normal 8 2 4 2 2 3" xfId="2061" xr:uid="{00000000-0005-0000-0000-0000A6C50000}"/>
    <cellStyle name="Normal 8 2 4 2 2 3 2" xfId="8595" xr:uid="{00000000-0005-0000-0000-0000A7C50000}"/>
    <cellStyle name="Normal 8 2 4 2 2 3 2 2" xfId="40336" xr:uid="{00000000-0005-0000-0000-0000A8C50000}"/>
    <cellStyle name="Normal 8 2 4 2 2 3 2 2 2" xfId="56436" xr:uid="{00000000-0005-0000-0000-0000A9C50000}"/>
    <cellStyle name="Normal 8 2 4 2 2 3 2 3" xfId="46869" xr:uid="{00000000-0005-0000-0000-0000AAC50000}"/>
    <cellStyle name="Normal 8 2 4 2 2 3 2 4" xfId="30769" xr:uid="{00000000-0005-0000-0000-0000ABC50000}"/>
    <cellStyle name="Normal 8 2 4 2 2 3 2 5" xfId="21200" xr:uid="{00000000-0005-0000-0000-0000ACC50000}"/>
    <cellStyle name="Normal 8 2 4 2 2 3 3" xfId="11631" xr:uid="{00000000-0005-0000-0000-0000ADC50000}"/>
    <cellStyle name="Normal 8 2 4 2 2 3 3 2" xfId="49905" xr:uid="{00000000-0005-0000-0000-0000AEC50000}"/>
    <cellStyle name="Normal 8 2 4 2 2 3 3 3" xfId="33805" xr:uid="{00000000-0005-0000-0000-0000AFC50000}"/>
    <cellStyle name="Normal 8 2 4 2 2 3 3 4" xfId="24236" xr:uid="{00000000-0005-0000-0000-0000B0C50000}"/>
    <cellStyle name="Normal 8 2 4 2 2 3 4" xfId="5559" xr:uid="{00000000-0005-0000-0000-0000B1C50000}"/>
    <cellStyle name="Normal 8 2 4 2 2 3 4 2" xfId="53400" xr:uid="{00000000-0005-0000-0000-0000B2C50000}"/>
    <cellStyle name="Normal 8 2 4 2 2 3 4 3" xfId="37300" xr:uid="{00000000-0005-0000-0000-0000B3C50000}"/>
    <cellStyle name="Normal 8 2 4 2 2 3 4 4" xfId="18164" xr:uid="{00000000-0005-0000-0000-0000B4C50000}"/>
    <cellStyle name="Normal 8 2 4 2 2 3 5" xfId="43833" xr:uid="{00000000-0005-0000-0000-0000B5C50000}"/>
    <cellStyle name="Normal 8 2 4 2 2 3 6" xfId="27733" xr:uid="{00000000-0005-0000-0000-0000B6C50000}"/>
    <cellStyle name="Normal 8 2 4 2 2 3 7" xfId="14669" xr:uid="{00000000-0005-0000-0000-0000B7C50000}"/>
    <cellStyle name="Normal 8 2 4 2 2 4" xfId="7585" xr:uid="{00000000-0005-0000-0000-0000B8C50000}"/>
    <cellStyle name="Normal 8 2 4 2 2 4 2" xfId="39326" xr:uid="{00000000-0005-0000-0000-0000B9C50000}"/>
    <cellStyle name="Normal 8 2 4 2 2 4 2 2" xfId="55426" xr:uid="{00000000-0005-0000-0000-0000BAC50000}"/>
    <cellStyle name="Normal 8 2 4 2 2 4 3" xfId="45859" xr:uid="{00000000-0005-0000-0000-0000BBC50000}"/>
    <cellStyle name="Normal 8 2 4 2 2 4 4" xfId="29759" xr:uid="{00000000-0005-0000-0000-0000BCC50000}"/>
    <cellStyle name="Normal 8 2 4 2 2 4 5" xfId="20190" xr:uid="{00000000-0005-0000-0000-0000BDC50000}"/>
    <cellStyle name="Normal 8 2 4 2 2 5" xfId="10621" xr:uid="{00000000-0005-0000-0000-0000BEC50000}"/>
    <cellStyle name="Normal 8 2 4 2 2 5 2" xfId="48895" xr:uid="{00000000-0005-0000-0000-0000BFC50000}"/>
    <cellStyle name="Normal 8 2 4 2 2 5 3" xfId="32795" xr:uid="{00000000-0005-0000-0000-0000C0C50000}"/>
    <cellStyle name="Normal 8 2 4 2 2 5 4" xfId="23226" xr:uid="{00000000-0005-0000-0000-0000C1C50000}"/>
    <cellStyle name="Normal 8 2 4 2 2 6" xfId="4549" xr:uid="{00000000-0005-0000-0000-0000C2C50000}"/>
    <cellStyle name="Normal 8 2 4 2 2 6 2" xfId="52390" xr:uid="{00000000-0005-0000-0000-0000C3C50000}"/>
    <cellStyle name="Normal 8 2 4 2 2 6 3" xfId="36290" xr:uid="{00000000-0005-0000-0000-0000C4C50000}"/>
    <cellStyle name="Normal 8 2 4 2 2 6 4" xfId="17154" xr:uid="{00000000-0005-0000-0000-0000C5C50000}"/>
    <cellStyle name="Normal 8 2 4 2 2 7" xfId="42823" xr:uid="{00000000-0005-0000-0000-0000C6C50000}"/>
    <cellStyle name="Normal 8 2 4 2 2 8" xfId="26723" xr:uid="{00000000-0005-0000-0000-0000C7C50000}"/>
    <cellStyle name="Normal 8 2 4 2 2 9" xfId="13659" xr:uid="{00000000-0005-0000-0000-0000C8C50000}"/>
    <cellStyle name="Normal 8 2 4 2 3" xfId="2290" xr:uid="{00000000-0005-0000-0000-0000C9C50000}"/>
    <cellStyle name="Normal 8 2 4 2 3 2" xfId="8824" xr:uid="{00000000-0005-0000-0000-0000CAC50000}"/>
    <cellStyle name="Normal 8 2 4 2 3 2 2" xfId="40565" xr:uid="{00000000-0005-0000-0000-0000CBC50000}"/>
    <cellStyle name="Normal 8 2 4 2 3 2 2 2" xfId="56665" xr:uid="{00000000-0005-0000-0000-0000CCC50000}"/>
    <cellStyle name="Normal 8 2 4 2 3 2 3" xfId="47098" xr:uid="{00000000-0005-0000-0000-0000CDC50000}"/>
    <cellStyle name="Normal 8 2 4 2 3 2 4" xfId="30998" xr:uid="{00000000-0005-0000-0000-0000CEC50000}"/>
    <cellStyle name="Normal 8 2 4 2 3 2 5" xfId="21429" xr:uid="{00000000-0005-0000-0000-0000CFC50000}"/>
    <cellStyle name="Normal 8 2 4 2 3 3" xfId="11860" xr:uid="{00000000-0005-0000-0000-0000D0C50000}"/>
    <cellStyle name="Normal 8 2 4 2 3 3 2" xfId="50134" xr:uid="{00000000-0005-0000-0000-0000D1C50000}"/>
    <cellStyle name="Normal 8 2 4 2 3 3 3" xfId="34034" xr:uid="{00000000-0005-0000-0000-0000D2C50000}"/>
    <cellStyle name="Normal 8 2 4 2 3 3 4" xfId="24465" xr:uid="{00000000-0005-0000-0000-0000D3C50000}"/>
    <cellStyle name="Normal 8 2 4 2 3 4" xfId="5788" xr:uid="{00000000-0005-0000-0000-0000D4C50000}"/>
    <cellStyle name="Normal 8 2 4 2 3 4 2" xfId="53629" xr:uid="{00000000-0005-0000-0000-0000D5C50000}"/>
    <cellStyle name="Normal 8 2 4 2 3 4 3" xfId="37529" xr:uid="{00000000-0005-0000-0000-0000D6C50000}"/>
    <cellStyle name="Normal 8 2 4 2 3 4 4" xfId="18393" xr:uid="{00000000-0005-0000-0000-0000D7C50000}"/>
    <cellStyle name="Normal 8 2 4 2 3 5" xfId="44062" xr:uid="{00000000-0005-0000-0000-0000D8C50000}"/>
    <cellStyle name="Normal 8 2 4 2 3 6" xfId="27962" xr:uid="{00000000-0005-0000-0000-0000D9C50000}"/>
    <cellStyle name="Normal 8 2 4 2 3 7" xfId="14898" xr:uid="{00000000-0005-0000-0000-0000DAC50000}"/>
    <cellStyle name="Normal 8 2 4 2 4" xfId="1502" xr:uid="{00000000-0005-0000-0000-0000DBC50000}"/>
    <cellStyle name="Normal 8 2 4 2 4 2" xfId="8036" xr:uid="{00000000-0005-0000-0000-0000DCC50000}"/>
    <cellStyle name="Normal 8 2 4 2 4 2 2" xfId="39777" xr:uid="{00000000-0005-0000-0000-0000DDC50000}"/>
    <cellStyle name="Normal 8 2 4 2 4 2 2 2" xfId="55877" xr:uid="{00000000-0005-0000-0000-0000DEC50000}"/>
    <cellStyle name="Normal 8 2 4 2 4 2 3" xfId="46310" xr:uid="{00000000-0005-0000-0000-0000DFC50000}"/>
    <cellStyle name="Normal 8 2 4 2 4 2 4" xfId="30210" xr:uid="{00000000-0005-0000-0000-0000E0C50000}"/>
    <cellStyle name="Normal 8 2 4 2 4 2 5" xfId="20641" xr:uid="{00000000-0005-0000-0000-0000E1C50000}"/>
    <cellStyle name="Normal 8 2 4 2 4 3" xfId="11072" xr:uid="{00000000-0005-0000-0000-0000E2C50000}"/>
    <cellStyle name="Normal 8 2 4 2 4 3 2" xfId="49346" xr:uid="{00000000-0005-0000-0000-0000E3C50000}"/>
    <cellStyle name="Normal 8 2 4 2 4 3 3" xfId="33246" xr:uid="{00000000-0005-0000-0000-0000E4C50000}"/>
    <cellStyle name="Normal 8 2 4 2 4 3 4" xfId="23677" xr:uid="{00000000-0005-0000-0000-0000E5C50000}"/>
    <cellStyle name="Normal 8 2 4 2 4 4" xfId="5000" xr:uid="{00000000-0005-0000-0000-0000E6C50000}"/>
    <cellStyle name="Normal 8 2 4 2 4 4 2" xfId="52841" xr:uid="{00000000-0005-0000-0000-0000E7C50000}"/>
    <cellStyle name="Normal 8 2 4 2 4 4 3" xfId="36741" xr:uid="{00000000-0005-0000-0000-0000E8C50000}"/>
    <cellStyle name="Normal 8 2 4 2 4 4 4" xfId="17605" xr:uid="{00000000-0005-0000-0000-0000E9C50000}"/>
    <cellStyle name="Normal 8 2 4 2 4 5" xfId="43274" xr:uid="{00000000-0005-0000-0000-0000EAC50000}"/>
    <cellStyle name="Normal 8 2 4 2 4 6" xfId="27174" xr:uid="{00000000-0005-0000-0000-0000EBC50000}"/>
    <cellStyle name="Normal 8 2 4 2 4 7" xfId="14110" xr:uid="{00000000-0005-0000-0000-0000ECC50000}"/>
    <cellStyle name="Normal 8 2 4 2 5" xfId="3990" xr:uid="{00000000-0005-0000-0000-0000EDC50000}"/>
    <cellStyle name="Normal 8 2 4 2 5 2" xfId="35731" xr:uid="{00000000-0005-0000-0000-0000EEC50000}"/>
    <cellStyle name="Normal 8 2 4 2 5 2 2" xfId="51831" xr:uid="{00000000-0005-0000-0000-0000EFC50000}"/>
    <cellStyle name="Normal 8 2 4 2 5 3" xfId="42264" xr:uid="{00000000-0005-0000-0000-0000F0C50000}"/>
    <cellStyle name="Normal 8 2 4 2 5 4" xfId="26164" xr:uid="{00000000-0005-0000-0000-0000F1C50000}"/>
    <cellStyle name="Normal 8 2 4 2 5 5" xfId="16595" xr:uid="{00000000-0005-0000-0000-0000F2C50000}"/>
    <cellStyle name="Normal 8 2 4 2 6" xfId="7026" xr:uid="{00000000-0005-0000-0000-0000F3C50000}"/>
    <cellStyle name="Normal 8 2 4 2 6 2" xfId="38767" xr:uid="{00000000-0005-0000-0000-0000F4C50000}"/>
    <cellStyle name="Normal 8 2 4 2 6 2 2" xfId="54867" xr:uid="{00000000-0005-0000-0000-0000F5C50000}"/>
    <cellStyle name="Normal 8 2 4 2 6 3" xfId="45300" xr:uid="{00000000-0005-0000-0000-0000F6C50000}"/>
    <cellStyle name="Normal 8 2 4 2 6 4" xfId="29200" xr:uid="{00000000-0005-0000-0000-0000F7C50000}"/>
    <cellStyle name="Normal 8 2 4 2 6 5" xfId="19631" xr:uid="{00000000-0005-0000-0000-0000F8C50000}"/>
    <cellStyle name="Normal 8 2 4 2 7" xfId="10062" xr:uid="{00000000-0005-0000-0000-0000F9C50000}"/>
    <cellStyle name="Normal 8 2 4 2 7 2" xfId="48336" xr:uid="{00000000-0005-0000-0000-0000FAC50000}"/>
    <cellStyle name="Normal 8 2 4 2 7 3" xfId="32236" xr:uid="{00000000-0005-0000-0000-0000FBC50000}"/>
    <cellStyle name="Normal 8 2 4 2 7 4" xfId="22667" xr:uid="{00000000-0005-0000-0000-0000FCC50000}"/>
    <cellStyle name="Normal 8 2 4 2 8" xfId="3438" xr:uid="{00000000-0005-0000-0000-0000FDC50000}"/>
    <cellStyle name="Normal 8 2 4 2 8 2" xfId="51279" xr:uid="{00000000-0005-0000-0000-0000FEC50000}"/>
    <cellStyle name="Normal 8 2 4 2 8 3" xfId="35179" xr:uid="{00000000-0005-0000-0000-0000FFC50000}"/>
    <cellStyle name="Normal 8 2 4 2 8 4" xfId="16043" xr:uid="{00000000-0005-0000-0000-000000C60000}"/>
    <cellStyle name="Normal 8 2 4 2 9" xfId="41712" xr:uid="{00000000-0005-0000-0000-000001C60000}"/>
    <cellStyle name="Normal 8 2 4 3" xfId="546" xr:uid="{00000000-0005-0000-0000-000002C60000}"/>
    <cellStyle name="Normal 8 2 4 3 2" xfId="2576" xr:uid="{00000000-0005-0000-0000-000003C60000}"/>
    <cellStyle name="Normal 8 2 4 3 2 2" xfId="9108" xr:uid="{00000000-0005-0000-0000-000004C60000}"/>
    <cellStyle name="Normal 8 2 4 3 2 2 2" xfId="40849" xr:uid="{00000000-0005-0000-0000-000005C60000}"/>
    <cellStyle name="Normal 8 2 4 3 2 2 2 2" xfId="56949" xr:uid="{00000000-0005-0000-0000-000006C60000}"/>
    <cellStyle name="Normal 8 2 4 3 2 2 3" xfId="47382" xr:uid="{00000000-0005-0000-0000-000007C60000}"/>
    <cellStyle name="Normal 8 2 4 3 2 2 4" xfId="31282" xr:uid="{00000000-0005-0000-0000-000008C60000}"/>
    <cellStyle name="Normal 8 2 4 3 2 2 5" xfId="21713" xr:uid="{00000000-0005-0000-0000-000009C60000}"/>
    <cellStyle name="Normal 8 2 4 3 2 3" xfId="12144" xr:uid="{00000000-0005-0000-0000-00000AC60000}"/>
    <cellStyle name="Normal 8 2 4 3 2 3 2" xfId="50418" xr:uid="{00000000-0005-0000-0000-00000BC60000}"/>
    <cellStyle name="Normal 8 2 4 3 2 3 3" xfId="34318" xr:uid="{00000000-0005-0000-0000-00000CC60000}"/>
    <cellStyle name="Normal 8 2 4 3 2 3 4" xfId="24749" xr:uid="{00000000-0005-0000-0000-00000DC60000}"/>
    <cellStyle name="Normal 8 2 4 3 2 4" xfId="6072" xr:uid="{00000000-0005-0000-0000-00000EC60000}"/>
    <cellStyle name="Normal 8 2 4 3 2 4 2" xfId="53913" xr:uid="{00000000-0005-0000-0000-00000FC60000}"/>
    <cellStyle name="Normal 8 2 4 3 2 4 3" xfId="37813" xr:uid="{00000000-0005-0000-0000-000010C60000}"/>
    <cellStyle name="Normal 8 2 4 3 2 4 4" xfId="18677" xr:uid="{00000000-0005-0000-0000-000011C60000}"/>
    <cellStyle name="Normal 8 2 4 3 2 5" xfId="44346" xr:uid="{00000000-0005-0000-0000-000012C60000}"/>
    <cellStyle name="Normal 8 2 4 3 2 6" xfId="28246" xr:uid="{00000000-0005-0000-0000-000013C60000}"/>
    <cellStyle name="Normal 8 2 4 3 2 7" xfId="15182" xr:uid="{00000000-0005-0000-0000-000014C60000}"/>
    <cellStyle name="Normal 8 2 4 3 3" xfId="1325" xr:uid="{00000000-0005-0000-0000-000015C60000}"/>
    <cellStyle name="Normal 8 2 4 3 3 2" xfId="7859" xr:uid="{00000000-0005-0000-0000-000016C60000}"/>
    <cellStyle name="Normal 8 2 4 3 3 2 2" xfId="39600" xr:uid="{00000000-0005-0000-0000-000017C60000}"/>
    <cellStyle name="Normal 8 2 4 3 3 2 2 2" xfId="55700" xr:uid="{00000000-0005-0000-0000-000018C60000}"/>
    <cellStyle name="Normal 8 2 4 3 3 2 3" xfId="46133" xr:uid="{00000000-0005-0000-0000-000019C60000}"/>
    <cellStyle name="Normal 8 2 4 3 3 2 4" xfId="30033" xr:uid="{00000000-0005-0000-0000-00001AC60000}"/>
    <cellStyle name="Normal 8 2 4 3 3 2 5" xfId="20464" xr:uid="{00000000-0005-0000-0000-00001BC60000}"/>
    <cellStyle name="Normal 8 2 4 3 3 3" xfId="10895" xr:uid="{00000000-0005-0000-0000-00001CC60000}"/>
    <cellStyle name="Normal 8 2 4 3 3 3 2" xfId="49169" xr:uid="{00000000-0005-0000-0000-00001DC60000}"/>
    <cellStyle name="Normal 8 2 4 3 3 3 3" xfId="33069" xr:uid="{00000000-0005-0000-0000-00001EC60000}"/>
    <cellStyle name="Normal 8 2 4 3 3 3 4" xfId="23500" xr:uid="{00000000-0005-0000-0000-00001FC60000}"/>
    <cellStyle name="Normal 8 2 4 3 3 4" xfId="4823" xr:uid="{00000000-0005-0000-0000-000020C60000}"/>
    <cellStyle name="Normal 8 2 4 3 3 4 2" xfId="52664" xr:uid="{00000000-0005-0000-0000-000021C60000}"/>
    <cellStyle name="Normal 8 2 4 3 3 4 3" xfId="36564" xr:uid="{00000000-0005-0000-0000-000022C60000}"/>
    <cellStyle name="Normal 8 2 4 3 3 4 4" xfId="17428" xr:uid="{00000000-0005-0000-0000-000023C60000}"/>
    <cellStyle name="Normal 8 2 4 3 3 5" xfId="43097" xr:uid="{00000000-0005-0000-0000-000024C60000}"/>
    <cellStyle name="Normal 8 2 4 3 3 6" xfId="26997" xr:uid="{00000000-0005-0000-0000-000025C60000}"/>
    <cellStyle name="Normal 8 2 4 3 3 7" xfId="13933" xr:uid="{00000000-0005-0000-0000-000026C60000}"/>
    <cellStyle name="Normal 8 2 4 3 4" xfId="6849" xr:uid="{00000000-0005-0000-0000-000027C60000}"/>
    <cellStyle name="Normal 8 2 4 3 4 2" xfId="38590" xr:uid="{00000000-0005-0000-0000-000028C60000}"/>
    <cellStyle name="Normal 8 2 4 3 4 2 2" xfId="54690" xr:uid="{00000000-0005-0000-0000-000029C60000}"/>
    <cellStyle name="Normal 8 2 4 3 4 3" xfId="45123" xr:uid="{00000000-0005-0000-0000-00002AC60000}"/>
    <cellStyle name="Normal 8 2 4 3 4 4" xfId="29023" xr:uid="{00000000-0005-0000-0000-00002BC60000}"/>
    <cellStyle name="Normal 8 2 4 3 4 5" xfId="19454" xr:uid="{00000000-0005-0000-0000-00002CC60000}"/>
    <cellStyle name="Normal 8 2 4 3 5" xfId="9885" xr:uid="{00000000-0005-0000-0000-00002DC60000}"/>
    <cellStyle name="Normal 8 2 4 3 5 2" xfId="48159" xr:uid="{00000000-0005-0000-0000-00002EC60000}"/>
    <cellStyle name="Normal 8 2 4 3 5 3" xfId="32059" xr:uid="{00000000-0005-0000-0000-00002FC60000}"/>
    <cellStyle name="Normal 8 2 4 3 5 4" xfId="22490" xr:uid="{00000000-0005-0000-0000-000030C60000}"/>
    <cellStyle name="Normal 8 2 4 3 6" xfId="3813" xr:uid="{00000000-0005-0000-0000-000031C60000}"/>
    <cellStyle name="Normal 8 2 4 3 6 2" xfId="51654" xr:uid="{00000000-0005-0000-0000-000032C60000}"/>
    <cellStyle name="Normal 8 2 4 3 6 3" xfId="35554" xr:uid="{00000000-0005-0000-0000-000033C60000}"/>
    <cellStyle name="Normal 8 2 4 3 6 4" xfId="16418" xr:uid="{00000000-0005-0000-0000-000034C60000}"/>
    <cellStyle name="Normal 8 2 4 3 7" xfId="42087" xr:uid="{00000000-0005-0000-0000-000035C60000}"/>
    <cellStyle name="Normal 8 2 4 3 8" xfId="25987" xr:uid="{00000000-0005-0000-0000-000036C60000}"/>
    <cellStyle name="Normal 8 2 4 3 9" xfId="12923" xr:uid="{00000000-0005-0000-0000-000037C60000}"/>
    <cellStyle name="Normal 8 2 4 4" xfId="845" xr:uid="{00000000-0005-0000-0000-000038C60000}"/>
    <cellStyle name="Normal 8 2 4 4 2" xfId="2873" xr:uid="{00000000-0005-0000-0000-000039C60000}"/>
    <cellStyle name="Normal 8 2 4 4 2 2" xfId="9405" xr:uid="{00000000-0005-0000-0000-00003AC60000}"/>
    <cellStyle name="Normal 8 2 4 4 2 2 2" xfId="41146" xr:uid="{00000000-0005-0000-0000-00003BC60000}"/>
    <cellStyle name="Normal 8 2 4 4 2 2 2 2" xfId="57246" xr:uid="{00000000-0005-0000-0000-00003CC60000}"/>
    <cellStyle name="Normal 8 2 4 4 2 2 3" xfId="47679" xr:uid="{00000000-0005-0000-0000-00003DC60000}"/>
    <cellStyle name="Normal 8 2 4 4 2 2 4" xfId="31579" xr:uid="{00000000-0005-0000-0000-00003EC60000}"/>
    <cellStyle name="Normal 8 2 4 4 2 2 5" xfId="22010" xr:uid="{00000000-0005-0000-0000-00003FC60000}"/>
    <cellStyle name="Normal 8 2 4 4 2 3" xfId="12441" xr:uid="{00000000-0005-0000-0000-000040C60000}"/>
    <cellStyle name="Normal 8 2 4 4 2 3 2" xfId="50715" xr:uid="{00000000-0005-0000-0000-000041C60000}"/>
    <cellStyle name="Normal 8 2 4 4 2 3 3" xfId="34615" xr:uid="{00000000-0005-0000-0000-000042C60000}"/>
    <cellStyle name="Normal 8 2 4 4 2 3 4" xfId="25046" xr:uid="{00000000-0005-0000-0000-000043C60000}"/>
    <cellStyle name="Normal 8 2 4 4 2 4" xfId="6369" xr:uid="{00000000-0005-0000-0000-000044C60000}"/>
    <cellStyle name="Normal 8 2 4 4 2 4 2" xfId="54210" xr:uid="{00000000-0005-0000-0000-000045C60000}"/>
    <cellStyle name="Normal 8 2 4 4 2 4 3" xfId="38110" xr:uid="{00000000-0005-0000-0000-000046C60000}"/>
    <cellStyle name="Normal 8 2 4 4 2 4 4" xfId="18974" xr:uid="{00000000-0005-0000-0000-000047C60000}"/>
    <cellStyle name="Normal 8 2 4 4 2 5" xfId="44643" xr:uid="{00000000-0005-0000-0000-000048C60000}"/>
    <cellStyle name="Normal 8 2 4 4 2 6" xfId="28543" xr:uid="{00000000-0005-0000-0000-000049C60000}"/>
    <cellStyle name="Normal 8 2 4 4 2 7" xfId="15479" xr:uid="{00000000-0005-0000-0000-00004AC60000}"/>
    <cellStyle name="Normal 8 2 4 4 3" xfId="1855" xr:uid="{00000000-0005-0000-0000-00004BC60000}"/>
    <cellStyle name="Normal 8 2 4 4 3 2" xfId="8389" xr:uid="{00000000-0005-0000-0000-00004CC60000}"/>
    <cellStyle name="Normal 8 2 4 4 3 2 2" xfId="40130" xr:uid="{00000000-0005-0000-0000-00004DC60000}"/>
    <cellStyle name="Normal 8 2 4 4 3 2 2 2" xfId="56230" xr:uid="{00000000-0005-0000-0000-00004EC60000}"/>
    <cellStyle name="Normal 8 2 4 4 3 2 3" xfId="46663" xr:uid="{00000000-0005-0000-0000-00004FC60000}"/>
    <cellStyle name="Normal 8 2 4 4 3 2 4" xfId="30563" xr:uid="{00000000-0005-0000-0000-000050C60000}"/>
    <cellStyle name="Normal 8 2 4 4 3 2 5" xfId="20994" xr:uid="{00000000-0005-0000-0000-000051C60000}"/>
    <cellStyle name="Normal 8 2 4 4 3 3" xfId="11425" xr:uid="{00000000-0005-0000-0000-000052C60000}"/>
    <cellStyle name="Normal 8 2 4 4 3 3 2" xfId="49699" xr:uid="{00000000-0005-0000-0000-000053C60000}"/>
    <cellStyle name="Normal 8 2 4 4 3 3 3" xfId="33599" xr:uid="{00000000-0005-0000-0000-000054C60000}"/>
    <cellStyle name="Normal 8 2 4 4 3 3 4" xfId="24030" xr:uid="{00000000-0005-0000-0000-000055C60000}"/>
    <cellStyle name="Normal 8 2 4 4 3 4" xfId="5353" xr:uid="{00000000-0005-0000-0000-000056C60000}"/>
    <cellStyle name="Normal 8 2 4 4 3 4 2" xfId="53194" xr:uid="{00000000-0005-0000-0000-000057C60000}"/>
    <cellStyle name="Normal 8 2 4 4 3 4 3" xfId="37094" xr:uid="{00000000-0005-0000-0000-000058C60000}"/>
    <cellStyle name="Normal 8 2 4 4 3 4 4" xfId="17958" xr:uid="{00000000-0005-0000-0000-000059C60000}"/>
    <cellStyle name="Normal 8 2 4 4 3 5" xfId="43627" xr:uid="{00000000-0005-0000-0000-00005AC60000}"/>
    <cellStyle name="Normal 8 2 4 4 3 6" xfId="27527" xr:uid="{00000000-0005-0000-0000-00005BC60000}"/>
    <cellStyle name="Normal 8 2 4 4 3 7" xfId="14463" xr:uid="{00000000-0005-0000-0000-00005CC60000}"/>
    <cellStyle name="Normal 8 2 4 4 4" xfId="7379" xr:uid="{00000000-0005-0000-0000-00005DC60000}"/>
    <cellStyle name="Normal 8 2 4 4 4 2" xfId="39120" xr:uid="{00000000-0005-0000-0000-00005EC60000}"/>
    <cellStyle name="Normal 8 2 4 4 4 2 2" xfId="55220" xr:uid="{00000000-0005-0000-0000-00005FC60000}"/>
    <cellStyle name="Normal 8 2 4 4 4 3" xfId="45653" xr:uid="{00000000-0005-0000-0000-000060C60000}"/>
    <cellStyle name="Normal 8 2 4 4 4 4" xfId="29553" xr:uid="{00000000-0005-0000-0000-000061C60000}"/>
    <cellStyle name="Normal 8 2 4 4 4 5" xfId="19984" xr:uid="{00000000-0005-0000-0000-000062C60000}"/>
    <cellStyle name="Normal 8 2 4 4 5" xfId="10415" xr:uid="{00000000-0005-0000-0000-000063C60000}"/>
    <cellStyle name="Normal 8 2 4 4 5 2" xfId="48689" xr:uid="{00000000-0005-0000-0000-000064C60000}"/>
    <cellStyle name="Normal 8 2 4 4 5 3" xfId="32589" xr:uid="{00000000-0005-0000-0000-000065C60000}"/>
    <cellStyle name="Normal 8 2 4 4 5 4" xfId="23020" xr:uid="{00000000-0005-0000-0000-000066C60000}"/>
    <cellStyle name="Normal 8 2 4 4 6" xfId="4343" xr:uid="{00000000-0005-0000-0000-000067C60000}"/>
    <cellStyle name="Normal 8 2 4 4 6 2" xfId="52184" xr:uid="{00000000-0005-0000-0000-000068C60000}"/>
    <cellStyle name="Normal 8 2 4 4 6 3" xfId="36084" xr:uid="{00000000-0005-0000-0000-000069C60000}"/>
    <cellStyle name="Normal 8 2 4 4 6 4" xfId="16948" xr:uid="{00000000-0005-0000-0000-00006AC60000}"/>
    <cellStyle name="Normal 8 2 4 4 7" xfId="42617" xr:uid="{00000000-0005-0000-0000-00006BC60000}"/>
    <cellStyle name="Normal 8 2 4 4 8" xfId="26517" xr:uid="{00000000-0005-0000-0000-00006CC60000}"/>
    <cellStyle name="Normal 8 2 4 4 9" xfId="13453" xr:uid="{00000000-0005-0000-0000-00006DC60000}"/>
    <cellStyle name="Normal 8 2 4 5" xfId="2113" xr:uid="{00000000-0005-0000-0000-00006EC60000}"/>
    <cellStyle name="Normal 8 2 4 5 2" xfId="8647" xr:uid="{00000000-0005-0000-0000-00006FC60000}"/>
    <cellStyle name="Normal 8 2 4 5 2 2" xfId="40388" xr:uid="{00000000-0005-0000-0000-000070C60000}"/>
    <cellStyle name="Normal 8 2 4 5 2 2 2" xfId="56488" xr:uid="{00000000-0005-0000-0000-000071C60000}"/>
    <cellStyle name="Normal 8 2 4 5 2 3" xfId="46921" xr:uid="{00000000-0005-0000-0000-000072C60000}"/>
    <cellStyle name="Normal 8 2 4 5 2 4" xfId="30821" xr:uid="{00000000-0005-0000-0000-000073C60000}"/>
    <cellStyle name="Normal 8 2 4 5 2 5" xfId="21252" xr:uid="{00000000-0005-0000-0000-000074C60000}"/>
    <cellStyle name="Normal 8 2 4 5 3" xfId="11683" xr:uid="{00000000-0005-0000-0000-000075C60000}"/>
    <cellStyle name="Normal 8 2 4 5 3 2" xfId="49957" xr:uid="{00000000-0005-0000-0000-000076C60000}"/>
    <cellStyle name="Normal 8 2 4 5 3 3" xfId="33857" xr:uid="{00000000-0005-0000-0000-000077C60000}"/>
    <cellStyle name="Normal 8 2 4 5 3 4" xfId="24288" xr:uid="{00000000-0005-0000-0000-000078C60000}"/>
    <cellStyle name="Normal 8 2 4 5 4" xfId="5611" xr:uid="{00000000-0005-0000-0000-000079C60000}"/>
    <cellStyle name="Normal 8 2 4 5 4 2" xfId="53452" xr:uid="{00000000-0005-0000-0000-00007AC60000}"/>
    <cellStyle name="Normal 8 2 4 5 4 3" xfId="37352" xr:uid="{00000000-0005-0000-0000-00007BC60000}"/>
    <cellStyle name="Normal 8 2 4 5 4 4" xfId="18216" xr:uid="{00000000-0005-0000-0000-00007CC60000}"/>
    <cellStyle name="Normal 8 2 4 5 5" xfId="43885" xr:uid="{00000000-0005-0000-0000-00007DC60000}"/>
    <cellStyle name="Normal 8 2 4 5 6" xfId="27785" xr:uid="{00000000-0005-0000-0000-00007EC60000}"/>
    <cellStyle name="Normal 8 2 4 5 7" xfId="14721" xr:uid="{00000000-0005-0000-0000-00007FC60000}"/>
    <cellStyle name="Normal 8 2 4 6" xfId="1172" xr:uid="{00000000-0005-0000-0000-000080C60000}"/>
    <cellStyle name="Normal 8 2 4 6 2" xfId="7706" xr:uid="{00000000-0005-0000-0000-000081C60000}"/>
    <cellStyle name="Normal 8 2 4 6 2 2" xfId="39447" xr:uid="{00000000-0005-0000-0000-000082C60000}"/>
    <cellStyle name="Normal 8 2 4 6 2 2 2" xfId="55547" xr:uid="{00000000-0005-0000-0000-000083C60000}"/>
    <cellStyle name="Normal 8 2 4 6 2 3" xfId="45980" xr:uid="{00000000-0005-0000-0000-000084C60000}"/>
    <cellStyle name="Normal 8 2 4 6 2 4" xfId="29880" xr:uid="{00000000-0005-0000-0000-000085C60000}"/>
    <cellStyle name="Normal 8 2 4 6 2 5" xfId="20311" xr:uid="{00000000-0005-0000-0000-000086C60000}"/>
    <cellStyle name="Normal 8 2 4 6 3" xfId="10742" xr:uid="{00000000-0005-0000-0000-000087C60000}"/>
    <cellStyle name="Normal 8 2 4 6 3 2" xfId="49016" xr:uid="{00000000-0005-0000-0000-000088C60000}"/>
    <cellStyle name="Normal 8 2 4 6 3 3" xfId="32916" xr:uid="{00000000-0005-0000-0000-000089C60000}"/>
    <cellStyle name="Normal 8 2 4 6 3 4" xfId="23347" xr:uid="{00000000-0005-0000-0000-00008AC60000}"/>
    <cellStyle name="Normal 8 2 4 6 4" xfId="4670" xr:uid="{00000000-0005-0000-0000-00008BC60000}"/>
    <cellStyle name="Normal 8 2 4 6 4 2" xfId="52511" xr:uid="{00000000-0005-0000-0000-00008CC60000}"/>
    <cellStyle name="Normal 8 2 4 6 4 3" xfId="36411" xr:uid="{00000000-0005-0000-0000-00008DC60000}"/>
    <cellStyle name="Normal 8 2 4 6 4 4" xfId="17275" xr:uid="{00000000-0005-0000-0000-00008EC60000}"/>
    <cellStyle name="Normal 8 2 4 6 5" xfId="42944" xr:uid="{00000000-0005-0000-0000-00008FC60000}"/>
    <cellStyle name="Normal 8 2 4 6 6" xfId="26844" xr:uid="{00000000-0005-0000-0000-000090C60000}"/>
    <cellStyle name="Normal 8 2 4 6 7" xfId="13780" xr:uid="{00000000-0005-0000-0000-000091C60000}"/>
    <cellStyle name="Normal 8 2 4 7" xfId="3660" xr:uid="{00000000-0005-0000-0000-000092C60000}"/>
    <cellStyle name="Normal 8 2 4 7 2" xfId="35401" xr:uid="{00000000-0005-0000-0000-000093C60000}"/>
    <cellStyle name="Normal 8 2 4 7 2 2" xfId="51501" xr:uid="{00000000-0005-0000-0000-000094C60000}"/>
    <cellStyle name="Normal 8 2 4 7 3" xfId="41934" xr:uid="{00000000-0005-0000-0000-000095C60000}"/>
    <cellStyle name="Normal 8 2 4 7 4" xfId="25834" xr:uid="{00000000-0005-0000-0000-000096C60000}"/>
    <cellStyle name="Normal 8 2 4 7 5" xfId="16265" xr:uid="{00000000-0005-0000-0000-000097C60000}"/>
    <cellStyle name="Normal 8 2 4 8" xfId="6696" xr:uid="{00000000-0005-0000-0000-000098C60000}"/>
    <cellStyle name="Normal 8 2 4 8 2" xfId="38437" xr:uid="{00000000-0005-0000-0000-000099C60000}"/>
    <cellStyle name="Normal 8 2 4 8 2 2" xfId="54537" xr:uid="{00000000-0005-0000-0000-00009AC60000}"/>
    <cellStyle name="Normal 8 2 4 8 3" xfId="44970" xr:uid="{00000000-0005-0000-0000-00009BC60000}"/>
    <cellStyle name="Normal 8 2 4 8 4" xfId="28870" xr:uid="{00000000-0005-0000-0000-00009CC60000}"/>
    <cellStyle name="Normal 8 2 4 8 5" xfId="19301" xr:uid="{00000000-0005-0000-0000-00009DC60000}"/>
    <cellStyle name="Normal 8 2 4 9" xfId="9732" xr:uid="{00000000-0005-0000-0000-00009EC60000}"/>
    <cellStyle name="Normal 8 2 4 9 2" xfId="48006" xr:uid="{00000000-0005-0000-0000-00009FC60000}"/>
    <cellStyle name="Normal 8 2 4 9 3" xfId="31906" xr:uid="{00000000-0005-0000-0000-0000A0C60000}"/>
    <cellStyle name="Normal 8 2 4 9 4" xfId="22337" xr:uid="{00000000-0005-0000-0000-0000A1C60000}"/>
    <cellStyle name="Normal 8 2 5" xfId="165" xr:uid="{00000000-0005-0000-0000-0000A2C60000}"/>
    <cellStyle name="Normal 8 2 5 10" xfId="3217" xr:uid="{00000000-0005-0000-0000-0000A3C60000}"/>
    <cellStyle name="Normal 8 2 5 10 2" xfId="51059" xr:uid="{00000000-0005-0000-0000-0000A4C60000}"/>
    <cellStyle name="Normal 8 2 5 10 3" xfId="34959" xr:uid="{00000000-0005-0000-0000-0000A5C60000}"/>
    <cellStyle name="Normal 8 2 5 10 4" xfId="15823" xr:uid="{00000000-0005-0000-0000-0000A6C60000}"/>
    <cellStyle name="Normal 8 2 5 11" xfId="41492" xr:uid="{00000000-0005-0000-0000-0000A7C60000}"/>
    <cellStyle name="Normal 8 2 5 12" xfId="25392" xr:uid="{00000000-0005-0000-0000-0000A8C60000}"/>
    <cellStyle name="Normal 8 2 5 13" xfId="12787" xr:uid="{00000000-0005-0000-0000-0000A9C60000}"/>
    <cellStyle name="Normal 8 2 5 2" xfId="342" xr:uid="{00000000-0005-0000-0000-0000AAC60000}"/>
    <cellStyle name="Normal 8 2 5 2 10" xfId="13171" xr:uid="{00000000-0005-0000-0000-0000ABC60000}"/>
    <cellStyle name="Normal 8 2 5 2 2" xfId="2361" xr:uid="{00000000-0005-0000-0000-0000ACC60000}"/>
    <cellStyle name="Normal 8 2 5 2 2 2" xfId="8895" xr:uid="{00000000-0005-0000-0000-0000ADC60000}"/>
    <cellStyle name="Normal 8 2 5 2 2 2 2" xfId="40636" xr:uid="{00000000-0005-0000-0000-0000AEC60000}"/>
    <cellStyle name="Normal 8 2 5 2 2 2 2 2" xfId="56736" xr:uid="{00000000-0005-0000-0000-0000AFC60000}"/>
    <cellStyle name="Normal 8 2 5 2 2 2 3" xfId="47169" xr:uid="{00000000-0005-0000-0000-0000B0C60000}"/>
    <cellStyle name="Normal 8 2 5 2 2 2 4" xfId="31069" xr:uid="{00000000-0005-0000-0000-0000B1C60000}"/>
    <cellStyle name="Normal 8 2 5 2 2 2 5" xfId="21500" xr:uid="{00000000-0005-0000-0000-0000B2C60000}"/>
    <cellStyle name="Normal 8 2 5 2 2 3" xfId="11931" xr:uid="{00000000-0005-0000-0000-0000B3C60000}"/>
    <cellStyle name="Normal 8 2 5 2 2 3 2" xfId="50205" xr:uid="{00000000-0005-0000-0000-0000B4C60000}"/>
    <cellStyle name="Normal 8 2 5 2 2 3 3" xfId="34105" xr:uid="{00000000-0005-0000-0000-0000B5C60000}"/>
    <cellStyle name="Normal 8 2 5 2 2 3 4" xfId="24536" xr:uid="{00000000-0005-0000-0000-0000B6C60000}"/>
    <cellStyle name="Normal 8 2 5 2 2 4" xfId="5859" xr:uid="{00000000-0005-0000-0000-0000B7C60000}"/>
    <cellStyle name="Normal 8 2 5 2 2 4 2" xfId="53700" xr:uid="{00000000-0005-0000-0000-0000B8C60000}"/>
    <cellStyle name="Normal 8 2 5 2 2 4 3" xfId="37600" xr:uid="{00000000-0005-0000-0000-0000B9C60000}"/>
    <cellStyle name="Normal 8 2 5 2 2 4 4" xfId="18464" xr:uid="{00000000-0005-0000-0000-0000BAC60000}"/>
    <cellStyle name="Normal 8 2 5 2 2 5" xfId="44133" xr:uid="{00000000-0005-0000-0000-0000BBC60000}"/>
    <cellStyle name="Normal 8 2 5 2 2 6" xfId="28033" xr:uid="{00000000-0005-0000-0000-0000BCC60000}"/>
    <cellStyle name="Normal 8 2 5 2 2 7" xfId="14969" xr:uid="{00000000-0005-0000-0000-0000BDC60000}"/>
    <cellStyle name="Normal 8 2 5 2 3" xfId="1573" xr:uid="{00000000-0005-0000-0000-0000BEC60000}"/>
    <cellStyle name="Normal 8 2 5 2 3 2" xfId="8107" xr:uid="{00000000-0005-0000-0000-0000BFC60000}"/>
    <cellStyle name="Normal 8 2 5 2 3 2 2" xfId="39848" xr:uid="{00000000-0005-0000-0000-0000C0C60000}"/>
    <cellStyle name="Normal 8 2 5 2 3 2 2 2" xfId="55948" xr:uid="{00000000-0005-0000-0000-0000C1C60000}"/>
    <cellStyle name="Normal 8 2 5 2 3 2 3" xfId="46381" xr:uid="{00000000-0005-0000-0000-0000C2C60000}"/>
    <cellStyle name="Normal 8 2 5 2 3 2 4" xfId="30281" xr:uid="{00000000-0005-0000-0000-0000C3C60000}"/>
    <cellStyle name="Normal 8 2 5 2 3 2 5" xfId="20712" xr:uid="{00000000-0005-0000-0000-0000C4C60000}"/>
    <cellStyle name="Normal 8 2 5 2 3 3" xfId="11143" xr:uid="{00000000-0005-0000-0000-0000C5C60000}"/>
    <cellStyle name="Normal 8 2 5 2 3 3 2" xfId="49417" xr:uid="{00000000-0005-0000-0000-0000C6C60000}"/>
    <cellStyle name="Normal 8 2 5 2 3 3 3" xfId="33317" xr:uid="{00000000-0005-0000-0000-0000C7C60000}"/>
    <cellStyle name="Normal 8 2 5 2 3 3 4" xfId="23748" xr:uid="{00000000-0005-0000-0000-0000C8C60000}"/>
    <cellStyle name="Normal 8 2 5 2 3 4" xfId="5071" xr:uid="{00000000-0005-0000-0000-0000C9C60000}"/>
    <cellStyle name="Normal 8 2 5 2 3 4 2" xfId="52912" xr:uid="{00000000-0005-0000-0000-0000CAC60000}"/>
    <cellStyle name="Normal 8 2 5 2 3 4 3" xfId="36812" xr:uid="{00000000-0005-0000-0000-0000CBC60000}"/>
    <cellStyle name="Normal 8 2 5 2 3 4 4" xfId="17676" xr:uid="{00000000-0005-0000-0000-0000CCC60000}"/>
    <cellStyle name="Normal 8 2 5 2 3 5" xfId="43345" xr:uid="{00000000-0005-0000-0000-0000CDC60000}"/>
    <cellStyle name="Normal 8 2 5 2 3 6" xfId="27245" xr:uid="{00000000-0005-0000-0000-0000CEC60000}"/>
    <cellStyle name="Normal 8 2 5 2 3 7" xfId="14181" xr:uid="{00000000-0005-0000-0000-0000CFC60000}"/>
    <cellStyle name="Normal 8 2 5 2 4" xfId="4061" xr:uid="{00000000-0005-0000-0000-0000D0C60000}"/>
    <cellStyle name="Normal 8 2 5 2 4 2" xfId="35802" xr:uid="{00000000-0005-0000-0000-0000D1C60000}"/>
    <cellStyle name="Normal 8 2 5 2 4 2 2" xfId="51902" xr:uid="{00000000-0005-0000-0000-0000D2C60000}"/>
    <cellStyle name="Normal 8 2 5 2 4 3" xfId="42335" xr:uid="{00000000-0005-0000-0000-0000D3C60000}"/>
    <cellStyle name="Normal 8 2 5 2 4 4" xfId="26235" xr:uid="{00000000-0005-0000-0000-0000D4C60000}"/>
    <cellStyle name="Normal 8 2 5 2 4 5" xfId="16666" xr:uid="{00000000-0005-0000-0000-0000D5C60000}"/>
    <cellStyle name="Normal 8 2 5 2 5" xfId="7097" xr:uid="{00000000-0005-0000-0000-0000D6C60000}"/>
    <cellStyle name="Normal 8 2 5 2 5 2" xfId="38838" xr:uid="{00000000-0005-0000-0000-0000D7C60000}"/>
    <cellStyle name="Normal 8 2 5 2 5 2 2" xfId="54938" xr:uid="{00000000-0005-0000-0000-0000D8C60000}"/>
    <cellStyle name="Normal 8 2 5 2 5 3" xfId="45371" xr:uid="{00000000-0005-0000-0000-0000D9C60000}"/>
    <cellStyle name="Normal 8 2 5 2 5 4" xfId="29271" xr:uid="{00000000-0005-0000-0000-0000DAC60000}"/>
    <cellStyle name="Normal 8 2 5 2 5 5" xfId="19702" xr:uid="{00000000-0005-0000-0000-0000DBC60000}"/>
    <cellStyle name="Normal 8 2 5 2 6" xfId="10133" xr:uid="{00000000-0005-0000-0000-0000DCC60000}"/>
    <cellStyle name="Normal 8 2 5 2 6 2" xfId="48407" xr:uid="{00000000-0005-0000-0000-0000DDC60000}"/>
    <cellStyle name="Normal 8 2 5 2 6 3" xfId="32307" xr:uid="{00000000-0005-0000-0000-0000DEC60000}"/>
    <cellStyle name="Normal 8 2 5 2 6 4" xfId="22738" xr:uid="{00000000-0005-0000-0000-0000DFC60000}"/>
    <cellStyle name="Normal 8 2 5 2 7" xfId="3455" xr:uid="{00000000-0005-0000-0000-0000E0C60000}"/>
    <cellStyle name="Normal 8 2 5 2 7 2" xfId="51296" xr:uid="{00000000-0005-0000-0000-0000E1C60000}"/>
    <cellStyle name="Normal 8 2 5 2 7 3" xfId="35196" xr:uid="{00000000-0005-0000-0000-0000E2C60000}"/>
    <cellStyle name="Normal 8 2 5 2 7 4" xfId="16060" xr:uid="{00000000-0005-0000-0000-0000E3C60000}"/>
    <cellStyle name="Normal 8 2 5 2 8" xfId="41729" xr:uid="{00000000-0005-0000-0000-0000E4C60000}"/>
    <cellStyle name="Normal 8 2 5 2 9" xfId="25629" xr:uid="{00000000-0005-0000-0000-0000E5C60000}"/>
    <cellStyle name="Normal 8 2 5 3" xfId="600" xr:uid="{00000000-0005-0000-0000-0000E6C60000}"/>
    <cellStyle name="Normal 8 2 5 3 2" xfId="2628" xr:uid="{00000000-0005-0000-0000-0000E7C60000}"/>
    <cellStyle name="Normal 8 2 5 3 2 2" xfId="9160" xr:uid="{00000000-0005-0000-0000-0000E8C60000}"/>
    <cellStyle name="Normal 8 2 5 3 2 2 2" xfId="40901" xr:uid="{00000000-0005-0000-0000-0000E9C60000}"/>
    <cellStyle name="Normal 8 2 5 3 2 2 2 2" xfId="57001" xr:uid="{00000000-0005-0000-0000-0000EAC60000}"/>
    <cellStyle name="Normal 8 2 5 3 2 2 3" xfId="47434" xr:uid="{00000000-0005-0000-0000-0000EBC60000}"/>
    <cellStyle name="Normal 8 2 5 3 2 2 4" xfId="31334" xr:uid="{00000000-0005-0000-0000-0000ECC60000}"/>
    <cellStyle name="Normal 8 2 5 3 2 2 5" xfId="21765" xr:uid="{00000000-0005-0000-0000-0000EDC60000}"/>
    <cellStyle name="Normal 8 2 5 3 2 3" xfId="12196" xr:uid="{00000000-0005-0000-0000-0000EEC60000}"/>
    <cellStyle name="Normal 8 2 5 3 2 3 2" xfId="50470" xr:uid="{00000000-0005-0000-0000-0000EFC60000}"/>
    <cellStyle name="Normal 8 2 5 3 2 3 3" xfId="34370" xr:uid="{00000000-0005-0000-0000-0000F0C60000}"/>
    <cellStyle name="Normal 8 2 5 3 2 3 4" xfId="24801" xr:uid="{00000000-0005-0000-0000-0000F1C60000}"/>
    <cellStyle name="Normal 8 2 5 3 2 4" xfId="6124" xr:uid="{00000000-0005-0000-0000-0000F2C60000}"/>
    <cellStyle name="Normal 8 2 5 3 2 4 2" xfId="53965" xr:uid="{00000000-0005-0000-0000-0000F3C60000}"/>
    <cellStyle name="Normal 8 2 5 3 2 4 3" xfId="37865" xr:uid="{00000000-0005-0000-0000-0000F4C60000}"/>
    <cellStyle name="Normal 8 2 5 3 2 4 4" xfId="18729" xr:uid="{00000000-0005-0000-0000-0000F5C60000}"/>
    <cellStyle name="Normal 8 2 5 3 2 5" xfId="44398" xr:uid="{00000000-0005-0000-0000-0000F6C60000}"/>
    <cellStyle name="Normal 8 2 5 3 2 6" xfId="28298" xr:uid="{00000000-0005-0000-0000-0000F7C60000}"/>
    <cellStyle name="Normal 8 2 5 3 2 7" xfId="15234" xr:uid="{00000000-0005-0000-0000-0000F8C60000}"/>
    <cellStyle name="Normal 8 2 5 3 3" xfId="1396" xr:uid="{00000000-0005-0000-0000-0000F9C60000}"/>
    <cellStyle name="Normal 8 2 5 3 3 2" xfId="7930" xr:uid="{00000000-0005-0000-0000-0000FAC60000}"/>
    <cellStyle name="Normal 8 2 5 3 3 2 2" xfId="39671" xr:uid="{00000000-0005-0000-0000-0000FBC60000}"/>
    <cellStyle name="Normal 8 2 5 3 3 2 2 2" xfId="55771" xr:uid="{00000000-0005-0000-0000-0000FCC60000}"/>
    <cellStyle name="Normal 8 2 5 3 3 2 3" xfId="46204" xr:uid="{00000000-0005-0000-0000-0000FDC60000}"/>
    <cellStyle name="Normal 8 2 5 3 3 2 4" xfId="30104" xr:uid="{00000000-0005-0000-0000-0000FEC60000}"/>
    <cellStyle name="Normal 8 2 5 3 3 2 5" xfId="20535" xr:uid="{00000000-0005-0000-0000-0000FFC60000}"/>
    <cellStyle name="Normal 8 2 5 3 3 3" xfId="10966" xr:uid="{00000000-0005-0000-0000-000000C70000}"/>
    <cellStyle name="Normal 8 2 5 3 3 3 2" xfId="49240" xr:uid="{00000000-0005-0000-0000-000001C70000}"/>
    <cellStyle name="Normal 8 2 5 3 3 3 3" xfId="33140" xr:uid="{00000000-0005-0000-0000-000002C70000}"/>
    <cellStyle name="Normal 8 2 5 3 3 3 4" xfId="23571" xr:uid="{00000000-0005-0000-0000-000003C70000}"/>
    <cellStyle name="Normal 8 2 5 3 3 4" xfId="4894" xr:uid="{00000000-0005-0000-0000-000004C70000}"/>
    <cellStyle name="Normal 8 2 5 3 3 4 2" xfId="52735" xr:uid="{00000000-0005-0000-0000-000005C70000}"/>
    <cellStyle name="Normal 8 2 5 3 3 4 3" xfId="36635" xr:uid="{00000000-0005-0000-0000-000006C70000}"/>
    <cellStyle name="Normal 8 2 5 3 3 4 4" xfId="17499" xr:uid="{00000000-0005-0000-0000-000007C70000}"/>
    <cellStyle name="Normal 8 2 5 3 3 5" xfId="43168" xr:uid="{00000000-0005-0000-0000-000008C70000}"/>
    <cellStyle name="Normal 8 2 5 3 3 6" xfId="27068" xr:uid="{00000000-0005-0000-0000-000009C70000}"/>
    <cellStyle name="Normal 8 2 5 3 3 7" xfId="14004" xr:uid="{00000000-0005-0000-0000-00000AC70000}"/>
    <cellStyle name="Normal 8 2 5 3 4" xfId="6920" xr:uid="{00000000-0005-0000-0000-00000BC70000}"/>
    <cellStyle name="Normal 8 2 5 3 4 2" xfId="38661" xr:uid="{00000000-0005-0000-0000-00000CC70000}"/>
    <cellStyle name="Normal 8 2 5 3 4 2 2" xfId="54761" xr:uid="{00000000-0005-0000-0000-00000DC70000}"/>
    <cellStyle name="Normal 8 2 5 3 4 3" xfId="45194" xr:uid="{00000000-0005-0000-0000-00000EC70000}"/>
    <cellStyle name="Normal 8 2 5 3 4 4" xfId="29094" xr:uid="{00000000-0005-0000-0000-00000FC70000}"/>
    <cellStyle name="Normal 8 2 5 3 4 5" xfId="19525" xr:uid="{00000000-0005-0000-0000-000010C70000}"/>
    <cellStyle name="Normal 8 2 5 3 5" xfId="9956" xr:uid="{00000000-0005-0000-0000-000011C70000}"/>
    <cellStyle name="Normal 8 2 5 3 5 2" xfId="48230" xr:uid="{00000000-0005-0000-0000-000012C70000}"/>
    <cellStyle name="Normal 8 2 5 3 5 3" xfId="32130" xr:uid="{00000000-0005-0000-0000-000013C70000}"/>
    <cellStyle name="Normal 8 2 5 3 5 4" xfId="22561" xr:uid="{00000000-0005-0000-0000-000014C70000}"/>
    <cellStyle name="Normal 8 2 5 3 6" xfId="3884" xr:uid="{00000000-0005-0000-0000-000015C70000}"/>
    <cellStyle name="Normal 8 2 5 3 6 2" xfId="51725" xr:uid="{00000000-0005-0000-0000-000016C70000}"/>
    <cellStyle name="Normal 8 2 5 3 6 3" xfId="35625" xr:uid="{00000000-0005-0000-0000-000017C70000}"/>
    <cellStyle name="Normal 8 2 5 3 6 4" xfId="16489" xr:uid="{00000000-0005-0000-0000-000018C70000}"/>
    <cellStyle name="Normal 8 2 5 3 7" xfId="42158" xr:uid="{00000000-0005-0000-0000-000019C70000}"/>
    <cellStyle name="Normal 8 2 5 3 8" xfId="26058" xr:uid="{00000000-0005-0000-0000-00001AC70000}"/>
    <cellStyle name="Normal 8 2 5 3 9" xfId="12994" xr:uid="{00000000-0005-0000-0000-00001BC70000}"/>
    <cellStyle name="Normal 8 2 5 4" xfId="862" xr:uid="{00000000-0005-0000-0000-00001CC70000}"/>
    <cellStyle name="Normal 8 2 5 4 2" xfId="2890" xr:uid="{00000000-0005-0000-0000-00001DC70000}"/>
    <cellStyle name="Normal 8 2 5 4 2 2" xfId="9422" xr:uid="{00000000-0005-0000-0000-00001EC70000}"/>
    <cellStyle name="Normal 8 2 5 4 2 2 2" xfId="41163" xr:uid="{00000000-0005-0000-0000-00001FC70000}"/>
    <cellStyle name="Normal 8 2 5 4 2 2 2 2" xfId="57263" xr:uid="{00000000-0005-0000-0000-000020C70000}"/>
    <cellStyle name="Normal 8 2 5 4 2 2 3" xfId="47696" xr:uid="{00000000-0005-0000-0000-000021C70000}"/>
    <cellStyle name="Normal 8 2 5 4 2 2 4" xfId="31596" xr:uid="{00000000-0005-0000-0000-000022C70000}"/>
    <cellStyle name="Normal 8 2 5 4 2 2 5" xfId="22027" xr:uid="{00000000-0005-0000-0000-000023C70000}"/>
    <cellStyle name="Normal 8 2 5 4 2 3" xfId="12458" xr:uid="{00000000-0005-0000-0000-000024C70000}"/>
    <cellStyle name="Normal 8 2 5 4 2 3 2" xfId="50732" xr:uid="{00000000-0005-0000-0000-000025C70000}"/>
    <cellStyle name="Normal 8 2 5 4 2 3 3" xfId="34632" xr:uid="{00000000-0005-0000-0000-000026C70000}"/>
    <cellStyle name="Normal 8 2 5 4 2 3 4" xfId="25063" xr:uid="{00000000-0005-0000-0000-000027C70000}"/>
    <cellStyle name="Normal 8 2 5 4 2 4" xfId="6386" xr:uid="{00000000-0005-0000-0000-000028C70000}"/>
    <cellStyle name="Normal 8 2 5 4 2 4 2" xfId="54227" xr:uid="{00000000-0005-0000-0000-000029C70000}"/>
    <cellStyle name="Normal 8 2 5 4 2 4 3" xfId="38127" xr:uid="{00000000-0005-0000-0000-00002AC70000}"/>
    <cellStyle name="Normal 8 2 5 4 2 4 4" xfId="18991" xr:uid="{00000000-0005-0000-0000-00002BC70000}"/>
    <cellStyle name="Normal 8 2 5 4 2 5" xfId="44660" xr:uid="{00000000-0005-0000-0000-00002CC70000}"/>
    <cellStyle name="Normal 8 2 5 4 2 6" xfId="28560" xr:uid="{00000000-0005-0000-0000-00002DC70000}"/>
    <cellStyle name="Normal 8 2 5 4 2 7" xfId="15496" xr:uid="{00000000-0005-0000-0000-00002EC70000}"/>
    <cellStyle name="Normal 8 2 5 4 3" xfId="1872" xr:uid="{00000000-0005-0000-0000-00002FC70000}"/>
    <cellStyle name="Normal 8 2 5 4 3 2" xfId="8406" xr:uid="{00000000-0005-0000-0000-000030C70000}"/>
    <cellStyle name="Normal 8 2 5 4 3 2 2" xfId="40147" xr:uid="{00000000-0005-0000-0000-000031C70000}"/>
    <cellStyle name="Normal 8 2 5 4 3 2 2 2" xfId="56247" xr:uid="{00000000-0005-0000-0000-000032C70000}"/>
    <cellStyle name="Normal 8 2 5 4 3 2 3" xfId="46680" xr:uid="{00000000-0005-0000-0000-000033C70000}"/>
    <cellStyle name="Normal 8 2 5 4 3 2 4" xfId="30580" xr:uid="{00000000-0005-0000-0000-000034C70000}"/>
    <cellStyle name="Normal 8 2 5 4 3 2 5" xfId="21011" xr:uid="{00000000-0005-0000-0000-000035C70000}"/>
    <cellStyle name="Normal 8 2 5 4 3 3" xfId="11442" xr:uid="{00000000-0005-0000-0000-000036C70000}"/>
    <cellStyle name="Normal 8 2 5 4 3 3 2" xfId="49716" xr:uid="{00000000-0005-0000-0000-000037C70000}"/>
    <cellStyle name="Normal 8 2 5 4 3 3 3" xfId="33616" xr:uid="{00000000-0005-0000-0000-000038C70000}"/>
    <cellStyle name="Normal 8 2 5 4 3 3 4" xfId="24047" xr:uid="{00000000-0005-0000-0000-000039C70000}"/>
    <cellStyle name="Normal 8 2 5 4 3 4" xfId="5370" xr:uid="{00000000-0005-0000-0000-00003AC70000}"/>
    <cellStyle name="Normal 8 2 5 4 3 4 2" xfId="53211" xr:uid="{00000000-0005-0000-0000-00003BC70000}"/>
    <cellStyle name="Normal 8 2 5 4 3 4 3" xfId="37111" xr:uid="{00000000-0005-0000-0000-00003CC70000}"/>
    <cellStyle name="Normal 8 2 5 4 3 4 4" xfId="17975" xr:uid="{00000000-0005-0000-0000-00003DC70000}"/>
    <cellStyle name="Normal 8 2 5 4 3 5" xfId="43644" xr:uid="{00000000-0005-0000-0000-00003EC70000}"/>
    <cellStyle name="Normal 8 2 5 4 3 6" xfId="27544" xr:uid="{00000000-0005-0000-0000-00003FC70000}"/>
    <cellStyle name="Normal 8 2 5 4 3 7" xfId="14480" xr:uid="{00000000-0005-0000-0000-000040C70000}"/>
    <cellStyle name="Normal 8 2 5 4 4" xfId="7396" xr:uid="{00000000-0005-0000-0000-000041C70000}"/>
    <cellStyle name="Normal 8 2 5 4 4 2" xfId="39137" xr:uid="{00000000-0005-0000-0000-000042C70000}"/>
    <cellStyle name="Normal 8 2 5 4 4 2 2" xfId="55237" xr:uid="{00000000-0005-0000-0000-000043C70000}"/>
    <cellStyle name="Normal 8 2 5 4 4 3" xfId="45670" xr:uid="{00000000-0005-0000-0000-000044C70000}"/>
    <cellStyle name="Normal 8 2 5 4 4 4" xfId="29570" xr:uid="{00000000-0005-0000-0000-000045C70000}"/>
    <cellStyle name="Normal 8 2 5 4 4 5" xfId="20001" xr:uid="{00000000-0005-0000-0000-000046C70000}"/>
    <cellStyle name="Normal 8 2 5 4 5" xfId="10432" xr:uid="{00000000-0005-0000-0000-000047C70000}"/>
    <cellStyle name="Normal 8 2 5 4 5 2" xfId="48706" xr:uid="{00000000-0005-0000-0000-000048C70000}"/>
    <cellStyle name="Normal 8 2 5 4 5 3" xfId="32606" xr:uid="{00000000-0005-0000-0000-000049C70000}"/>
    <cellStyle name="Normal 8 2 5 4 5 4" xfId="23037" xr:uid="{00000000-0005-0000-0000-00004AC70000}"/>
    <cellStyle name="Normal 8 2 5 4 6" xfId="4360" xr:uid="{00000000-0005-0000-0000-00004BC70000}"/>
    <cellStyle name="Normal 8 2 5 4 6 2" xfId="52201" xr:uid="{00000000-0005-0000-0000-00004CC70000}"/>
    <cellStyle name="Normal 8 2 5 4 6 3" xfId="36101" xr:uid="{00000000-0005-0000-0000-00004DC70000}"/>
    <cellStyle name="Normal 8 2 5 4 6 4" xfId="16965" xr:uid="{00000000-0005-0000-0000-00004EC70000}"/>
    <cellStyle name="Normal 8 2 5 4 7" xfId="42634" xr:uid="{00000000-0005-0000-0000-00004FC70000}"/>
    <cellStyle name="Normal 8 2 5 4 8" xfId="26534" xr:uid="{00000000-0005-0000-0000-000050C70000}"/>
    <cellStyle name="Normal 8 2 5 4 9" xfId="13470" xr:uid="{00000000-0005-0000-0000-000051C70000}"/>
    <cellStyle name="Normal 8 2 5 5" xfId="2184" xr:uid="{00000000-0005-0000-0000-000052C70000}"/>
    <cellStyle name="Normal 8 2 5 5 2" xfId="8718" xr:uid="{00000000-0005-0000-0000-000053C70000}"/>
    <cellStyle name="Normal 8 2 5 5 2 2" xfId="40459" xr:uid="{00000000-0005-0000-0000-000054C70000}"/>
    <cellStyle name="Normal 8 2 5 5 2 2 2" xfId="56559" xr:uid="{00000000-0005-0000-0000-000055C70000}"/>
    <cellStyle name="Normal 8 2 5 5 2 3" xfId="46992" xr:uid="{00000000-0005-0000-0000-000056C70000}"/>
    <cellStyle name="Normal 8 2 5 5 2 4" xfId="30892" xr:uid="{00000000-0005-0000-0000-000057C70000}"/>
    <cellStyle name="Normal 8 2 5 5 2 5" xfId="21323" xr:uid="{00000000-0005-0000-0000-000058C70000}"/>
    <cellStyle name="Normal 8 2 5 5 3" xfId="11754" xr:uid="{00000000-0005-0000-0000-000059C70000}"/>
    <cellStyle name="Normal 8 2 5 5 3 2" xfId="50028" xr:uid="{00000000-0005-0000-0000-00005AC70000}"/>
    <cellStyle name="Normal 8 2 5 5 3 3" xfId="33928" xr:uid="{00000000-0005-0000-0000-00005BC70000}"/>
    <cellStyle name="Normal 8 2 5 5 3 4" xfId="24359" xr:uid="{00000000-0005-0000-0000-00005CC70000}"/>
    <cellStyle name="Normal 8 2 5 5 4" xfId="5682" xr:uid="{00000000-0005-0000-0000-00005DC70000}"/>
    <cellStyle name="Normal 8 2 5 5 4 2" xfId="53523" xr:uid="{00000000-0005-0000-0000-00005EC70000}"/>
    <cellStyle name="Normal 8 2 5 5 4 3" xfId="37423" xr:uid="{00000000-0005-0000-0000-00005FC70000}"/>
    <cellStyle name="Normal 8 2 5 5 4 4" xfId="18287" xr:uid="{00000000-0005-0000-0000-000060C70000}"/>
    <cellStyle name="Normal 8 2 5 5 5" xfId="43956" xr:uid="{00000000-0005-0000-0000-000061C70000}"/>
    <cellStyle name="Normal 8 2 5 5 6" xfId="27856" xr:uid="{00000000-0005-0000-0000-000062C70000}"/>
    <cellStyle name="Normal 8 2 5 5 7" xfId="14792" xr:uid="{00000000-0005-0000-0000-000063C70000}"/>
    <cellStyle name="Normal 8 2 5 6" xfId="1189" xr:uid="{00000000-0005-0000-0000-000064C70000}"/>
    <cellStyle name="Normal 8 2 5 6 2" xfId="7723" xr:uid="{00000000-0005-0000-0000-000065C70000}"/>
    <cellStyle name="Normal 8 2 5 6 2 2" xfId="39464" xr:uid="{00000000-0005-0000-0000-000066C70000}"/>
    <cellStyle name="Normal 8 2 5 6 2 2 2" xfId="55564" xr:uid="{00000000-0005-0000-0000-000067C70000}"/>
    <cellStyle name="Normal 8 2 5 6 2 3" xfId="45997" xr:uid="{00000000-0005-0000-0000-000068C70000}"/>
    <cellStyle name="Normal 8 2 5 6 2 4" xfId="29897" xr:uid="{00000000-0005-0000-0000-000069C70000}"/>
    <cellStyle name="Normal 8 2 5 6 2 5" xfId="20328" xr:uid="{00000000-0005-0000-0000-00006AC70000}"/>
    <cellStyle name="Normal 8 2 5 6 3" xfId="10759" xr:uid="{00000000-0005-0000-0000-00006BC70000}"/>
    <cellStyle name="Normal 8 2 5 6 3 2" xfId="49033" xr:uid="{00000000-0005-0000-0000-00006CC70000}"/>
    <cellStyle name="Normal 8 2 5 6 3 3" xfId="32933" xr:uid="{00000000-0005-0000-0000-00006DC70000}"/>
    <cellStyle name="Normal 8 2 5 6 3 4" xfId="23364" xr:uid="{00000000-0005-0000-0000-00006EC70000}"/>
    <cellStyle name="Normal 8 2 5 6 4" xfId="4687" xr:uid="{00000000-0005-0000-0000-00006FC70000}"/>
    <cellStyle name="Normal 8 2 5 6 4 2" xfId="52528" xr:uid="{00000000-0005-0000-0000-000070C70000}"/>
    <cellStyle name="Normal 8 2 5 6 4 3" xfId="36428" xr:uid="{00000000-0005-0000-0000-000071C70000}"/>
    <cellStyle name="Normal 8 2 5 6 4 4" xfId="17292" xr:uid="{00000000-0005-0000-0000-000072C70000}"/>
    <cellStyle name="Normal 8 2 5 6 5" xfId="42961" xr:uid="{00000000-0005-0000-0000-000073C70000}"/>
    <cellStyle name="Normal 8 2 5 6 6" xfId="26861" xr:uid="{00000000-0005-0000-0000-000074C70000}"/>
    <cellStyle name="Normal 8 2 5 6 7" xfId="13797" xr:uid="{00000000-0005-0000-0000-000075C70000}"/>
    <cellStyle name="Normal 8 2 5 7" xfId="3677" xr:uid="{00000000-0005-0000-0000-000076C70000}"/>
    <cellStyle name="Normal 8 2 5 7 2" xfId="35418" xr:uid="{00000000-0005-0000-0000-000077C70000}"/>
    <cellStyle name="Normal 8 2 5 7 2 2" xfId="51518" xr:uid="{00000000-0005-0000-0000-000078C70000}"/>
    <cellStyle name="Normal 8 2 5 7 3" xfId="41951" xr:uid="{00000000-0005-0000-0000-000079C70000}"/>
    <cellStyle name="Normal 8 2 5 7 4" xfId="25851" xr:uid="{00000000-0005-0000-0000-00007AC70000}"/>
    <cellStyle name="Normal 8 2 5 7 5" xfId="16282" xr:uid="{00000000-0005-0000-0000-00007BC70000}"/>
    <cellStyle name="Normal 8 2 5 8" xfId="6713" xr:uid="{00000000-0005-0000-0000-00007CC70000}"/>
    <cellStyle name="Normal 8 2 5 8 2" xfId="38454" xr:uid="{00000000-0005-0000-0000-00007DC70000}"/>
    <cellStyle name="Normal 8 2 5 8 2 2" xfId="54554" xr:uid="{00000000-0005-0000-0000-00007EC70000}"/>
    <cellStyle name="Normal 8 2 5 8 3" xfId="44987" xr:uid="{00000000-0005-0000-0000-00007FC70000}"/>
    <cellStyle name="Normal 8 2 5 8 4" xfId="28887" xr:uid="{00000000-0005-0000-0000-000080C70000}"/>
    <cellStyle name="Normal 8 2 5 8 5" xfId="19318" xr:uid="{00000000-0005-0000-0000-000081C70000}"/>
    <cellStyle name="Normal 8 2 5 9" xfId="9749" xr:uid="{00000000-0005-0000-0000-000082C70000}"/>
    <cellStyle name="Normal 8 2 5 9 2" xfId="48023" xr:uid="{00000000-0005-0000-0000-000083C70000}"/>
    <cellStyle name="Normal 8 2 5 9 3" xfId="31923" xr:uid="{00000000-0005-0000-0000-000084C70000}"/>
    <cellStyle name="Normal 8 2 5 9 4" xfId="22354" xr:uid="{00000000-0005-0000-0000-000085C70000}"/>
    <cellStyle name="Normal 8 2 6" xfId="236" xr:uid="{00000000-0005-0000-0000-000086C70000}"/>
    <cellStyle name="Normal 8 2 6 10" xfId="41509" xr:uid="{00000000-0005-0000-0000-000087C70000}"/>
    <cellStyle name="Normal 8 2 6 11" xfId="25409" xr:uid="{00000000-0005-0000-0000-000088C70000}"/>
    <cellStyle name="Normal 8 2 6 12" xfId="12804" xr:uid="{00000000-0005-0000-0000-000089C70000}"/>
    <cellStyle name="Normal 8 2 6 2" xfId="617" xr:uid="{00000000-0005-0000-0000-00008AC70000}"/>
    <cellStyle name="Normal 8 2 6 2 10" xfId="13065" xr:uid="{00000000-0005-0000-0000-00008BC70000}"/>
    <cellStyle name="Normal 8 2 6 2 2" xfId="2645" xr:uid="{00000000-0005-0000-0000-00008CC70000}"/>
    <cellStyle name="Normal 8 2 6 2 2 2" xfId="9177" xr:uid="{00000000-0005-0000-0000-00008DC70000}"/>
    <cellStyle name="Normal 8 2 6 2 2 2 2" xfId="40918" xr:uid="{00000000-0005-0000-0000-00008EC70000}"/>
    <cellStyle name="Normal 8 2 6 2 2 2 2 2" xfId="57018" xr:uid="{00000000-0005-0000-0000-00008FC70000}"/>
    <cellStyle name="Normal 8 2 6 2 2 2 3" xfId="47451" xr:uid="{00000000-0005-0000-0000-000090C70000}"/>
    <cellStyle name="Normal 8 2 6 2 2 2 4" xfId="31351" xr:uid="{00000000-0005-0000-0000-000091C70000}"/>
    <cellStyle name="Normal 8 2 6 2 2 2 5" xfId="21782" xr:uid="{00000000-0005-0000-0000-000092C70000}"/>
    <cellStyle name="Normal 8 2 6 2 2 3" xfId="12213" xr:uid="{00000000-0005-0000-0000-000093C70000}"/>
    <cellStyle name="Normal 8 2 6 2 2 3 2" xfId="50487" xr:uid="{00000000-0005-0000-0000-000094C70000}"/>
    <cellStyle name="Normal 8 2 6 2 2 3 3" xfId="34387" xr:uid="{00000000-0005-0000-0000-000095C70000}"/>
    <cellStyle name="Normal 8 2 6 2 2 3 4" xfId="24818" xr:uid="{00000000-0005-0000-0000-000096C70000}"/>
    <cellStyle name="Normal 8 2 6 2 2 4" xfId="6141" xr:uid="{00000000-0005-0000-0000-000097C70000}"/>
    <cellStyle name="Normal 8 2 6 2 2 4 2" xfId="53982" xr:uid="{00000000-0005-0000-0000-000098C70000}"/>
    <cellStyle name="Normal 8 2 6 2 2 4 3" xfId="37882" xr:uid="{00000000-0005-0000-0000-000099C70000}"/>
    <cellStyle name="Normal 8 2 6 2 2 4 4" xfId="18746" xr:uid="{00000000-0005-0000-0000-00009AC70000}"/>
    <cellStyle name="Normal 8 2 6 2 2 5" xfId="44415" xr:uid="{00000000-0005-0000-0000-00009BC70000}"/>
    <cellStyle name="Normal 8 2 6 2 2 6" xfId="28315" xr:uid="{00000000-0005-0000-0000-00009CC70000}"/>
    <cellStyle name="Normal 8 2 6 2 2 7" xfId="15251" xr:uid="{00000000-0005-0000-0000-00009DC70000}"/>
    <cellStyle name="Normal 8 2 6 2 3" xfId="1467" xr:uid="{00000000-0005-0000-0000-00009EC70000}"/>
    <cellStyle name="Normal 8 2 6 2 3 2" xfId="8001" xr:uid="{00000000-0005-0000-0000-00009FC70000}"/>
    <cellStyle name="Normal 8 2 6 2 3 2 2" xfId="39742" xr:uid="{00000000-0005-0000-0000-0000A0C70000}"/>
    <cellStyle name="Normal 8 2 6 2 3 2 2 2" xfId="55842" xr:uid="{00000000-0005-0000-0000-0000A1C70000}"/>
    <cellStyle name="Normal 8 2 6 2 3 2 3" xfId="46275" xr:uid="{00000000-0005-0000-0000-0000A2C70000}"/>
    <cellStyle name="Normal 8 2 6 2 3 2 4" xfId="30175" xr:uid="{00000000-0005-0000-0000-0000A3C70000}"/>
    <cellStyle name="Normal 8 2 6 2 3 2 5" xfId="20606" xr:uid="{00000000-0005-0000-0000-0000A4C70000}"/>
    <cellStyle name="Normal 8 2 6 2 3 3" xfId="11037" xr:uid="{00000000-0005-0000-0000-0000A5C70000}"/>
    <cellStyle name="Normal 8 2 6 2 3 3 2" xfId="49311" xr:uid="{00000000-0005-0000-0000-0000A6C70000}"/>
    <cellStyle name="Normal 8 2 6 2 3 3 3" xfId="33211" xr:uid="{00000000-0005-0000-0000-0000A7C70000}"/>
    <cellStyle name="Normal 8 2 6 2 3 3 4" xfId="23642" xr:uid="{00000000-0005-0000-0000-0000A8C70000}"/>
    <cellStyle name="Normal 8 2 6 2 3 4" xfId="4965" xr:uid="{00000000-0005-0000-0000-0000A9C70000}"/>
    <cellStyle name="Normal 8 2 6 2 3 4 2" xfId="52806" xr:uid="{00000000-0005-0000-0000-0000AAC70000}"/>
    <cellStyle name="Normal 8 2 6 2 3 4 3" xfId="36706" xr:uid="{00000000-0005-0000-0000-0000ABC70000}"/>
    <cellStyle name="Normal 8 2 6 2 3 4 4" xfId="17570" xr:uid="{00000000-0005-0000-0000-0000ACC70000}"/>
    <cellStyle name="Normal 8 2 6 2 3 5" xfId="43239" xr:uid="{00000000-0005-0000-0000-0000ADC70000}"/>
    <cellStyle name="Normal 8 2 6 2 3 6" xfId="27139" xr:uid="{00000000-0005-0000-0000-0000AEC70000}"/>
    <cellStyle name="Normal 8 2 6 2 3 7" xfId="14075" xr:uid="{00000000-0005-0000-0000-0000AFC70000}"/>
    <cellStyle name="Normal 8 2 6 2 4" xfId="3955" xr:uid="{00000000-0005-0000-0000-0000B0C70000}"/>
    <cellStyle name="Normal 8 2 6 2 4 2" xfId="35696" xr:uid="{00000000-0005-0000-0000-0000B1C70000}"/>
    <cellStyle name="Normal 8 2 6 2 4 2 2" xfId="51796" xr:uid="{00000000-0005-0000-0000-0000B2C70000}"/>
    <cellStyle name="Normal 8 2 6 2 4 3" xfId="42229" xr:uid="{00000000-0005-0000-0000-0000B3C70000}"/>
    <cellStyle name="Normal 8 2 6 2 4 4" xfId="26129" xr:uid="{00000000-0005-0000-0000-0000B4C70000}"/>
    <cellStyle name="Normal 8 2 6 2 4 5" xfId="16560" xr:uid="{00000000-0005-0000-0000-0000B5C70000}"/>
    <cellStyle name="Normal 8 2 6 2 5" xfId="6991" xr:uid="{00000000-0005-0000-0000-0000B6C70000}"/>
    <cellStyle name="Normal 8 2 6 2 5 2" xfId="38732" xr:uid="{00000000-0005-0000-0000-0000B7C70000}"/>
    <cellStyle name="Normal 8 2 6 2 5 2 2" xfId="54832" xr:uid="{00000000-0005-0000-0000-0000B8C70000}"/>
    <cellStyle name="Normal 8 2 6 2 5 3" xfId="45265" xr:uid="{00000000-0005-0000-0000-0000B9C70000}"/>
    <cellStyle name="Normal 8 2 6 2 5 4" xfId="29165" xr:uid="{00000000-0005-0000-0000-0000BAC70000}"/>
    <cellStyle name="Normal 8 2 6 2 5 5" xfId="19596" xr:uid="{00000000-0005-0000-0000-0000BBC70000}"/>
    <cellStyle name="Normal 8 2 6 2 6" xfId="10027" xr:uid="{00000000-0005-0000-0000-0000BCC70000}"/>
    <cellStyle name="Normal 8 2 6 2 6 2" xfId="48301" xr:uid="{00000000-0005-0000-0000-0000BDC70000}"/>
    <cellStyle name="Normal 8 2 6 2 6 3" xfId="32201" xr:uid="{00000000-0005-0000-0000-0000BEC70000}"/>
    <cellStyle name="Normal 8 2 6 2 6 4" xfId="22632" xr:uid="{00000000-0005-0000-0000-0000BFC70000}"/>
    <cellStyle name="Normal 8 2 6 2 7" xfId="3472" xr:uid="{00000000-0005-0000-0000-0000C0C70000}"/>
    <cellStyle name="Normal 8 2 6 2 7 2" xfId="51313" xr:uid="{00000000-0005-0000-0000-0000C1C70000}"/>
    <cellStyle name="Normal 8 2 6 2 7 3" xfId="35213" xr:uid="{00000000-0005-0000-0000-0000C2C70000}"/>
    <cellStyle name="Normal 8 2 6 2 7 4" xfId="16077" xr:uid="{00000000-0005-0000-0000-0000C3C70000}"/>
    <cellStyle name="Normal 8 2 6 2 8" xfId="41746" xr:uid="{00000000-0005-0000-0000-0000C4C70000}"/>
    <cellStyle name="Normal 8 2 6 2 9" xfId="25646" xr:uid="{00000000-0005-0000-0000-0000C5C70000}"/>
    <cellStyle name="Normal 8 2 6 3" xfId="879" xr:uid="{00000000-0005-0000-0000-0000C6C70000}"/>
    <cellStyle name="Normal 8 2 6 3 2" xfId="2907" xr:uid="{00000000-0005-0000-0000-0000C7C70000}"/>
    <cellStyle name="Normal 8 2 6 3 2 2" xfId="9439" xr:uid="{00000000-0005-0000-0000-0000C8C70000}"/>
    <cellStyle name="Normal 8 2 6 3 2 2 2" xfId="41180" xr:uid="{00000000-0005-0000-0000-0000C9C70000}"/>
    <cellStyle name="Normal 8 2 6 3 2 2 2 2" xfId="57280" xr:uid="{00000000-0005-0000-0000-0000CAC70000}"/>
    <cellStyle name="Normal 8 2 6 3 2 2 3" xfId="47713" xr:uid="{00000000-0005-0000-0000-0000CBC70000}"/>
    <cellStyle name="Normal 8 2 6 3 2 2 4" xfId="31613" xr:uid="{00000000-0005-0000-0000-0000CCC70000}"/>
    <cellStyle name="Normal 8 2 6 3 2 2 5" xfId="22044" xr:uid="{00000000-0005-0000-0000-0000CDC70000}"/>
    <cellStyle name="Normal 8 2 6 3 2 3" xfId="12475" xr:uid="{00000000-0005-0000-0000-0000CEC70000}"/>
    <cellStyle name="Normal 8 2 6 3 2 3 2" xfId="50749" xr:uid="{00000000-0005-0000-0000-0000CFC70000}"/>
    <cellStyle name="Normal 8 2 6 3 2 3 3" xfId="34649" xr:uid="{00000000-0005-0000-0000-0000D0C70000}"/>
    <cellStyle name="Normal 8 2 6 3 2 3 4" xfId="25080" xr:uid="{00000000-0005-0000-0000-0000D1C70000}"/>
    <cellStyle name="Normal 8 2 6 3 2 4" xfId="6403" xr:uid="{00000000-0005-0000-0000-0000D2C70000}"/>
    <cellStyle name="Normal 8 2 6 3 2 4 2" xfId="54244" xr:uid="{00000000-0005-0000-0000-0000D3C70000}"/>
    <cellStyle name="Normal 8 2 6 3 2 4 3" xfId="38144" xr:uid="{00000000-0005-0000-0000-0000D4C70000}"/>
    <cellStyle name="Normal 8 2 6 3 2 4 4" xfId="19008" xr:uid="{00000000-0005-0000-0000-0000D5C70000}"/>
    <cellStyle name="Normal 8 2 6 3 2 5" xfId="44677" xr:uid="{00000000-0005-0000-0000-0000D6C70000}"/>
    <cellStyle name="Normal 8 2 6 3 2 6" xfId="28577" xr:uid="{00000000-0005-0000-0000-0000D7C70000}"/>
    <cellStyle name="Normal 8 2 6 3 2 7" xfId="15513" xr:uid="{00000000-0005-0000-0000-0000D8C70000}"/>
    <cellStyle name="Normal 8 2 6 3 3" xfId="1889" xr:uid="{00000000-0005-0000-0000-0000D9C70000}"/>
    <cellStyle name="Normal 8 2 6 3 3 2" xfId="8423" xr:uid="{00000000-0005-0000-0000-0000DAC70000}"/>
    <cellStyle name="Normal 8 2 6 3 3 2 2" xfId="40164" xr:uid="{00000000-0005-0000-0000-0000DBC70000}"/>
    <cellStyle name="Normal 8 2 6 3 3 2 2 2" xfId="56264" xr:uid="{00000000-0005-0000-0000-0000DCC70000}"/>
    <cellStyle name="Normal 8 2 6 3 3 2 3" xfId="46697" xr:uid="{00000000-0005-0000-0000-0000DDC70000}"/>
    <cellStyle name="Normal 8 2 6 3 3 2 4" xfId="30597" xr:uid="{00000000-0005-0000-0000-0000DEC70000}"/>
    <cellStyle name="Normal 8 2 6 3 3 2 5" xfId="21028" xr:uid="{00000000-0005-0000-0000-0000DFC70000}"/>
    <cellStyle name="Normal 8 2 6 3 3 3" xfId="11459" xr:uid="{00000000-0005-0000-0000-0000E0C70000}"/>
    <cellStyle name="Normal 8 2 6 3 3 3 2" xfId="49733" xr:uid="{00000000-0005-0000-0000-0000E1C70000}"/>
    <cellStyle name="Normal 8 2 6 3 3 3 3" xfId="33633" xr:uid="{00000000-0005-0000-0000-0000E2C70000}"/>
    <cellStyle name="Normal 8 2 6 3 3 3 4" xfId="24064" xr:uid="{00000000-0005-0000-0000-0000E3C70000}"/>
    <cellStyle name="Normal 8 2 6 3 3 4" xfId="5387" xr:uid="{00000000-0005-0000-0000-0000E4C70000}"/>
    <cellStyle name="Normal 8 2 6 3 3 4 2" xfId="53228" xr:uid="{00000000-0005-0000-0000-0000E5C70000}"/>
    <cellStyle name="Normal 8 2 6 3 3 4 3" xfId="37128" xr:uid="{00000000-0005-0000-0000-0000E6C70000}"/>
    <cellStyle name="Normal 8 2 6 3 3 4 4" xfId="17992" xr:uid="{00000000-0005-0000-0000-0000E7C70000}"/>
    <cellStyle name="Normal 8 2 6 3 3 5" xfId="43661" xr:uid="{00000000-0005-0000-0000-0000E8C70000}"/>
    <cellStyle name="Normal 8 2 6 3 3 6" xfId="27561" xr:uid="{00000000-0005-0000-0000-0000E9C70000}"/>
    <cellStyle name="Normal 8 2 6 3 3 7" xfId="14497" xr:uid="{00000000-0005-0000-0000-0000EAC70000}"/>
    <cellStyle name="Normal 8 2 6 3 4" xfId="7413" xr:uid="{00000000-0005-0000-0000-0000EBC70000}"/>
    <cellStyle name="Normal 8 2 6 3 4 2" xfId="39154" xr:uid="{00000000-0005-0000-0000-0000ECC70000}"/>
    <cellStyle name="Normal 8 2 6 3 4 2 2" xfId="55254" xr:uid="{00000000-0005-0000-0000-0000EDC70000}"/>
    <cellStyle name="Normal 8 2 6 3 4 3" xfId="45687" xr:uid="{00000000-0005-0000-0000-0000EEC70000}"/>
    <cellStyle name="Normal 8 2 6 3 4 4" xfId="29587" xr:uid="{00000000-0005-0000-0000-0000EFC70000}"/>
    <cellStyle name="Normal 8 2 6 3 4 5" xfId="20018" xr:uid="{00000000-0005-0000-0000-0000F0C70000}"/>
    <cellStyle name="Normal 8 2 6 3 5" xfId="10449" xr:uid="{00000000-0005-0000-0000-0000F1C70000}"/>
    <cellStyle name="Normal 8 2 6 3 5 2" xfId="48723" xr:uid="{00000000-0005-0000-0000-0000F2C70000}"/>
    <cellStyle name="Normal 8 2 6 3 5 3" xfId="32623" xr:uid="{00000000-0005-0000-0000-0000F3C70000}"/>
    <cellStyle name="Normal 8 2 6 3 5 4" xfId="23054" xr:uid="{00000000-0005-0000-0000-0000F4C70000}"/>
    <cellStyle name="Normal 8 2 6 3 6" xfId="4377" xr:uid="{00000000-0005-0000-0000-0000F5C70000}"/>
    <cellStyle name="Normal 8 2 6 3 6 2" xfId="52218" xr:uid="{00000000-0005-0000-0000-0000F6C70000}"/>
    <cellStyle name="Normal 8 2 6 3 6 3" xfId="36118" xr:uid="{00000000-0005-0000-0000-0000F7C70000}"/>
    <cellStyle name="Normal 8 2 6 3 6 4" xfId="16982" xr:uid="{00000000-0005-0000-0000-0000F8C70000}"/>
    <cellStyle name="Normal 8 2 6 3 7" xfId="42651" xr:uid="{00000000-0005-0000-0000-0000F9C70000}"/>
    <cellStyle name="Normal 8 2 6 3 8" xfId="26551" xr:uid="{00000000-0005-0000-0000-0000FAC70000}"/>
    <cellStyle name="Normal 8 2 6 3 9" xfId="13487" xr:uid="{00000000-0005-0000-0000-0000FBC70000}"/>
    <cellStyle name="Normal 8 2 6 4" xfId="2255" xr:uid="{00000000-0005-0000-0000-0000FCC70000}"/>
    <cellStyle name="Normal 8 2 6 4 2" xfId="8789" xr:uid="{00000000-0005-0000-0000-0000FDC70000}"/>
    <cellStyle name="Normal 8 2 6 4 2 2" xfId="40530" xr:uid="{00000000-0005-0000-0000-0000FEC70000}"/>
    <cellStyle name="Normal 8 2 6 4 2 2 2" xfId="56630" xr:uid="{00000000-0005-0000-0000-0000FFC70000}"/>
    <cellStyle name="Normal 8 2 6 4 2 3" xfId="47063" xr:uid="{00000000-0005-0000-0000-000000C80000}"/>
    <cellStyle name="Normal 8 2 6 4 2 4" xfId="30963" xr:uid="{00000000-0005-0000-0000-000001C80000}"/>
    <cellStyle name="Normal 8 2 6 4 2 5" xfId="21394" xr:uid="{00000000-0005-0000-0000-000002C80000}"/>
    <cellStyle name="Normal 8 2 6 4 3" xfId="11825" xr:uid="{00000000-0005-0000-0000-000003C80000}"/>
    <cellStyle name="Normal 8 2 6 4 3 2" xfId="50099" xr:uid="{00000000-0005-0000-0000-000004C80000}"/>
    <cellStyle name="Normal 8 2 6 4 3 3" xfId="33999" xr:uid="{00000000-0005-0000-0000-000005C80000}"/>
    <cellStyle name="Normal 8 2 6 4 3 4" xfId="24430" xr:uid="{00000000-0005-0000-0000-000006C80000}"/>
    <cellStyle name="Normal 8 2 6 4 4" xfId="5753" xr:uid="{00000000-0005-0000-0000-000007C80000}"/>
    <cellStyle name="Normal 8 2 6 4 4 2" xfId="53594" xr:uid="{00000000-0005-0000-0000-000008C80000}"/>
    <cellStyle name="Normal 8 2 6 4 4 3" xfId="37494" xr:uid="{00000000-0005-0000-0000-000009C80000}"/>
    <cellStyle name="Normal 8 2 6 4 4 4" xfId="18358" xr:uid="{00000000-0005-0000-0000-00000AC80000}"/>
    <cellStyle name="Normal 8 2 6 4 5" xfId="44027" xr:uid="{00000000-0005-0000-0000-00000BC80000}"/>
    <cellStyle name="Normal 8 2 6 4 6" xfId="27927" xr:uid="{00000000-0005-0000-0000-00000CC80000}"/>
    <cellStyle name="Normal 8 2 6 4 7" xfId="14863" xr:uid="{00000000-0005-0000-0000-00000DC80000}"/>
    <cellStyle name="Normal 8 2 6 5" xfId="1206" xr:uid="{00000000-0005-0000-0000-00000EC80000}"/>
    <cellStyle name="Normal 8 2 6 5 2" xfId="7740" xr:uid="{00000000-0005-0000-0000-00000FC80000}"/>
    <cellStyle name="Normal 8 2 6 5 2 2" xfId="39481" xr:uid="{00000000-0005-0000-0000-000010C80000}"/>
    <cellStyle name="Normal 8 2 6 5 2 2 2" xfId="55581" xr:uid="{00000000-0005-0000-0000-000011C80000}"/>
    <cellStyle name="Normal 8 2 6 5 2 3" xfId="46014" xr:uid="{00000000-0005-0000-0000-000012C80000}"/>
    <cellStyle name="Normal 8 2 6 5 2 4" xfId="29914" xr:uid="{00000000-0005-0000-0000-000013C80000}"/>
    <cellStyle name="Normal 8 2 6 5 2 5" xfId="20345" xr:uid="{00000000-0005-0000-0000-000014C80000}"/>
    <cellStyle name="Normal 8 2 6 5 3" xfId="10776" xr:uid="{00000000-0005-0000-0000-000015C80000}"/>
    <cellStyle name="Normal 8 2 6 5 3 2" xfId="49050" xr:uid="{00000000-0005-0000-0000-000016C80000}"/>
    <cellStyle name="Normal 8 2 6 5 3 3" xfId="32950" xr:uid="{00000000-0005-0000-0000-000017C80000}"/>
    <cellStyle name="Normal 8 2 6 5 3 4" xfId="23381" xr:uid="{00000000-0005-0000-0000-000018C80000}"/>
    <cellStyle name="Normal 8 2 6 5 4" xfId="4704" xr:uid="{00000000-0005-0000-0000-000019C80000}"/>
    <cellStyle name="Normal 8 2 6 5 4 2" xfId="52545" xr:uid="{00000000-0005-0000-0000-00001AC80000}"/>
    <cellStyle name="Normal 8 2 6 5 4 3" xfId="36445" xr:uid="{00000000-0005-0000-0000-00001BC80000}"/>
    <cellStyle name="Normal 8 2 6 5 4 4" xfId="17309" xr:uid="{00000000-0005-0000-0000-00001CC80000}"/>
    <cellStyle name="Normal 8 2 6 5 5" xfId="42978" xr:uid="{00000000-0005-0000-0000-00001DC80000}"/>
    <cellStyle name="Normal 8 2 6 5 6" xfId="26878" xr:uid="{00000000-0005-0000-0000-00001EC80000}"/>
    <cellStyle name="Normal 8 2 6 5 7" xfId="13814" xr:uid="{00000000-0005-0000-0000-00001FC80000}"/>
    <cellStyle name="Normal 8 2 6 6" xfId="3694" xr:uid="{00000000-0005-0000-0000-000020C80000}"/>
    <cellStyle name="Normal 8 2 6 6 2" xfId="35435" xr:uid="{00000000-0005-0000-0000-000021C80000}"/>
    <cellStyle name="Normal 8 2 6 6 2 2" xfId="51535" xr:uid="{00000000-0005-0000-0000-000022C80000}"/>
    <cellStyle name="Normal 8 2 6 6 3" xfId="41968" xr:uid="{00000000-0005-0000-0000-000023C80000}"/>
    <cellStyle name="Normal 8 2 6 6 4" xfId="25868" xr:uid="{00000000-0005-0000-0000-000024C80000}"/>
    <cellStyle name="Normal 8 2 6 6 5" xfId="16299" xr:uid="{00000000-0005-0000-0000-000025C80000}"/>
    <cellStyle name="Normal 8 2 6 7" xfId="6730" xr:uid="{00000000-0005-0000-0000-000026C80000}"/>
    <cellStyle name="Normal 8 2 6 7 2" xfId="38471" xr:uid="{00000000-0005-0000-0000-000027C80000}"/>
    <cellStyle name="Normal 8 2 6 7 2 2" xfId="54571" xr:uid="{00000000-0005-0000-0000-000028C80000}"/>
    <cellStyle name="Normal 8 2 6 7 3" xfId="45004" xr:uid="{00000000-0005-0000-0000-000029C80000}"/>
    <cellStyle name="Normal 8 2 6 7 4" xfId="28904" xr:uid="{00000000-0005-0000-0000-00002AC80000}"/>
    <cellStyle name="Normal 8 2 6 7 5" xfId="19335" xr:uid="{00000000-0005-0000-0000-00002BC80000}"/>
    <cellStyle name="Normal 8 2 6 8" xfId="9766" xr:uid="{00000000-0005-0000-0000-00002CC80000}"/>
    <cellStyle name="Normal 8 2 6 8 2" xfId="48040" xr:uid="{00000000-0005-0000-0000-00002DC80000}"/>
    <cellStyle name="Normal 8 2 6 8 3" xfId="31940" xr:uid="{00000000-0005-0000-0000-00002EC80000}"/>
    <cellStyle name="Normal 8 2 6 8 4" xfId="22371" xr:uid="{00000000-0005-0000-0000-00002FC80000}"/>
    <cellStyle name="Normal 8 2 6 9" xfId="3234" xr:uid="{00000000-0005-0000-0000-000030C80000}"/>
    <cellStyle name="Normal 8 2 6 9 2" xfId="51076" xr:uid="{00000000-0005-0000-0000-000031C80000}"/>
    <cellStyle name="Normal 8 2 6 9 3" xfId="34976" xr:uid="{00000000-0005-0000-0000-000032C80000}"/>
    <cellStyle name="Normal 8 2 6 9 4" xfId="15840" xr:uid="{00000000-0005-0000-0000-000033C80000}"/>
    <cellStyle name="Normal 8 2 7" xfId="53" xr:uid="{00000000-0005-0000-0000-000034C80000}"/>
    <cellStyle name="Normal 8 2 7 10" xfId="41526" xr:uid="{00000000-0005-0000-0000-000035C80000}"/>
    <cellStyle name="Normal 8 2 7 11" xfId="25426" xr:uid="{00000000-0005-0000-0000-000036C80000}"/>
    <cellStyle name="Normal 8 2 7 12" xfId="12821" xr:uid="{00000000-0005-0000-0000-000037C80000}"/>
    <cellStyle name="Normal 8 2 7 2" xfId="896" xr:uid="{00000000-0005-0000-0000-000038C80000}"/>
    <cellStyle name="Normal 8 2 7 2 10" xfId="13504" xr:uid="{00000000-0005-0000-0000-000039C80000}"/>
    <cellStyle name="Normal 8 2 7 2 2" xfId="2924" xr:uid="{00000000-0005-0000-0000-00003AC80000}"/>
    <cellStyle name="Normal 8 2 7 2 2 2" xfId="9456" xr:uid="{00000000-0005-0000-0000-00003BC80000}"/>
    <cellStyle name="Normal 8 2 7 2 2 2 2" xfId="41197" xr:uid="{00000000-0005-0000-0000-00003CC80000}"/>
    <cellStyle name="Normal 8 2 7 2 2 2 2 2" xfId="57297" xr:uid="{00000000-0005-0000-0000-00003DC80000}"/>
    <cellStyle name="Normal 8 2 7 2 2 2 3" xfId="47730" xr:uid="{00000000-0005-0000-0000-00003EC80000}"/>
    <cellStyle name="Normal 8 2 7 2 2 2 4" xfId="31630" xr:uid="{00000000-0005-0000-0000-00003FC80000}"/>
    <cellStyle name="Normal 8 2 7 2 2 2 5" xfId="22061" xr:uid="{00000000-0005-0000-0000-000040C80000}"/>
    <cellStyle name="Normal 8 2 7 2 2 3" xfId="12492" xr:uid="{00000000-0005-0000-0000-000041C80000}"/>
    <cellStyle name="Normal 8 2 7 2 2 3 2" xfId="50766" xr:uid="{00000000-0005-0000-0000-000042C80000}"/>
    <cellStyle name="Normal 8 2 7 2 2 3 3" xfId="34666" xr:uid="{00000000-0005-0000-0000-000043C80000}"/>
    <cellStyle name="Normal 8 2 7 2 2 3 4" xfId="25097" xr:uid="{00000000-0005-0000-0000-000044C80000}"/>
    <cellStyle name="Normal 8 2 7 2 2 4" xfId="6420" xr:uid="{00000000-0005-0000-0000-000045C80000}"/>
    <cellStyle name="Normal 8 2 7 2 2 4 2" xfId="54261" xr:uid="{00000000-0005-0000-0000-000046C80000}"/>
    <cellStyle name="Normal 8 2 7 2 2 4 3" xfId="38161" xr:uid="{00000000-0005-0000-0000-000047C80000}"/>
    <cellStyle name="Normal 8 2 7 2 2 4 4" xfId="19025" xr:uid="{00000000-0005-0000-0000-000048C80000}"/>
    <cellStyle name="Normal 8 2 7 2 2 5" xfId="44694" xr:uid="{00000000-0005-0000-0000-000049C80000}"/>
    <cellStyle name="Normal 8 2 7 2 2 6" xfId="28594" xr:uid="{00000000-0005-0000-0000-00004AC80000}"/>
    <cellStyle name="Normal 8 2 7 2 2 7" xfId="15530" xr:uid="{00000000-0005-0000-0000-00004BC80000}"/>
    <cellStyle name="Normal 8 2 7 2 3" xfId="1906" xr:uid="{00000000-0005-0000-0000-00004CC80000}"/>
    <cellStyle name="Normal 8 2 7 2 3 2" xfId="8440" xr:uid="{00000000-0005-0000-0000-00004DC80000}"/>
    <cellStyle name="Normal 8 2 7 2 3 2 2" xfId="40181" xr:uid="{00000000-0005-0000-0000-00004EC80000}"/>
    <cellStyle name="Normal 8 2 7 2 3 2 2 2" xfId="56281" xr:uid="{00000000-0005-0000-0000-00004FC80000}"/>
    <cellStyle name="Normal 8 2 7 2 3 2 3" xfId="46714" xr:uid="{00000000-0005-0000-0000-000050C80000}"/>
    <cellStyle name="Normal 8 2 7 2 3 2 4" xfId="30614" xr:uid="{00000000-0005-0000-0000-000051C80000}"/>
    <cellStyle name="Normal 8 2 7 2 3 2 5" xfId="21045" xr:uid="{00000000-0005-0000-0000-000052C80000}"/>
    <cellStyle name="Normal 8 2 7 2 3 3" xfId="11476" xr:uid="{00000000-0005-0000-0000-000053C80000}"/>
    <cellStyle name="Normal 8 2 7 2 3 3 2" xfId="49750" xr:uid="{00000000-0005-0000-0000-000054C80000}"/>
    <cellStyle name="Normal 8 2 7 2 3 3 3" xfId="33650" xr:uid="{00000000-0005-0000-0000-000055C80000}"/>
    <cellStyle name="Normal 8 2 7 2 3 3 4" xfId="24081" xr:uid="{00000000-0005-0000-0000-000056C80000}"/>
    <cellStyle name="Normal 8 2 7 2 3 4" xfId="5404" xr:uid="{00000000-0005-0000-0000-000057C80000}"/>
    <cellStyle name="Normal 8 2 7 2 3 4 2" xfId="53245" xr:uid="{00000000-0005-0000-0000-000058C80000}"/>
    <cellStyle name="Normal 8 2 7 2 3 4 3" xfId="37145" xr:uid="{00000000-0005-0000-0000-000059C80000}"/>
    <cellStyle name="Normal 8 2 7 2 3 4 4" xfId="18009" xr:uid="{00000000-0005-0000-0000-00005AC80000}"/>
    <cellStyle name="Normal 8 2 7 2 3 5" xfId="43678" xr:uid="{00000000-0005-0000-0000-00005BC80000}"/>
    <cellStyle name="Normal 8 2 7 2 3 6" xfId="27578" xr:uid="{00000000-0005-0000-0000-00005CC80000}"/>
    <cellStyle name="Normal 8 2 7 2 3 7" xfId="14514" xr:uid="{00000000-0005-0000-0000-00005DC80000}"/>
    <cellStyle name="Normal 8 2 7 2 4" xfId="4394" xr:uid="{00000000-0005-0000-0000-00005EC80000}"/>
    <cellStyle name="Normal 8 2 7 2 4 2" xfId="36135" xr:uid="{00000000-0005-0000-0000-00005FC80000}"/>
    <cellStyle name="Normal 8 2 7 2 4 2 2" xfId="52235" xr:uid="{00000000-0005-0000-0000-000060C80000}"/>
    <cellStyle name="Normal 8 2 7 2 4 3" xfId="42668" xr:uid="{00000000-0005-0000-0000-000061C80000}"/>
    <cellStyle name="Normal 8 2 7 2 4 4" xfId="26568" xr:uid="{00000000-0005-0000-0000-000062C80000}"/>
    <cellStyle name="Normal 8 2 7 2 4 5" xfId="16999" xr:uid="{00000000-0005-0000-0000-000063C80000}"/>
    <cellStyle name="Normal 8 2 7 2 5" xfId="7430" xr:uid="{00000000-0005-0000-0000-000064C80000}"/>
    <cellStyle name="Normal 8 2 7 2 5 2" xfId="39171" xr:uid="{00000000-0005-0000-0000-000065C80000}"/>
    <cellStyle name="Normal 8 2 7 2 5 2 2" xfId="55271" xr:uid="{00000000-0005-0000-0000-000066C80000}"/>
    <cellStyle name="Normal 8 2 7 2 5 3" xfId="45704" xr:uid="{00000000-0005-0000-0000-000067C80000}"/>
    <cellStyle name="Normal 8 2 7 2 5 4" xfId="29604" xr:uid="{00000000-0005-0000-0000-000068C80000}"/>
    <cellStyle name="Normal 8 2 7 2 5 5" xfId="20035" xr:uid="{00000000-0005-0000-0000-000069C80000}"/>
    <cellStyle name="Normal 8 2 7 2 6" xfId="10466" xr:uid="{00000000-0005-0000-0000-00006AC80000}"/>
    <cellStyle name="Normal 8 2 7 2 6 2" xfId="48740" xr:uid="{00000000-0005-0000-0000-00006BC80000}"/>
    <cellStyle name="Normal 8 2 7 2 6 3" xfId="32640" xr:uid="{00000000-0005-0000-0000-00006CC80000}"/>
    <cellStyle name="Normal 8 2 7 2 6 4" xfId="23071" xr:uid="{00000000-0005-0000-0000-00006DC80000}"/>
    <cellStyle name="Normal 8 2 7 2 7" xfId="3489" xr:uid="{00000000-0005-0000-0000-00006EC80000}"/>
    <cellStyle name="Normal 8 2 7 2 7 2" xfId="51330" xr:uid="{00000000-0005-0000-0000-00006FC80000}"/>
    <cellStyle name="Normal 8 2 7 2 7 3" xfId="35230" xr:uid="{00000000-0005-0000-0000-000070C80000}"/>
    <cellStyle name="Normal 8 2 7 2 7 4" xfId="16094" xr:uid="{00000000-0005-0000-0000-000071C80000}"/>
    <cellStyle name="Normal 8 2 7 2 8" xfId="41763" xr:uid="{00000000-0005-0000-0000-000072C80000}"/>
    <cellStyle name="Normal 8 2 7 2 9" xfId="25663" xr:uid="{00000000-0005-0000-0000-000073C80000}"/>
    <cellStyle name="Normal 8 2 7 3" xfId="674" xr:uid="{00000000-0005-0000-0000-000074C80000}"/>
    <cellStyle name="Normal 8 2 7 3 2" xfId="2702" xr:uid="{00000000-0005-0000-0000-000075C80000}"/>
    <cellStyle name="Normal 8 2 7 3 2 2" xfId="9234" xr:uid="{00000000-0005-0000-0000-000076C80000}"/>
    <cellStyle name="Normal 8 2 7 3 2 2 2" xfId="40975" xr:uid="{00000000-0005-0000-0000-000077C80000}"/>
    <cellStyle name="Normal 8 2 7 3 2 2 2 2" xfId="57075" xr:uid="{00000000-0005-0000-0000-000078C80000}"/>
    <cellStyle name="Normal 8 2 7 3 2 2 3" xfId="47508" xr:uid="{00000000-0005-0000-0000-000079C80000}"/>
    <cellStyle name="Normal 8 2 7 3 2 2 4" xfId="31408" xr:uid="{00000000-0005-0000-0000-00007AC80000}"/>
    <cellStyle name="Normal 8 2 7 3 2 2 5" xfId="21839" xr:uid="{00000000-0005-0000-0000-00007BC80000}"/>
    <cellStyle name="Normal 8 2 7 3 2 3" xfId="12270" xr:uid="{00000000-0005-0000-0000-00007CC80000}"/>
    <cellStyle name="Normal 8 2 7 3 2 3 2" xfId="50544" xr:uid="{00000000-0005-0000-0000-00007DC80000}"/>
    <cellStyle name="Normal 8 2 7 3 2 3 3" xfId="34444" xr:uid="{00000000-0005-0000-0000-00007EC80000}"/>
    <cellStyle name="Normal 8 2 7 3 2 3 4" xfId="24875" xr:uid="{00000000-0005-0000-0000-00007FC80000}"/>
    <cellStyle name="Normal 8 2 7 3 2 4" xfId="6198" xr:uid="{00000000-0005-0000-0000-000080C80000}"/>
    <cellStyle name="Normal 8 2 7 3 2 4 2" xfId="54039" xr:uid="{00000000-0005-0000-0000-000081C80000}"/>
    <cellStyle name="Normal 8 2 7 3 2 4 3" xfId="37939" xr:uid="{00000000-0005-0000-0000-000082C80000}"/>
    <cellStyle name="Normal 8 2 7 3 2 4 4" xfId="18803" xr:uid="{00000000-0005-0000-0000-000083C80000}"/>
    <cellStyle name="Normal 8 2 7 3 2 5" xfId="44472" xr:uid="{00000000-0005-0000-0000-000084C80000}"/>
    <cellStyle name="Normal 8 2 7 3 2 6" xfId="28372" xr:uid="{00000000-0005-0000-0000-000085C80000}"/>
    <cellStyle name="Normal 8 2 7 3 2 7" xfId="15308" xr:uid="{00000000-0005-0000-0000-000086C80000}"/>
    <cellStyle name="Normal 8 2 7 3 3" xfId="1684" xr:uid="{00000000-0005-0000-0000-000087C80000}"/>
    <cellStyle name="Normal 8 2 7 3 3 2" xfId="8218" xr:uid="{00000000-0005-0000-0000-000088C80000}"/>
    <cellStyle name="Normal 8 2 7 3 3 2 2" xfId="39959" xr:uid="{00000000-0005-0000-0000-000089C80000}"/>
    <cellStyle name="Normal 8 2 7 3 3 2 2 2" xfId="56059" xr:uid="{00000000-0005-0000-0000-00008AC80000}"/>
    <cellStyle name="Normal 8 2 7 3 3 2 3" xfId="46492" xr:uid="{00000000-0005-0000-0000-00008BC80000}"/>
    <cellStyle name="Normal 8 2 7 3 3 2 4" xfId="30392" xr:uid="{00000000-0005-0000-0000-00008CC80000}"/>
    <cellStyle name="Normal 8 2 7 3 3 2 5" xfId="20823" xr:uid="{00000000-0005-0000-0000-00008DC80000}"/>
    <cellStyle name="Normal 8 2 7 3 3 3" xfId="11254" xr:uid="{00000000-0005-0000-0000-00008EC80000}"/>
    <cellStyle name="Normal 8 2 7 3 3 3 2" xfId="49528" xr:uid="{00000000-0005-0000-0000-00008FC80000}"/>
    <cellStyle name="Normal 8 2 7 3 3 3 3" xfId="33428" xr:uid="{00000000-0005-0000-0000-000090C80000}"/>
    <cellStyle name="Normal 8 2 7 3 3 3 4" xfId="23859" xr:uid="{00000000-0005-0000-0000-000091C80000}"/>
    <cellStyle name="Normal 8 2 7 3 3 4" xfId="5182" xr:uid="{00000000-0005-0000-0000-000092C80000}"/>
    <cellStyle name="Normal 8 2 7 3 3 4 2" xfId="53023" xr:uid="{00000000-0005-0000-0000-000093C80000}"/>
    <cellStyle name="Normal 8 2 7 3 3 4 3" xfId="36923" xr:uid="{00000000-0005-0000-0000-000094C80000}"/>
    <cellStyle name="Normal 8 2 7 3 3 4 4" xfId="17787" xr:uid="{00000000-0005-0000-0000-000095C80000}"/>
    <cellStyle name="Normal 8 2 7 3 3 5" xfId="43456" xr:uid="{00000000-0005-0000-0000-000096C80000}"/>
    <cellStyle name="Normal 8 2 7 3 3 6" xfId="27356" xr:uid="{00000000-0005-0000-0000-000097C80000}"/>
    <cellStyle name="Normal 8 2 7 3 3 7" xfId="14292" xr:uid="{00000000-0005-0000-0000-000098C80000}"/>
    <cellStyle name="Normal 8 2 7 3 4" xfId="7208" xr:uid="{00000000-0005-0000-0000-000099C80000}"/>
    <cellStyle name="Normal 8 2 7 3 4 2" xfId="38949" xr:uid="{00000000-0005-0000-0000-00009AC80000}"/>
    <cellStyle name="Normal 8 2 7 3 4 2 2" xfId="55049" xr:uid="{00000000-0005-0000-0000-00009BC80000}"/>
    <cellStyle name="Normal 8 2 7 3 4 3" xfId="45482" xr:uid="{00000000-0005-0000-0000-00009CC80000}"/>
    <cellStyle name="Normal 8 2 7 3 4 4" xfId="29382" xr:uid="{00000000-0005-0000-0000-00009DC80000}"/>
    <cellStyle name="Normal 8 2 7 3 4 5" xfId="19813" xr:uid="{00000000-0005-0000-0000-00009EC80000}"/>
    <cellStyle name="Normal 8 2 7 3 5" xfId="10244" xr:uid="{00000000-0005-0000-0000-00009FC80000}"/>
    <cellStyle name="Normal 8 2 7 3 5 2" xfId="48518" xr:uid="{00000000-0005-0000-0000-0000A0C80000}"/>
    <cellStyle name="Normal 8 2 7 3 5 3" xfId="32418" xr:uid="{00000000-0005-0000-0000-0000A1C80000}"/>
    <cellStyle name="Normal 8 2 7 3 5 4" xfId="22849" xr:uid="{00000000-0005-0000-0000-0000A2C80000}"/>
    <cellStyle name="Normal 8 2 7 3 6" xfId="4172" xr:uid="{00000000-0005-0000-0000-0000A3C80000}"/>
    <cellStyle name="Normal 8 2 7 3 6 2" xfId="52013" xr:uid="{00000000-0005-0000-0000-0000A4C80000}"/>
    <cellStyle name="Normal 8 2 7 3 6 3" xfId="35913" xr:uid="{00000000-0005-0000-0000-0000A5C80000}"/>
    <cellStyle name="Normal 8 2 7 3 6 4" xfId="16777" xr:uid="{00000000-0005-0000-0000-0000A6C80000}"/>
    <cellStyle name="Normal 8 2 7 3 7" xfId="42446" xr:uid="{00000000-0005-0000-0000-0000A7C80000}"/>
    <cellStyle name="Normal 8 2 7 3 8" xfId="26346" xr:uid="{00000000-0005-0000-0000-0000A8C80000}"/>
    <cellStyle name="Normal 8 2 7 3 9" xfId="13282" xr:uid="{00000000-0005-0000-0000-0000A9C80000}"/>
    <cellStyle name="Normal 8 2 7 4" xfId="2474" xr:uid="{00000000-0005-0000-0000-0000AAC80000}"/>
    <cellStyle name="Normal 8 2 7 4 2" xfId="9006" xr:uid="{00000000-0005-0000-0000-0000ABC80000}"/>
    <cellStyle name="Normal 8 2 7 4 2 2" xfId="40747" xr:uid="{00000000-0005-0000-0000-0000ACC80000}"/>
    <cellStyle name="Normal 8 2 7 4 2 2 2" xfId="56847" xr:uid="{00000000-0005-0000-0000-0000ADC80000}"/>
    <cellStyle name="Normal 8 2 7 4 2 3" xfId="47280" xr:uid="{00000000-0005-0000-0000-0000AEC80000}"/>
    <cellStyle name="Normal 8 2 7 4 2 4" xfId="31180" xr:uid="{00000000-0005-0000-0000-0000AFC80000}"/>
    <cellStyle name="Normal 8 2 7 4 2 5" xfId="21611" xr:uid="{00000000-0005-0000-0000-0000B0C80000}"/>
    <cellStyle name="Normal 8 2 7 4 3" xfId="12042" xr:uid="{00000000-0005-0000-0000-0000B1C80000}"/>
    <cellStyle name="Normal 8 2 7 4 3 2" xfId="50316" xr:uid="{00000000-0005-0000-0000-0000B2C80000}"/>
    <cellStyle name="Normal 8 2 7 4 3 3" xfId="34216" xr:uid="{00000000-0005-0000-0000-0000B3C80000}"/>
    <cellStyle name="Normal 8 2 7 4 3 4" xfId="24647" xr:uid="{00000000-0005-0000-0000-0000B4C80000}"/>
    <cellStyle name="Normal 8 2 7 4 4" xfId="5970" xr:uid="{00000000-0005-0000-0000-0000B5C80000}"/>
    <cellStyle name="Normal 8 2 7 4 4 2" xfId="53811" xr:uid="{00000000-0005-0000-0000-0000B6C80000}"/>
    <cellStyle name="Normal 8 2 7 4 4 3" xfId="37711" xr:uid="{00000000-0005-0000-0000-0000B7C80000}"/>
    <cellStyle name="Normal 8 2 7 4 4 4" xfId="18575" xr:uid="{00000000-0005-0000-0000-0000B8C80000}"/>
    <cellStyle name="Normal 8 2 7 4 5" xfId="44244" xr:uid="{00000000-0005-0000-0000-0000B9C80000}"/>
    <cellStyle name="Normal 8 2 7 4 6" xfId="28144" xr:uid="{00000000-0005-0000-0000-0000BAC80000}"/>
    <cellStyle name="Normal 8 2 7 4 7" xfId="15080" xr:uid="{00000000-0005-0000-0000-0000BBC80000}"/>
    <cellStyle name="Normal 8 2 7 5" xfId="1223" xr:uid="{00000000-0005-0000-0000-0000BCC80000}"/>
    <cellStyle name="Normal 8 2 7 5 2" xfId="7757" xr:uid="{00000000-0005-0000-0000-0000BDC80000}"/>
    <cellStyle name="Normal 8 2 7 5 2 2" xfId="39498" xr:uid="{00000000-0005-0000-0000-0000BEC80000}"/>
    <cellStyle name="Normal 8 2 7 5 2 2 2" xfId="55598" xr:uid="{00000000-0005-0000-0000-0000BFC80000}"/>
    <cellStyle name="Normal 8 2 7 5 2 3" xfId="46031" xr:uid="{00000000-0005-0000-0000-0000C0C80000}"/>
    <cellStyle name="Normal 8 2 7 5 2 4" xfId="29931" xr:uid="{00000000-0005-0000-0000-0000C1C80000}"/>
    <cellStyle name="Normal 8 2 7 5 2 5" xfId="20362" xr:uid="{00000000-0005-0000-0000-0000C2C80000}"/>
    <cellStyle name="Normal 8 2 7 5 3" xfId="10793" xr:uid="{00000000-0005-0000-0000-0000C3C80000}"/>
    <cellStyle name="Normal 8 2 7 5 3 2" xfId="49067" xr:uid="{00000000-0005-0000-0000-0000C4C80000}"/>
    <cellStyle name="Normal 8 2 7 5 3 3" xfId="32967" xr:uid="{00000000-0005-0000-0000-0000C5C80000}"/>
    <cellStyle name="Normal 8 2 7 5 3 4" xfId="23398" xr:uid="{00000000-0005-0000-0000-0000C6C80000}"/>
    <cellStyle name="Normal 8 2 7 5 4" xfId="4721" xr:uid="{00000000-0005-0000-0000-0000C7C80000}"/>
    <cellStyle name="Normal 8 2 7 5 4 2" xfId="52562" xr:uid="{00000000-0005-0000-0000-0000C8C80000}"/>
    <cellStyle name="Normal 8 2 7 5 4 3" xfId="36462" xr:uid="{00000000-0005-0000-0000-0000C9C80000}"/>
    <cellStyle name="Normal 8 2 7 5 4 4" xfId="17326" xr:uid="{00000000-0005-0000-0000-0000CAC80000}"/>
    <cellStyle name="Normal 8 2 7 5 5" xfId="42995" xr:uid="{00000000-0005-0000-0000-0000CBC80000}"/>
    <cellStyle name="Normal 8 2 7 5 6" xfId="26895" xr:uid="{00000000-0005-0000-0000-0000CCC80000}"/>
    <cellStyle name="Normal 8 2 7 5 7" xfId="13831" xr:uid="{00000000-0005-0000-0000-0000CDC80000}"/>
    <cellStyle name="Normal 8 2 7 6" xfId="3711" xr:uid="{00000000-0005-0000-0000-0000CEC80000}"/>
    <cellStyle name="Normal 8 2 7 6 2" xfId="35452" xr:uid="{00000000-0005-0000-0000-0000CFC80000}"/>
    <cellStyle name="Normal 8 2 7 6 2 2" xfId="51552" xr:uid="{00000000-0005-0000-0000-0000D0C80000}"/>
    <cellStyle name="Normal 8 2 7 6 3" xfId="41985" xr:uid="{00000000-0005-0000-0000-0000D1C80000}"/>
    <cellStyle name="Normal 8 2 7 6 4" xfId="25885" xr:uid="{00000000-0005-0000-0000-0000D2C80000}"/>
    <cellStyle name="Normal 8 2 7 6 5" xfId="16316" xr:uid="{00000000-0005-0000-0000-0000D3C80000}"/>
    <cellStyle name="Normal 8 2 7 7" xfId="6747" xr:uid="{00000000-0005-0000-0000-0000D4C80000}"/>
    <cellStyle name="Normal 8 2 7 7 2" xfId="38488" xr:uid="{00000000-0005-0000-0000-0000D5C80000}"/>
    <cellStyle name="Normal 8 2 7 7 2 2" xfId="54588" xr:uid="{00000000-0005-0000-0000-0000D6C80000}"/>
    <cellStyle name="Normal 8 2 7 7 3" xfId="45021" xr:uid="{00000000-0005-0000-0000-0000D7C80000}"/>
    <cellStyle name="Normal 8 2 7 7 4" xfId="28921" xr:uid="{00000000-0005-0000-0000-0000D8C80000}"/>
    <cellStyle name="Normal 8 2 7 7 5" xfId="19352" xr:uid="{00000000-0005-0000-0000-0000D9C80000}"/>
    <cellStyle name="Normal 8 2 7 8" xfId="9783" xr:uid="{00000000-0005-0000-0000-0000DAC80000}"/>
    <cellStyle name="Normal 8 2 7 8 2" xfId="48057" xr:uid="{00000000-0005-0000-0000-0000DBC80000}"/>
    <cellStyle name="Normal 8 2 7 8 3" xfId="31957" xr:uid="{00000000-0005-0000-0000-0000DCC80000}"/>
    <cellStyle name="Normal 8 2 7 8 4" xfId="22388" xr:uid="{00000000-0005-0000-0000-0000DDC80000}"/>
    <cellStyle name="Normal 8 2 7 9" xfId="3251" xr:uid="{00000000-0005-0000-0000-0000DEC80000}"/>
    <cellStyle name="Normal 8 2 7 9 2" xfId="51093" xr:uid="{00000000-0005-0000-0000-0000DFC80000}"/>
    <cellStyle name="Normal 8 2 7 9 3" xfId="34993" xr:uid="{00000000-0005-0000-0000-0000E0C80000}"/>
    <cellStyle name="Normal 8 2 7 9 4" xfId="15857" xr:uid="{00000000-0005-0000-0000-0000E1C80000}"/>
    <cellStyle name="Normal 8 2 8" xfId="460" xr:uid="{00000000-0005-0000-0000-0000E2C80000}"/>
    <cellStyle name="Normal 8 2 8 10" xfId="41543" xr:uid="{00000000-0005-0000-0000-0000E3C80000}"/>
    <cellStyle name="Normal 8 2 8 11" xfId="25443" xr:uid="{00000000-0005-0000-0000-0000E4C80000}"/>
    <cellStyle name="Normal 8 2 8 12" xfId="12838" xr:uid="{00000000-0005-0000-0000-0000E5C80000}"/>
    <cellStyle name="Normal 8 2 8 2" xfId="913" xr:uid="{00000000-0005-0000-0000-0000E6C80000}"/>
    <cellStyle name="Normal 8 2 8 2 10" xfId="13521" xr:uid="{00000000-0005-0000-0000-0000E7C80000}"/>
    <cellStyle name="Normal 8 2 8 2 2" xfId="2941" xr:uid="{00000000-0005-0000-0000-0000E8C80000}"/>
    <cellStyle name="Normal 8 2 8 2 2 2" xfId="9473" xr:uid="{00000000-0005-0000-0000-0000E9C80000}"/>
    <cellStyle name="Normal 8 2 8 2 2 2 2" xfId="41214" xr:uid="{00000000-0005-0000-0000-0000EAC80000}"/>
    <cellStyle name="Normal 8 2 8 2 2 2 2 2" xfId="57314" xr:uid="{00000000-0005-0000-0000-0000EBC80000}"/>
    <cellStyle name="Normal 8 2 8 2 2 2 3" xfId="47747" xr:uid="{00000000-0005-0000-0000-0000ECC80000}"/>
    <cellStyle name="Normal 8 2 8 2 2 2 4" xfId="31647" xr:uid="{00000000-0005-0000-0000-0000EDC80000}"/>
    <cellStyle name="Normal 8 2 8 2 2 2 5" xfId="22078" xr:uid="{00000000-0005-0000-0000-0000EEC80000}"/>
    <cellStyle name="Normal 8 2 8 2 2 3" xfId="12509" xr:uid="{00000000-0005-0000-0000-0000EFC80000}"/>
    <cellStyle name="Normal 8 2 8 2 2 3 2" xfId="50783" xr:uid="{00000000-0005-0000-0000-0000F0C80000}"/>
    <cellStyle name="Normal 8 2 8 2 2 3 3" xfId="34683" xr:uid="{00000000-0005-0000-0000-0000F1C80000}"/>
    <cellStyle name="Normal 8 2 8 2 2 3 4" xfId="25114" xr:uid="{00000000-0005-0000-0000-0000F2C80000}"/>
    <cellStyle name="Normal 8 2 8 2 2 4" xfId="6437" xr:uid="{00000000-0005-0000-0000-0000F3C80000}"/>
    <cellStyle name="Normal 8 2 8 2 2 4 2" xfId="54278" xr:uid="{00000000-0005-0000-0000-0000F4C80000}"/>
    <cellStyle name="Normal 8 2 8 2 2 4 3" xfId="38178" xr:uid="{00000000-0005-0000-0000-0000F5C80000}"/>
    <cellStyle name="Normal 8 2 8 2 2 4 4" xfId="19042" xr:uid="{00000000-0005-0000-0000-0000F6C80000}"/>
    <cellStyle name="Normal 8 2 8 2 2 5" xfId="44711" xr:uid="{00000000-0005-0000-0000-0000F7C80000}"/>
    <cellStyle name="Normal 8 2 8 2 2 6" xfId="28611" xr:uid="{00000000-0005-0000-0000-0000F8C80000}"/>
    <cellStyle name="Normal 8 2 8 2 2 7" xfId="15547" xr:uid="{00000000-0005-0000-0000-0000F9C80000}"/>
    <cellStyle name="Normal 8 2 8 2 3" xfId="1923" xr:uid="{00000000-0005-0000-0000-0000FAC80000}"/>
    <cellStyle name="Normal 8 2 8 2 3 2" xfId="8457" xr:uid="{00000000-0005-0000-0000-0000FBC80000}"/>
    <cellStyle name="Normal 8 2 8 2 3 2 2" xfId="40198" xr:uid="{00000000-0005-0000-0000-0000FCC80000}"/>
    <cellStyle name="Normal 8 2 8 2 3 2 2 2" xfId="56298" xr:uid="{00000000-0005-0000-0000-0000FDC80000}"/>
    <cellStyle name="Normal 8 2 8 2 3 2 3" xfId="46731" xr:uid="{00000000-0005-0000-0000-0000FEC80000}"/>
    <cellStyle name="Normal 8 2 8 2 3 2 4" xfId="30631" xr:uid="{00000000-0005-0000-0000-0000FFC80000}"/>
    <cellStyle name="Normal 8 2 8 2 3 2 5" xfId="21062" xr:uid="{00000000-0005-0000-0000-000000C90000}"/>
    <cellStyle name="Normal 8 2 8 2 3 3" xfId="11493" xr:uid="{00000000-0005-0000-0000-000001C90000}"/>
    <cellStyle name="Normal 8 2 8 2 3 3 2" xfId="49767" xr:uid="{00000000-0005-0000-0000-000002C90000}"/>
    <cellStyle name="Normal 8 2 8 2 3 3 3" xfId="33667" xr:uid="{00000000-0005-0000-0000-000003C90000}"/>
    <cellStyle name="Normal 8 2 8 2 3 3 4" xfId="24098" xr:uid="{00000000-0005-0000-0000-000004C90000}"/>
    <cellStyle name="Normal 8 2 8 2 3 4" xfId="5421" xr:uid="{00000000-0005-0000-0000-000005C90000}"/>
    <cellStyle name="Normal 8 2 8 2 3 4 2" xfId="53262" xr:uid="{00000000-0005-0000-0000-000006C90000}"/>
    <cellStyle name="Normal 8 2 8 2 3 4 3" xfId="37162" xr:uid="{00000000-0005-0000-0000-000007C90000}"/>
    <cellStyle name="Normal 8 2 8 2 3 4 4" xfId="18026" xr:uid="{00000000-0005-0000-0000-000008C90000}"/>
    <cellStyle name="Normal 8 2 8 2 3 5" xfId="43695" xr:uid="{00000000-0005-0000-0000-000009C90000}"/>
    <cellStyle name="Normal 8 2 8 2 3 6" xfId="27595" xr:uid="{00000000-0005-0000-0000-00000AC90000}"/>
    <cellStyle name="Normal 8 2 8 2 3 7" xfId="14531" xr:uid="{00000000-0005-0000-0000-00000BC90000}"/>
    <cellStyle name="Normal 8 2 8 2 4" xfId="4411" xr:uid="{00000000-0005-0000-0000-00000CC90000}"/>
    <cellStyle name="Normal 8 2 8 2 4 2" xfId="36152" xr:uid="{00000000-0005-0000-0000-00000DC90000}"/>
    <cellStyle name="Normal 8 2 8 2 4 2 2" xfId="52252" xr:uid="{00000000-0005-0000-0000-00000EC90000}"/>
    <cellStyle name="Normal 8 2 8 2 4 3" xfId="42685" xr:uid="{00000000-0005-0000-0000-00000FC90000}"/>
    <cellStyle name="Normal 8 2 8 2 4 4" xfId="26585" xr:uid="{00000000-0005-0000-0000-000010C90000}"/>
    <cellStyle name="Normal 8 2 8 2 4 5" xfId="17016" xr:uid="{00000000-0005-0000-0000-000011C90000}"/>
    <cellStyle name="Normal 8 2 8 2 5" xfId="7447" xr:uid="{00000000-0005-0000-0000-000012C90000}"/>
    <cellStyle name="Normal 8 2 8 2 5 2" xfId="39188" xr:uid="{00000000-0005-0000-0000-000013C90000}"/>
    <cellStyle name="Normal 8 2 8 2 5 2 2" xfId="55288" xr:uid="{00000000-0005-0000-0000-000014C90000}"/>
    <cellStyle name="Normal 8 2 8 2 5 3" xfId="45721" xr:uid="{00000000-0005-0000-0000-000015C90000}"/>
    <cellStyle name="Normal 8 2 8 2 5 4" xfId="29621" xr:uid="{00000000-0005-0000-0000-000016C90000}"/>
    <cellStyle name="Normal 8 2 8 2 5 5" xfId="20052" xr:uid="{00000000-0005-0000-0000-000017C90000}"/>
    <cellStyle name="Normal 8 2 8 2 6" xfId="10483" xr:uid="{00000000-0005-0000-0000-000018C90000}"/>
    <cellStyle name="Normal 8 2 8 2 6 2" xfId="48757" xr:uid="{00000000-0005-0000-0000-000019C90000}"/>
    <cellStyle name="Normal 8 2 8 2 6 3" xfId="32657" xr:uid="{00000000-0005-0000-0000-00001AC90000}"/>
    <cellStyle name="Normal 8 2 8 2 6 4" xfId="23088" xr:uid="{00000000-0005-0000-0000-00001BC90000}"/>
    <cellStyle name="Normal 8 2 8 2 7" xfId="3506" xr:uid="{00000000-0005-0000-0000-00001CC90000}"/>
    <cellStyle name="Normal 8 2 8 2 7 2" xfId="51347" xr:uid="{00000000-0005-0000-0000-00001DC90000}"/>
    <cellStyle name="Normal 8 2 8 2 7 3" xfId="35247" xr:uid="{00000000-0005-0000-0000-00001EC90000}"/>
    <cellStyle name="Normal 8 2 8 2 7 4" xfId="16111" xr:uid="{00000000-0005-0000-0000-00001FC90000}"/>
    <cellStyle name="Normal 8 2 8 2 8" xfId="41780" xr:uid="{00000000-0005-0000-0000-000020C90000}"/>
    <cellStyle name="Normal 8 2 8 2 9" xfId="25680" xr:uid="{00000000-0005-0000-0000-000021C90000}"/>
    <cellStyle name="Normal 8 2 8 3" xfId="691" xr:uid="{00000000-0005-0000-0000-000022C90000}"/>
    <cellStyle name="Normal 8 2 8 3 2" xfId="2719" xr:uid="{00000000-0005-0000-0000-000023C90000}"/>
    <cellStyle name="Normal 8 2 8 3 2 2" xfId="9251" xr:uid="{00000000-0005-0000-0000-000024C90000}"/>
    <cellStyle name="Normal 8 2 8 3 2 2 2" xfId="40992" xr:uid="{00000000-0005-0000-0000-000025C90000}"/>
    <cellStyle name="Normal 8 2 8 3 2 2 2 2" xfId="57092" xr:uid="{00000000-0005-0000-0000-000026C90000}"/>
    <cellStyle name="Normal 8 2 8 3 2 2 3" xfId="47525" xr:uid="{00000000-0005-0000-0000-000027C90000}"/>
    <cellStyle name="Normal 8 2 8 3 2 2 4" xfId="31425" xr:uid="{00000000-0005-0000-0000-000028C90000}"/>
    <cellStyle name="Normal 8 2 8 3 2 2 5" xfId="21856" xr:uid="{00000000-0005-0000-0000-000029C90000}"/>
    <cellStyle name="Normal 8 2 8 3 2 3" xfId="12287" xr:uid="{00000000-0005-0000-0000-00002AC90000}"/>
    <cellStyle name="Normal 8 2 8 3 2 3 2" xfId="50561" xr:uid="{00000000-0005-0000-0000-00002BC90000}"/>
    <cellStyle name="Normal 8 2 8 3 2 3 3" xfId="34461" xr:uid="{00000000-0005-0000-0000-00002CC90000}"/>
    <cellStyle name="Normal 8 2 8 3 2 3 4" xfId="24892" xr:uid="{00000000-0005-0000-0000-00002DC90000}"/>
    <cellStyle name="Normal 8 2 8 3 2 4" xfId="6215" xr:uid="{00000000-0005-0000-0000-00002EC90000}"/>
    <cellStyle name="Normal 8 2 8 3 2 4 2" xfId="54056" xr:uid="{00000000-0005-0000-0000-00002FC90000}"/>
    <cellStyle name="Normal 8 2 8 3 2 4 3" xfId="37956" xr:uid="{00000000-0005-0000-0000-000030C90000}"/>
    <cellStyle name="Normal 8 2 8 3 2 4 4" xfId="18820" xr:uid="{00000000-0005-0000-0000-000031C90000}"/>
    <cellStyle name="Normal 8 2 8 3 2 5" xfId="44489" xr:uid="{00000000-0005-0000-0000-000032C90000}"/>
    <cellStyle name="Normal 8 2 8 3 2 6" xfId="28389" xr:uid="{00000000-0005-0000-0000-000033C90000}"/>
    <cellStyle name="Normal 8 2 8 3 2 7" xfId="15325" xr:uid="{00000000-0005-0000-0000-000034C90000}"/>
    <cellStyle name="Normal 8 2 8 3 3" xfId="1701" xr:uid="{00000000-0005-0000-0000-000035C90000}"/>
    <cellStyle name="Normal 8 2 8 3 3 2" xfId="8235" xr:uid="{00000000-0005-0000-0000-000036C90000}"/>
    <cellStyle name="Normal 8 2 8 3 3 2 2" xfId="39976" xr:uid="{00000000-0005-0000-0000-000037C90000}"/>
    <cellStyle name="Normal 8 2 8 3 3 2 2 2" xfId="56076" xr:uid="{00000000-0005-0000-0000-000038C90000}"/>
    <cellStyle name="Normal 8 2 8 3 3 2 3" xfId="46509" xr:uid="{00000000-0005-0000-0000-000039C90000}"/>
    <cellStyle name="Normal 8 2 8 3 3 2 4" xfId="30409" xr:uid="{00000000-0005-0000-0000-00003AC90000}"/>
    <cellStyle name="Normal 8 2 8 3 3 2 5" xfId="20840" xr:uid="{00000000-0005-0000-0000-00003BC90000}"/>
    <cellStyle name="Normal 8 2 8 3 3 3" xfId="11271" xr:uid="{00000000-0005-0000-0000-00003CC90000}"/>
    <cellStyle name="Normal 8 2 8 3 3 3 2" xfId="49545" xr:uid="{00000000-0005-0000-0000-00003DC90000}"/>
    <cellStyle name="Normal 8 2 8 3 3 3 3" xfId="33445" xr:uid="{00000000-0005-0000-0000-00003EC90000}"/>
    <cellStyle name="Normal 8 2 8 3 3 3 4" xfId="23876" xr:uid="{00000000-0005-0000-0000-00003FC90000}"/>
    <cellStyle name="Normal 8 2 8 3 3 4" xfId="5199" xr:uid="{00000000-0005-0000-0000-000040C90000}"/>
    <cellStyle name="Normal 8 2 8 3 3 4 2" xfId="53040" xr:uid="{00000000-0005-0000-0000-000041C90000}"/>
    <cellStyle name="Normal 8 2 8 3 3 4 3" xfId="36940" xr:uid="{00000000-0005-0000-0000-000042C90000}"/>
    <cellStyle name="Normal 8 2 8 3 3 4 4" xfId="17804" xr:uid="{00000000-0005-0000-0000-000043C90000}"/>
    <cellStyle name="Normal 8 2 8 3 3 5" xfId="43473" xr:uid="{00000000-0005-0000-0000-000044C90000}"/>
    <cellStyle name="Normal 8 2 8 3 3 6" xfId="27373" xr:uid="{00000000-0005-0000-0000-000045C90000}"/>
    <cellStyle name="Normal 8 2 8 3 3 7" xfId="14309" xr:uid="{00000000-0005-0000-0000-000046C90000}"/>
    <cellStyle name="Normal 8 2 8 3 4" xfId="7225" xr:uid="{00000000-0005-0000-0000-000047C90000}"/>
    <cellStyle name="Normal 8 2 8 3 4 2" xfId="38966" xr:uid="{00000000-0005-0000-0000-000048C90000}"/>
    <cellStyle name="Normal 8 2 8 3 4 2 2" xfId="55066" xr:uid="{00000000-0005-0000-0000-000049C90000}"/>
    <cellStyle name="Normal 8 2 8 3 4 3" xfId="45499" xr:uid="{00000000-0005-0000-0000-00004AC90000}"/>
    <cellStyle name="Normal 8 2 8 3 4 4" xfId="29399" xr:uid="{00000000-0005-0000-0000-00004BC90000}"/>
    <cellStyle name="Normal 8 2 8 3 4 5" xfId="19830" xr:uid="{00000000-0005-0000-0000-00004CC90000}"/>
    <cellStyle name="Normal 8 2 8 3 5" xfId="10261" xr:uid="{00000000-0005-0000-0000-00004DC90000}"/>
    <cellStyle name="Normal 8 2 8 3 5 2" xfId="48535" xr:uid="{00000000-0005-0000-0000-00004EC90000}"/>
    <cellStyle name="Normal 8 2 8 3 5 3" xfId="32435" xr:uid="{00000000-0005-0000-0000-00004FC90000}"/>
    <cellStyle name="Normal 8 2 8 3 5 4" xfId="22866" xr:uid="{00000000-0005-0000-0000-000050C90000}"/>
    <cellStyle name="Normal 8 2 8 3 6" xfId="4189" xr:uid="{00000000-0005-0000-0000-000051C90000}"/>
    <cellStyle name="Normal 8 2 8 3 6 2" xfId="52030" xr:uid="{00000000-0005-0000-0000-000052C90000}"/>
    <cellStyle name="Normal 8 2 8 3 6 3" xfId="35930" xr:uid="{00000000-0005-0000-0000-000053C90000}"/>
    <cellStyle name="Normal 8 2 8 3 6 4" xfId="16794" xr:uid="{00000000-0005-0000-0000-000054C90000}"/>
    <cellStyle name="Normal 8 2 8 3 7" xfId="42463" xr:uid="{00000000-0005-0000-0000-000055C90000}"/>
    <cellStyle name="Normal 8 2 8 3 8" xfId="26363" xr:uid="{00000000-0005-0000-0000-000056C90000}"/>
    <cellStyle name="Normal 8 2 8 3 9" xfId="13299" xr:uid="{00000000-0005-0000-0000-000057C90000}"/>
    <cellStyle name="Normal 8 2 8 4" xfId="2491" xr:uid="{00000000-0005-0000-0000-000058C90000}"/>
    <cellStyle name="Normal 8 2 8 4 2" xfId="9023" xr:uid="{00000000-0005-0000-0000-000059C90000}"/>
    <cellStyle name="Normal 8 2 8 4 2 2" xfId="40764" xr:uid="{00000000-0005-0000-0000-00005AC90000}"/>
    <cellStyle name="Normal 8 2 8 4 2 2 2" xfId="56864" xr:uid="{00000000-0005-0000-0000-00005BC90000}"/>
    <cellStyle name="Normal 8 2 8 4 2 3" xfId="47297" xr:uid="{00000000-0005-0000-0000-00005CC90000}"/>
    <cellStyle name="Normal 8 2 8 4 2 4" xfId="31197" xr:uid="{00000000-0005-0000-0000-00005DC90000}"/>
    <cellStyle name="Normal 8 2 8 4 2 5" xfId="21628" xr:uid="{00000000-0005-0000-0000-00005EC90000}"/>
    <cellStyle name="Normal 8 2 8 4 3" xfId="12059" xr:uid="{00000000-0005-0000-0000-00005FC90000}"/>
    <cellStyle name="Normal 8 2 8 4 3 2" xfId="50333" xr:uid="{00000000-0005-0000-0000-000060C90000}"/>
    <cellStyle name="Normal 8 2 8 4 3 3" xfId="34233" xr:uid="{00000000-0005-0000-0000-000061C90000}"/>
    <cellStyle name="Normal 8 2 8 4 3 4" xfId="24664" xr:uid="{00000000-0005-0000-0000-000062C90000}"/>
    <cellStyle name="Normal 8 2 8 4 4" xfId="5987" xr:uid="{00000000-0005-0000-0000-000063C90000}"/>
    <cellStyle name="Normal 8 2 8 4 4 2" xfId="53828" xr:uid="{00000000-0005-0000-0000-000064C90000}"/>
    <cellStyle name="Normal 8 2 8 4 4 3" xfId="37728" xr:uid="{00000000-0005-0000-0000-000065C90000}"/>
    <cellStyle name="Normal 8 2 8 4 4 4" xfId="18592" xr:uid="{00000000-0005-0000-0000-000066C90000}"/>
    <cellStyle name="Normal 8 2 8 4 5" xfId="44261" xr:uid="{00000000-0005-0000-0000-000067C90000}"/>
    <cellStyle name="Normal 8 2 8 4 6" xfId="28161" xr:uid="{00000000-0005-0000-0000-000068C90000}"/>
    <cellStyle name="Normal 8 2 8 4 7" xfId="15097" xr:uid="{00000000-0005-0000-0000-000069C90000}"/>
    <cellStyle name="Normal 8 2 8 5" xfId="1240" xr:uid="{00000000-0005-0000-0000-00006AC90000}"/>
    <cellStyle name="Normal 8 2 8 5 2" xfId="7774" xr:uid="{00000000-0005-0000-0000-00006BC90000}"/>
    <cellStyle name="Normal 8 2 8 5 2 2" xfId="39515" xr:uid="{00000000-0005-0000-0000-00006CC90000}"/>
    <cellStyle name="Normal 8 2 8 5 2 2 2" xfId="55615" xr:uid="{00000000-0005-0000-0000-00006DC90000}"/>
    <cellStyle name="Normal 8 2 8 5 2 3" xfId="46048" xr:uid="{00000000-0005-0000-0000-00006EC90000}"/>
    <cellStyle name="Normal 8 2 8 5 2 4" xfId="29948" xr:uid="{00000000-0005-0000-0000-00006FC90000}"/>
    <cellStyle name="Normal 8 2 8 5 2 5" xfId="20379" xr:uid="{00000000-0005-0000-0000-000070C90000}"/>
    <cellStyle name="Normal 8 2 8 5 3" xfId="10810" xr:uid="{00000000-0005-0000-0000-000071C90000}"/>
    <cellStyle name="Normal 8 2 8 5 3 2" xfId="49084" xr:uid="{00000000-0005-0000-0000-000072C90000}"/>
    <cellStyle name="Normal 8 2 8 5 3 3" xfId="32984" xr:uid="{00000000-0005-0000-0000-000073C90000}"/>
    <cellStyle name="Normal 8 2 8 5 3 4" xfId="23415" xr:uid="{00000000-0005-0000-0000-000074C90000}"/>
    <cellStyle name="Normal 8 2 8 5 4" xfId="4738" xr:uid="{00000000-0005-0000-0000-000075C90000}"/>
    <cellStyle name="Normal 8 2 8 5 4 2" xfId="52579" xr:uid="{00000000-0005-0000-0000-000076C90000}"/>
    <cellStyle name="Normal 8 2 8 5 4 3" xfId="36479" xr:uid="{00000000-0005-0000-0000-000077C90000}"/>
    <cellStyle name="Normal 8 2 8 5 4 4" xfId="17343" xr:uid="{00000000-0005-0000-0000-000078C90000}"/>
    <cellStyle name="Normal 8 2 8 5 5" xfId="43012" xr:uid="{00000000-0005-0000-0000-000079C90000}"/>
    <cellStyle name="Normal 8 2 8 5 6" xfId="26912" xr:uid="{00000000-0005-0000-0000-00007AC90000}"/>
    <cellStyle name="Normal 8 2 8 5 7" xfId="13848" xr:uid="{00000000-0005-0000-0000-00007BC90000}"/>
    <cellStyle name="Normal 8 2 8 6" xfId="3728" xr:uid="{00000000-0005-0000-0000-00007CC90000}"/>
    <cellStyle name="Normal 8 2 8 6 2" xfId="35469" xr:uid="{00000000-0005-0000-0000-00007DC90000}"/>
    <cellStyle name="Normal 8 2 8 6 2 2" xfId="51569" xr:uid="{00000000-0005-0000-0000-00007EC90000}"/>
    <cellStyle name="Normal 8 2 8 6 3" xfId="42002" xr:uid="{00000000-0005-0000-0000-00007FC90000}"/>
    <cellStyle name="Normal 8 2 8 6 4" xfId="25902" xr:uid="{00000000-0005-0000-0000-000080C90000}"/>
    <cellStyle name="Normal 8 2 8 6 5" xfId="16333" xr:uid="{00000000-0005-0000-0000-000081C90000}"/>
    <cellStyle name="Normal 8 2 8 7" xfId="6764" xr:uid="{00000000-0005-0000-0000-000082C90000}"/>
    <cellStyle name="Normal 8 2 8 7 2" xfId="38505" xr:uid="{00000000-0005-0000-0000-000083C90000}"/>
    <cellStyle name="Normal 8 2 8 7 2 2" xfId="54605" xr:uid="{00000000-0005-0000-0000-000084C90000}"/>
    <cellStyle name="Normal 8 2 8 7 3" xfId="45038" xr:uid="{00000000-0005-0000-0000-000085C90000}"/>
    <cellStyle name="Normal 8 2 8 7 4" xfId="28938" xr:uid="{00000000-0005-0000-0000-000086C90000}"/>
    <cellStyle name="Normal 8 2 8 7 5" xfId="19369" xr:uid="{00000000-0005-0000-0000-000087C90000}"/>
    <cellStyle name="Normal 8 2 8 8" xfId="9800" xr:uid="{00000000-0005-0000-0000-000088C90000}"/>
    <cellStyle name="Normal 8 2 8 8 2" xfId="48074" xr:uid="{00000000-0005-0000-0000-000089C90000}"/>
    <cellStyle name="Normal 8 2 8 8 3" xfId="31974" xr:uid="{00000000-0005-0000-0000-00008AC90000}"/>
    <cellStyle name="Normal 8 2 8 8 4" xfId="22405" xr:uid="{00000000-0005-0000-0000-00008BC90000}"/>
    <cellStyle name="Normal 8 2 8 9" xfId="3268" xr:uid="{00000000-0005-0000-0000-00008CC90000}"/>
    <cellStyle name="Normal 8 2 8 9 2" xfId="51110" xr:uid="{00000000-0005-0000-0000-00008DC90000}"/>
    <cellStyle name="Normal 8 2 8 9 3" xfId="35010" xr:uid="{00000000-0005-0000-0000-00008EC90000}"/>
    <cellStyle name="Normal 8 2 8 9 4" xfId="15874" xr:uid="{00000000-0005-0000-0000-00008FC90000}"/>
    <cellStyle name="Normal 8 2 9" xfId="477" xr:uid="{00000000-0005-0000-0000-000090C90000}"/>
    <cellStyle name="Normal 8 2 9 10" xfId="41560" xr:uid="{00000000-0005-0000-0000-000091C90000}"/>
    <cellStyle name="Normal 8 2 9 11" xfId="25460" xr:uid="{00000000-0005-0000-0000-000092C90000}"/>
    <cellStyle name="Normal 8 2 9 12" xfId="12855" xr:uid="{00000000-0005-0000-0000-000093C90000}"/>
    <cellStyle name="Normal 8 2 9 2" xfId="930" xr:uid="{00000000-0005-0000-0000-000094C90000}"/>
    <cellStyle name="Normal 8 2 9 2 10" xfId="13538" xr:uid="{00000000-0005-0000-0000-000095C90000}"/>
    <cellStyle name="Normal 8 2 9 2 2" xfId="2958" xr:uid="{00000000-0005-0000-0000-000096C90000}"/>
    <cellStyle name="Normal 8 2 9 2 2 2" xfId="9490" xr:uid="{00000000-0005-0000-0000-000097C90000}"/>
    <cellStyle name="Normal 8 2 9 2 2 2 2" xfId="41231" xr:uid="{00000000-0005-0000-0000-000098C90000}"/>
    <cellStyle name="Normal 8 2 9 2 2 2 2 2" xfId="57331" xr:uid="{00000000-0005-0000-0000-000099C90000}"/>
    <cellStyle name="Normal 8 2 9 2 2 2 3" xfId="47764" xr:uid="{00000000-0005-0000-0000-00009AC90000}"/>
    <cellStyle name="Normal 8 2 9 2 2 2 4" xfId="31664" xr:uid="{00000000-0005-0000-0000-00009BC90000}"/>
    <cellStyle name="Normal 8 2 9 2 2 2 5" xfId="22095" xr:uid="{00000000-0005-0000-0000-00009CC90000}"/>
    <cellStyle name="Normal 8 2 9 2 2 3" xfId="12526" xr:uid="{00000000-0005-0000-0000-00009DC90000}"/>
    <cellStyle name="Normal 8 2 9 2 2 3 2" xfId="50800" xr:uid="{00000000-0005-0000-0000-00009EC90000}"/>
    <cellStyle name="Normal 8 2 9 2 2 3 3" xfId="34700" xr:uid="{00000000-0005-0000-0000-00009FC90000}"/>
    <cellStyle name="Normal 8 2 9 2 2 3 4" xfId="25131" xr:uid="{00000000-0005-0000-0000-0000A0C90000}"/>
    <cellStyle name="Normal 8 2 9 2 2 4" xfId="6454" xr:uid="{00000000-0005-0000-0000-0000A1C90000}"/>
    <cellStyle name="Normal 8 2 9 2 2 4 2" xfId="54295" xr:uid="{00000000-0005-0000-0000-0000A2C90000}"/>
    <cellStyle name="Normal 8 2 9 2 2 4 3" xfId="38195" xr:uid="{00000000-0005-0000-0000-0000A3C90000}"/>
    <cellStyle name="Normal 8 2 9 2 2 4 4" xfId="19059" xr:uid="{00000000-0005-0000-0000-0000A4C90000}"/>
    <cellStyle name="Normal 8 2 9 2 2 5" xfId="44728" xr:uid="{00000000-0005-0000-0000-0000A5C90000}"/>
    <cellStyle name="Normal 8 2 9 2 2 6" xfId="28628" xr:uid="{00000000-0005-0000-0000-0000A6C90000}"/>
    <cellStyle name="Normal 8 2 9 2 2 7" xfId="15564" xr:uid="{00000000-0005-0000-0000-0000A7C90000}"/>
    <cellStyle name="Normal 8 2 9 2 3" xfId="1940" xr:uid="{00000000-0005-0000-0000-0000A8C90000}"/>
    <cellStyle name="Normal 8 2 9 2 3 2" xfId="8474" xr:uid="{00000000-0005-0000-0000-0000A9C90000}"/>
    <cellStyle name="Normal 8 2 9 2 3 2 2" xfId="40215" xr:uid="{00000000-0005-0000-0000-0000AAC90000}"/>
    <cellStyle name="Normal 8 2 9 2 3 2 2 2" xfId="56315" xr:uid="{00000000-0005-0000-0000-0000ABC90000}"/>
    <cellStyle name="Normal 8 2 9 2 3 2 3" xfId="46748" xr:uid="{00000000-0005-0000-0000-0000ACC90000}"/>
    <cellStyle name="Normal 8 2 9 2 3 2 4" xfId="30648" xr:uid="{00000000-0005-0000-0000-0000ADC90000}"/>
    <cellStyle name="Normal 8 2 9 2 3 2 5" xfId="21079" xr:uid="{00000000-0005-0000-0000-0000AEC90000}"/>
    <cellStyle name="Normal 8 2 9 2 3 3" xfId="11510" xr:uid="{00000000-0005-0000-0000-0000AFC90000}"/>
    <cellStyle name="Normal 8 2 9 2 3 3 2" xfId="49784" xr:uid="{00000000-0005-0000-0000-0000B0C90000}"/>
    <cellStyle name="Normal 8 2 9 2 3 3 3" xfId="33684" xr:uid="{00000000-0005-0000-0000-0000B1C90000}"/>
    <cellStyle name="Normal 8 2 9 2 3 3 4" xfId="24115" xr:uid="{00000000-0005-0000-0000-0000B2C90000}"/>
    <cellStyle name="Normal 8 2 9 2 3 4" xfId="5438" xr:uid="{00000000-0005-0000-0000-0000B3C90000}"/>
    <cellStyle name="Normal 8 2 9 2 3 4 2" xfId="53279" xr:uid="{00000000-0005-0000-0000-0000B4C90000}"/>
    <cellStyle name="Normal 8 2 9 2 3 4 3" xfId="37179" xr:uid="{00000000-0005-0000-0000-0000B5C90000}"/>
    <cellStyle name="Normal 8 2 9 2 3 4 4" xfId="18043" xr:uid="{00000000-0005-0000-0000-0000B6C90000}"/>
    <cellStyle name="Normal 8 2 9 2 3 5" xfId="43712" xr:uid="{00000000-0005-0000-0000-0000B7C90000}"/>
    <cellStyle name="Normal 8 2 9 2 3 6" xfId="27612" xr:uid="{00000000-0005-0000-0000-0000B8C90000}"/>
    <cellStyle name="Normal 8 2 9 2 3 7" xfId="14548" xr:uid="{00000000-0005-0000-0000-0000B9C90000}"/>
    <cellStyle name="Normal 8 2 9 2 4" xfId="4428" xr:uid="{00000000-0005-0000-0000-0000BAC90000}"/>
    <cellStyle name="Normal 8 2 9 2 4 2" xfId="36169" xr:uid="{00000000-0005-0000-0000-0000BBC90000}"/>
    <cellStyle name="Normal 8 2 9 2 4 2 2" xfId="52269" xr:uid="{00000000-0005-0000-0000-0000BCC90000}"/>
    <cellStyle name="Normal 8 2 9 2 4 3" xfId="42702" xr:uid="{00000000-0005-0000-0000-0000BDC90000}"/>
    <cellStyle name="Normal 8 2 9 2 4 4" xfId="26602" xr:uid="{00000000-0005-0000-0000-0000BEC90000}"/>
    <cellStyle name="Normal 8 2 9 2 4 5" xfId="17033" xr:uid="{00000000-0005-0000-0000-0000BFC90000}"/>
    <cellStyle name="Normal 8 2 9 2 5" xfId="7464" xr:uid="{00000000-0005-0000-0000-0000C0C90000}"/>
    <cellStyle name="Normal 8 2 9 2 5 2" xfId="39205" xr:uid="{00000000-0005-0000-0000-0000C1C90000}"/>
    <cellStyle name="Normal 8 2 9 2 5 2 2" xfId="55305" xr:uid="{00000000-0005-0000-0000-0000C2C90000}"/>
    <cellStyle name="Normal 8 2 9 2 5 3" xfId="45738" xr:uid="{00000000-0005-0000-0000-0000C3C90000}"/>
    <cellStyle name="Normal 8 2 9 2 5 4" xfId="29638" xr:uid="{00000000-0005-0000-0000-0000C4C90000}"/>
    <cellStyle name="Normal 8 2 9 2 5 5" xfId="20069" xr:uid="{00000000-0005-0000-0000-0000C5C90000}"/>
    <cellStyle name="Normal 8 2 9 2 6" xfId="10500" xr:uid="{00000000-0005-0000-0000-0000C6C90000}"/>
    <cellStyle name="Normal 8 2 9 2 6 2" xfId="48774" xr:uid="{00000000-0005-0000-0000-0000C7C90000}"/>
    <cellStyle name="Normal 8 2 9 2 6 3" xfId="32674" xr:uid="{00000000-0005-0000-0000-0000C8C90000}"/>
    <cellStyle name="Normal 8 2 9 2 6 4" xfId="23105" xr:uid="{00000000-0005-0000-0000-0000C9C90000}"/>
    <cellStyle name="Normal 8 2 9 2 7" xfId="3523" xr:uid="{00000000-0005-0000-0000-0000CAC90000}"/>
    <cellStyle name="Normal 8 2 9 2 7 2" xfId="51364" xr:uid="{00000000-0005-0000-0000-0000CBC90000}"/>
    <cellStyle name="Normal 8 2 9 2 7 3" xfId="35264" xr:uid="{00000000-0005-0000-0000-0000CCC90000}"/>
    <cellStyle name="Normal 8 2 9 2 7 4" xfId="16128" xr:uid="{00000000-0005-0000-0000-0000CDC90000}"/>
    <cellStyle name="Normal 8 2 9 2 8" xfId="41797" xr:uid="{00000000-0005-0000-0000-0000CEC90000}"/>
    <cellStyle name="Normal 8 2 9 2 9" xfId="25697" xr:uid="{00000000-0005-0000-0000-0000CFC90000}"/>
    <cellStyle name="Normal 8 2 9 3" xfId="708" xr:uid="{00000000-0005-0000-0000-0000D0C90000}"/>
    <cellStyle name="Normal 8 2 9 3 2" xfId="2736" xr:uid="{00000000-0005-0000-0000-0000D1C90000}"/>
    <cellStyle name="Normal 8 2 9 3 2 2" xfId="9268" xr:uid="{00000000-0005-0000-0000-0000D2C90000}"/>
    <cellStyle name="Normal 8 2 9 3 2 2 2" xfId="41009" xr:uid="{00000000-0005-0000-0000-0000D3C90000}"/>
    <cellStyle name="Normal 8 2 9 3 2 2 2 2" xfId="57109" xr:uid="{00000000-0005-0000-0000-0000D4C90000}"/>
    <cellStyle name="Normal 8 2 9 3 2 2 3" xfId="47542" xr:uid="{00000000-0005-0000-0000-0000D5C90000}"/>
    <cellStyle name="Normal 8 2 9 3 2 2 4" xfId="31442" xr:uid="{00000000-0005-0000-0000-0000D6C90000}"/>
    <cellStyle name="Normal 8 2 9 3 2 2 5" xfId="21873" xr:uid="{00000000-0005-0000-0000-0000D7C90000}"/>
    <cellStyle name="Normal 8 2 9 3 2 3" xfId="12304" xr:uid="{00000000-0005-0000-0000-0000D8C90000}"/>
    <cellStyle name="Normal 8 2 9 3 2 3 2" xfId="50578" xr:uid="{00000000-0005-0000-0000-0000D9C90000}"/>
    <cellStyle name="Normal 8 2 9 3 2 3 3" xfId="34478" xr:uid="{00000000-0005-0000-0000-0000DAC90000}"/>
    <cellStyle name="Normal 8 2 9 3 2 3 4" xfId="24909" xr:uid="{00000000-0005-0000-0000-0000DBC90000}"/>
    <cellStyle name="Normal 8 2 9 3 2 4" xfId="6232" xr:uid="{00000000-0005-0000-0000-0000DCC90000}"/>
    <cellStyle name="Normal 8 2 9 3 2 4 2" xfId="54073" xr:uid="{00000000-0005-0000-0000-0000DDC90000}"/>
    <cellStyle name="Normal 8 2 9 3 2 4 3" xfId="37973" xr:uid="{00000000-0005-0000-0000-0000DEC90000}"/>
    <cellStyle name="Normal 8 2 9 3 2 4 4" xfId="18837" xr:uid="{00000000-0005-0000-0000-0000DFC90000}"/>
    <cellStyle name="Normal 8 2 9 3 2 5" xfId="44506" xr:uid="{00000000-0005-0000-0000-0000E0C90000}"/>
    <cellStyle name="Normal 8 2 9 3 2 6" xfId="28406" xr:uid="{00000000-0005-0000-0000-0000E1C90000}"/>
    <cellStyle name="Normal 8 2 9 3 2 7" xfId="15342" xr:uid="{00000000-0005-0000-0000-0000E2C90000}"/>
    <cellStyle name="Normal 8 2 9 3 3" xfId="1718" xr:uid="{00000000-0005-0000-0000-0000E3C90000}"/>
    <cellStyle name="Normal 8 2 9 3 3 2" xfId="8252" xr:uid="{00000000-0005-0000-0000-0000E4C90000}"/>
    <cellStyle name="Normal 8 2 9 3 3 2 2" xfId="39993" xr:uid="{00000000-0005-0000-0000-0000E5C90000}"/>
    <cellStyle name="Normal 8 2 9 3 3 2 2 2" xfId="56093" xr:uid="{00000000-0005-0000-0000-0000E6C90000}"/>
    <cellStyle name="Normal 8 2 9 3 3 2 3" xfId="46526" xr:uid="{00000000-0005-0000-0000-0000E7C90000}"/>
    <cellStyle name="Normal 8 2 9 3 3 2 4" xfId="30426" xr:uid="{00000000-0005-0000-0000-0000E8C90000}"/>
    <cellStyle name="Normal 8 2 9 3 3 2 5" xfId="20857" xr:uid="{00000000-0005-0000-0000-0000E9C90000}"/>
    <cellStyle name="Normal 8 2 9 3 3 3" xfId="11288" xr:uid="{00000000-0005-0000-0000-0000EAC90000}"/>
    <cellStyle name="Normal 8 2 9 3 3 3 2" xfId="49562" xr:uid="{00000000-0005-0000-0000-0000EBC90000}"/>
    <cellStyle name="Normal 8 2 9 3 3 3 3" xfId="33462" xr:uid="{00000000-0005-0000-0000-0000ECC90000}"/>
    <cellStyle name="Normal 8 2 9 3 3 3 4" xfId="23893" xr:uid="{00000000-0005-0000-0000-0000EDC90000}"/>
    <cellStyle name="Normal 8 2 9 3 3 4" xfId="5216" xr:uid="{00000000-0005-0000-0000-0000EEC90000}"/>
    <cellStyle name="Normal 8 2 9 3 3 4 2" xfId="53057" xr:uid="{00000000-0005-0000-0000-0000EFC90000}"/>
    <cellStyle name="Normal 8 2 9 3 3 4 3" xfId="36957" xr:uid="{00000000-0005-0000-0000-0000F0C90000}"/>
    <cellStyle name="Normal 8 2 9 3 3 4 4" xfId="17821" xr:uid="{00000000-0005-0000-0000-0000F1C90000}"/>
    <cellStyle name="Normal 8 2 9 3 3 5" xfId="43490" xr:uid="{00000000-0005-0000-0000-0000F2C90000}"/>
    <cellStyle name="Normal 8 2 9 3 3 6" xfId="27390" xr:uid="{00000000-0005-0000-0000-0000F3C90000}"/>
    <cellStyle name="Normal 8 2 9 3 3 7" xfId="14326" xr:uid="{00000000-0005-0000-0000-0000F4C90000}"/>
    <cellStyle name="Normal 8 2 9 3 4" xfId="7242" xr:uid="{00000000-0005-0000-0000-0000F5C90000}"/>
    <cellStyle name="Normal 8 2 9 3 4 2" xfId="38983" xr:uid="{00000000-0005-0000-0000-0000F6C90000}"/>
    <cellStyle name="Normal 8 2 9 3 4 2 2" xfId="55083" xr:uid="{00000000-0005-0000-0000-0000F7C90000}"/>
    <cellStyle name="Normal 8 2 9 3 4 3" xfId="45516" xr:uid="{00000000-0005-0000-0000-0000F8C90000}"/>
    <cellStyle name="Normal 8 2 9 3 4 4" xfId="29416" xr:uid="{00000000-0005-0000-0000-0000F9C90000}"/>
    <cellStyle name="Normal 8 2 9 3 4 5" xfId="19847" xr:uid="{00000000-0005-0000-0000-0000FAC90000}"/>
    <cellStyle name="Normal 8 2 9 3 5" xfId="10278" xr:uid="{00000000-0005-0000-0000-0000FBC90000}"/>
    <cellStyle name="Normal 8 2 9 3 5 2" xfId="48552" xr:uid="{00000000-0005-0000-0000-0000FCC90000}"/>
    <cellStyle name="Normal 8 2 9 3 5 3" xfId="32452" xr:uid="{00000000-0005-0000-0000-0000FDC90000}"/>
    <cellStyle name="Normal 8 2 9 3 5 4" xfId="22883" xr:uid="{00000000-0005-0000-0000-0000FEC90000}"/>
    <cellStyle name="Normal 8 2 9 3 6" xfId="4206" xr:uid="{00000000-0005-0000-0000-0000FFC90000}"/>
    <cellStyle name="Normal 8 2 9 3 6 2" xfId="52047" xr:uid="{00000000-0005-0000-0000-000000CA0000}"/>
    <cellStyle name="Normal 8 2 9 3 6 3" xfId="35947" xr:uid="{00000000-0005-0000-0000-000001CA0000}"/>
    <cellStyle name="Normal 8 2 9 3 6 4" xfId="16811" xr:uid="{00000000-0005-0000-0000-000002CA0000}"/>
    <cellStyle name="Normal 8 2 9 3 7" xfId="42480" xr:uid="{00000000-0005-0000-0000-000003CA0000}"/>
    <cellStyle name="Normal 8 2 9 3 8" xfId="26380" xr:uid="{00000000-0005-0000-0000-000004CA0000}"/>
    <cellStyle name="Normal 8 2 9 3 9" xfId="13316" xr:uid="{00000000-0005-0000-0000-000005CA0000}"/>
    <cellStyle name="Normal 8 2 9 4" xfId="2508" xr:uid="{00000000-0005-0000-0000-000006CA0000}"/>
    <cellStyle name="Normal 8 2 9 4 2" xfId="9040" xr:uid="{00000000-0005-0000-0000-000007CA0000}"/>
    <cellStyle name="Normal 8 2 9 4 2 2" xfId="40781" xr:uid="{00000000-0005-0000-0000-000008CA0000}"/>
    <cellStyle name="Normal 8 2 9 4 2 2 2" xfId="56881" xr:uid="{00000000-0005-0000-0000-000009CA0000}"/>
    <cellStyle name="Normal 8 2 9 4 2 3" xfId="47314" xr:uid="{00000000-0005-0000-0000-00000ACA0000}"/>
    <cellStyle name="Normal 8 2 9 4 2 4" xfId="31214" xr:uid="{00000000-0005-0000-0000-00000BCA0000}"/>
    <cellStyle name="Normal 8 2 9 4 2 5" xfId="21645" xr:uid="{00000000-0005-0000-0000-00000CCA0000}"/>
    <cellStyle name="Normal 8 2 9 4 3" xfId="12076" xr:uid="{00000000-0005-0000-0000-00000DCA0000}"/>
    <cellStyle name="Normal 8 2 9 4 3 2" xfId="50350" xr:uid="{00000000-0005-0000-0000-00000ECA0000}"/>
    <cellStyle name="Normal 8 2 9 4 3 3" xfId="34250" xr:uid="{00000000-0005-0000-0000-00000FCA0000}"/>
    <cellStyle name="Normal 8 2 9 4 3 4" xfId="24681" xr:uid="{00000000-0005-0000-0000-000010CA0000}"/>
    <cellStyle name="Normal 8 2 9 4 4" xfId="6004" xr:uid="{00000000-0005-0000-0000-000011CA0000}"/>
    <cellStyle name="Normal 8 2 9 4 4 2" xfId="53845" xr:uid="{00000000-0005-0000-0000-000012CA0000}"/>
    <cellStyle name="Normal 8 2 9 4 4 3" xfId="37745" xr:uid="{00000000-0005-0000-0000-000013CA0000}"/>
    <cellStyle name="Normal 8 2 9 4 4 4" xfId="18609" xr:uid="{00000000-0005-0000-0000-000014CA0000}"/>
    <cellStyle name="Normal 8 2 9 4 5" xfId="44278" xr:uid="{00000000-0005-0000-0000-000015CA0000}"/>
    <cellStyle name="Normal 8 2 9 4 6" xfId="28178" xr:uid="{00000000-0005-0000-0000-000016CA0000}"/>
    <cellStyle name="Normal 8 2 9 4 7" xfId="15114" xr:uid="{00000000-0005-0000-0000-000017CA0000}"/>
    <cellStyle name="Normal 8 2 9 5" xfId="1257" xr:uid="{00000000-0005-0000-0000-000018CA0000}"/>
    <cellStyle name="Normal 8 2 9 5 2" xfId="7791" xr:uid="{00000000-0005-0000-0000-000019CA0000}"/>
    <cellStyle name="Normal 8 2 9 5 2 2" xfId="39532" xr:uid="{00000000-0005-0000-0000-00001ACA0000}"/>
    <cellStyle name="Normal 8 2 9 5 2 2 2" xfId="55632" xr:uid="{00000000-0005-0000-0000-00001BCA0000}"/>
    <cellStyle name="Normal 8 2 9 5 2 3" xfId="46065" xr:uid="{00000000-0005-0000-0000-00001CCA0000}"/>
    <cellStyle name="Normal 8 2 9 5 2 4" xfId="29965" xr:uid="{00000000-0005-0000-0000-00001DCA0000}"/>
    <cellStyle name="Normal 8 2 9 5 2 5" xfId="20396" xr:uid="{00000000-0005-0000-0000-00001ECA0000}"/>
    <cellStyle name="Normal 8 2 9 5 3" xfId="10827" xr:uid="{00000000-0005-0000-0000-00001FCA0000}"/>
    <cellStyle name="Normal 8 2 9 5 3 2" xfId="49101" xr:uid="{00000000-0005-0000-0000-000020CA0000}"/>
    <cellStyle name="Normal 8 2 9 5 3 3" xfId="33001" xr:uid="{00000000-0005-0000-0000-000021CA0000}"/>
    <cellStyle name="Normal 8 2 9 5 3 4" xfId="23432" xr:uid="{00000000-0005-0000-0000-000022CA0000}"/>
    <cellStyle name="Normal 8 2 9 5 4" xfId="4755" xr:uid="{00000000-0005-0000-0000-000023CA0000}"/>
    <cellStyle name="Normal 8 2 9 5 4 2" xfId="52596" xr:uid="{00000000-0005-0000-0000-000024CA0000}"/>
    <cellStyle name="Normal 8 2 9 5 4 3" xfId="36496" xr:uid="{00000000-0005-0000-0000-000025CA0000}"/>
    <cellStyle name="Normal 8 2 9 5 4 4" xfId="17360" xr:uid="{00000000-0005-0000-0000-000026CA0000}"/>
    <cellStyle name="Normal 8 2 9 5 5" xfId="43029" xr:uid="{00000000-0005-0000-0000-000027CA0000}"/>
    <cellStyle name="Normal 8 2 9 5 6" xfId="26929" xr:uid="{00000000-0005-0000-0000-000028CA0000}"/>
    <cellStyle name="Normal 8 2 9 5 7" xfId="13865" xr:uid="{00000000-0005-0000-0000-000029CA0000}"/>
    <cellStyle name="Normal 8 2 9 6" xfId="3745" xr:uid="{00000000-0005-0000-0000-00002ACA0000}"/>
    <cellStyle name="Normal 8 2 9 6 2" xfId="35486" xr:uid="{00000000-0005-0000-0000-00002BCA0000}"/>
    <cellStyle name="Normal 8 2 9 6 2 2" xfId="51586" xr:uid="{00000000-0005-0000-0000-00002CCA0000}"/>
    <cellStyle name="Normal 8 2 9 6 3" xfId="42019" xr:uid="{00000000-0005-0000-0000-00002DCA0000}"/>
    <cellStyle name="Normal 8 2 9 6 4" xfId="25919" xr:uid="{00000000-0005-0000-0000-00002ECA0000}"/>
    <cellStyle name="Normal 8 2 9 6 5" xfId="16350" xr:uid="{00000000-0005-0000-0000-00002FCA0000}"/>
    <cellStyle name="Normal 8 2 9 7" xfId="6781" xr:uid="{00000000-0005-0000-0000-000030CA0000}"/>
    <cellStyle name="Normal 8 2 9 7 2" xfId="38522" xr:uid="{00000000-0005-0000-0000-000031CA0000}"/>
    <cellStyle name="Normal 8 2 9 7 2 2" xfId="54622" xr:uid="{00000000-0005-0000-0000-000032CA0000}"/>
    <cellStyle name="Normal 8 2 9 7 3" xfId="45055" xr:uid="{00000000-0005-0000-0000-000033CA0000}"/>
    <cellStyle name="Normal 8 2 9 7 4" xfId="28955" xr:uid="{00000000-0005-0000-0000-000034CA0000}"/>
    <cellStyle name="Normal 8 2 9 7 5" xfId="19386" xr:uid="{00000000-0005-0000-0000-000035CA0000}"/>
    <cellStyle name="Normal 8 2 9 8" xfId="9817" xr:uid="{00000000-0005-0000-0000-000036CA0000}"/>
    <cellStyle name="Normal 8 2 9 8 2" xfId="48091" xr:uid="{00000000-0005-0000-0000-000037CA0000}"/>
    <cellStyle name="Normal 8 2 9 8 3" xfId="31991" xr:uid="{00000000-0005-0000-0000-000038CA0000}"/>
    <cellStyle name="Normal 8 2 9 8 4" xfId="22422" xr:uid="{00000000-0005-0000-0000-000039CA0000}"/>
    <cellStyle name="Normal 8 2 9 9" xfId="3285" xr:uid="{00000000-0005-0000-0000-00003ACA0000}"/>
    <cellStyle name="Normal 8 2 9 9 2" xfId="51127" xr:uid="{00000000-0005-0000-0000-00003BCA0000}"/>
    <cellStyle name="Normal 8 2 9 9 3" xfId="35027" xr:uid="{00000000-0005-0000-0000-00003CCA0000}"/>
    <cellStyle name="Normal 8 2 9 9 4" xfId="15891" xr:uid="{00000000-0005-0000-0000-00003DCA0000}"/>
    <cellStyle name="Normal 8 20" xfId="9617" xr:uid="{00000000-0005-0000-0000-00003ECA0000}"/>
    <cellStyle name="Normal 8 20 2" xfId="47891" xr:uid="{00000000-0005-0000-0000-00003FCA0000}"/>
    <cellStyle name="Normal 8 20 3" xfId="31791" xr:uid="{00000000-0005-0000-0000-000040CA0000}"/>
    <cellStyle name="Normal 8 20 4" xfId="22222" xr:uid="{00000000-0005-0000-0000-000041CA0000}"/>
    <cellStyle name="Normal 8 21" xfId="3085" xr:uid="{00000000-0005-0000-0000-000042CA0000}"/>
    <cellStyle name="Normal 8 21 2" xfId="50927" xr:uid="{00000000-0005-0000-0000-000043CA0000}"/>
    <cellStyle name="Normal 8 21 3" xfId="34827" xr:uid="{00000000-0005-0000-0000-000044CA0000}"/>
    <cellStyle name="Normal 8 21 4" xfId="15691" xr:uid="{00000000-0005-0000-0000-000045CA0000}"/>
    <cellStyle name="Normal 8 22" xfId="41360" xr:uid="{00000000-0005-0000-0000-000046CA0000}"/>
    <cellStyle name="Normal 8 23" xfId="25260" xr:uid="{00000000-0005-0000-0000-000047CA0000}"/>
    <cellStyle name="Normal 8 24" xfId="12655" xr:uid="{00000000-0005-0000-0000-000048CA0000}"/>
    <cellStyle name="Normal 8 3" xfId="62" xr:uid="{00000000-0005-0000-0000-000049CA0000}"/>
    <cellStyle name="Normal 8 3 10" xfId="3563" xr:uid="{00000000-0005-0000-0000-00004ACA0000}"/>
    <cellStyle name="Normal 8 3 10 2" xfId="35304" xr:uid="{00000000-0005-0000-0000-00004BCA0000}"/>
    <cellStyle name="Normal 8 3 10 2 2" xfId="51404" xr:uid="{00000000-0005-0000-0000-00004CCA0000}"/>
    <cellStyle name="Normal 8 3 10 3" xfId="41837" xr:uid="{00000000-0005-0000-0000-00004DCA0000}"/>
    <cellStyle name="Normal 8 3 10 4" xfId="25737" xr:uid="{00000000-0005-0000-0000-00004ECA0000}"/>
    <cellStyle name="Normal 8 3 10 5" xfId="16168" xr:uid="{00000000-0005-0000-0000-00004FCA0000}"/>
    <cellStyle name="Normal 8 3 11" xfId="6599" xr:uid="{00000000-0005-0000-0000-000050CA0000}"/>
    <cellStyle name="Normal 8 3 11 2" xfId="38340" xr:uid="{00000000-0005-0000-0000-000051CA0000}"/>
    <cellStyle name="Normal 8 3 11 2 2" xfId="54440" xr:uid="{00000000-0005-0000-0000-000052CA0000}"/>
    <cellStyle name="Normal 8 3 11 3" xfId="44873" xr:uid="{00000000-0005-0000-0000-000053CA0000}"/>
    <cellStyle name="Normal 8 3 11 4" xfId="28773" xr:uid="{00000000-0005-0000-0000-000054CA0000}"/>
    <cellStyle name="Normal 8 3 11 5" xfId="19204" xr:uid="{00000000-0005-0000-0000-000055CA0000}"/>
    <cellStyle name="Normal 8 3 12" xfId="9635" xr:uid="{00000000-0005-0000-0000-000056CA0000}"/>
    <cellStyle name="Normal 8 3 12 2" xfId="47909" xr:uid="{00000000-0005-0000-0000-000057CA0000}"/>
    <cellStyle name="Normal 8 3 12 3" xfId="31809" xr:uid="{00000000-0005-0000-0000-000058CA0000}"/>
    <cellStyle name="Normal 8 3 12 4" xfId="22240" xr:uid="{00000000-0005-0000-0000-000059CA0000}"/>
    <cellStyle name="Normal 8 3 13" xfId="3103" xr:uid="{00000000-0005-0000-0000-00005ACA0000}"/>
    <cellStyle name="Normal 8 3 13 2" xfId="50945" xr:uid="{00000000-0005-0000-0000-00005BCA0000}"/>
    <cellStyle name="Normal 8 3 13 3" xfId="34845" xr:uid="{00000000-0005-0000-0000-00005CCA0000}"/>
    <cellStyle name="Normal 8 3 13 4" xfId="15709" xr:uid="{00000000-0005-0000-0000-00005DCA0000}"/>
    <cellStyle name="Normal 8 3 14" xfId="41378" xr:uid="{00000000-0005-0000-0000-00005ECA0000}"/>
    <cellStyle name="Normal 8 3 15" xfId="25278" xr:uid="{00000000-0005-0000-0000-00005FCA0000}"/>
    <cellStyle name="Normal 8 3 16" xfId="12673" xr:uid="{00000000-0005-0000-0000-000060CA0000}"/>
    <cellStyle name="Normal 8 3 2" xfId="133" xr:uid="{00000000-0005-0000-0000-000061CA0000}"/>
    <cellStyle name="Normal 8 3 2 10" xfId="9697" xr:uid="{00000000-0005-0000-0000-000062CA0000}"/>
    <cellStyle name="Normal 8 3 2 10 2" xfId="47971" xr:uid="{00000000-0005-0000-0000-000063CA0000}"/>
    <cellStyle name="Normal 8 3 2 10 3" xfId="31871" xr:uid="{00000000-0005-0000-0000-000064CA0000}"/>
    <cellStyle name="Normal 8 3 2 10 4" xfId="22302" xr:uid="{00000000-0005-0000-0000-000065CA0000}"/>
    <cellStyle name="Normal 8 3 2 11" xfId="3165" xr:uid="{00000000-0005-0000-0000-000066CA0000}"/>
    <cellStyle name="Normal 8 3 2 11 2" xfId="51007" xr:uid="{00000000-0005-0000-0000-000067CA0000}"/>
    <cellStyle name="Normal 8 3 2 11 3" xfId="34907" xr:uid="{00000000-0005-0000-0000-000068CA0000}"/>
    <cellStyle name="Normal 8 3 2 11 4" xfId="15771" xr:uid="{00000000-0005-0000-0000-000069CA0000}"/>
    <cellStyle name="Normal 8 3 2 12" xfId="41440" xr:uid="{00000000-0005-0000-0000-00006ACA0000}"/>
    <cellStyle name="Normal 8 3 2 13" xfId="25340" xr:uid="{00000000-0005-0000-0000-00006BCA0000}"/>
    <cellStyle name="Normal 8 3 2 14" xfId="12735" xr:uid="{00000000-0005-0000-0000-00006CCA0000}"/>
    <cellStyle name="Normal 8 3 2 2" xfId="208" xr:uid="{00000000-0005-0000-0000-00006DCA0000}"/>
    <cellStyle name="Normal 8 3 2 2 10" xfId="41677" xr:uid="{00000000-0005-0000-0000-00006ECA0000}"/>
    <cellStyle name="Normal 8 3 2 2 11" xfId="25577" xr:uid="{00000000-0005-0000-0000-00006FCA0000}"/>
    <cellStyle name="Normal 8 3 2 2 12" xfId="13037" xr:uid="{00000000-0005-0000-0000-000070CA0000}"/>
    <cellStyle name="Normal 8 3 2 2 2" xfId="385" xr:uid="{00000000-0005-0000-0000-000071CA0000}"/>
    <cellStyle name="Normal 8 3 2 2 2 2" xfId="2404" xr:uid="{00000000-0005-0000-0000-000072CA0000}"/>
    <cellStyle name="Normal 8 3 2 2 2 2 2" xfId="8938" xr:uid="{00000000-0005-0000-0000-000073CA0000}"/>
    <cellStyle name="Normal 8 3 2 2 2 2 2 2" xfId="40679" xr:uid="{00000000-0005-0000-0000-000074CA0000}"/>
    <cellStyle name="Normal 8 3 2 2 2 2 2 2 2" xfId="56779" xr:uid="{00000000-0005-0000-0000-000075CA0000}"/>
    <cellStyle name="Normal 8 3 2 2 2 2 2 3" xfId="47212" xr:uid="{00000000-0005-0000-0000-000076CA0000}"/>
    <cellStyle name="Normal 8 3 2 2 2 2 2 4" xfId="31112" xr:uid="{00000000-0005-0000-0000-000077CA0000}"/>
    <cellStyle name="Normal 8 3 2 2 2 2 2 5" xfId="21543" xr:uid="{00000000-0005-0000-0000-000078CA0000}"/>
    <cellStyle name="Normal 8 3 2 2 2 2 3" xfId="11974" xr:uid="{00000000-0005-0000-0000-000079CA0000}"/>
    <cellStyle name="Normal 8 3 2 2 2 2 3 2" xfId="50248" xr:uid="{00000000-0005-0000-0000-00007ACA0000}"/>
    <cellStyle name="Normal 8 3 2 2 2 2 3 3" xfId="34148" xr:uid="{00000000-0005-0000-0000-00007BCA0000}"/>
    <cellStyle name="Normal 8 3 2 2 2 2 3 4" xfId="24579" xr:uid="{00000000-0005-0000-0000-00007CCA0000}"/>
    <cellStyle name="Normal 8 3 2 2 2 2 4" xfId="5902" xr:uid="{00000000-0005-0000-0000-00007DCA0000}"/>
    <cellStyle name="Normal 8 3 2 2 2 2 4 2" xfId="53743" xr:uid="{00000000-0005-0000-0000-00007ECA0000}"/>
    <cellStyle name="Normal 8 3 2 2 2 2 4 3" xfId="37643" xr:uid="{00000000-0005-0000-0000-00007FCA0000}"/>
    <cellStyle name="Normal 8 3 2 2 2 2 4 4" xfId="18507" xr:uid="{00000000-0005-0000-0000-000080CA0000}"/>
    <cellStyle name="Normal 8 3 2 2 2 2 5" xfId="44176" xr:uid="{00000000-0005-0000-0000-000081CA0000}"/>
    <cellStyle name="Normal 8 3 2 2 2 2 6" xfId="28076" xr:uid="{00000000-0005-0000-0000-000082CA0000}"/>
    <cellStyle name="Normal 8 3 2 2 2 2 7" xfId="15012" xr:uid="{00000000-0005-0000-0000-000083CA0000}"/>
    <cellStyle name="Normal 8 3 2 2 2 3" xfId="1616" xr:uid="{00000000-0005-0000-0000-000084CA0000}"/>
    <cellStyle name="Normal 8 3 2 2 2 3 2" xfId="8150" xr:uid="{00000000-0005-0000-0000-000085CA0000}"/>
    <cellStyle name="Normal 8 3 2 2 2 3 2 2" xfId="39891" xr:uid="{00000000-0005-0000-0000-000086CA0000}"/>
    <cellStyle name="Normal 8 3 2 2 2 3 2 2 2" xfId="55991" xr:uid="{00000000-0005-0000-0000-000087CA0000}"/>
    <cellStyle name="Normal 8 3 2 2 2 3 2 3" xfId="46424" xr:uid="{00000000-0005-0000-0000-000088CA0000}"/>
    <cellStyle name="Normal 8 3 2 2 2 3 2 4" xfId="30324" xr:uid="{00000000-0005-0000-0000-000089CA0000}"/>
    <cellStyle name="Normal 8 3 2 2 2 3 2 5" xfId="20755" xr:uid="{00000000-0005-0000-0000-00008ACA0000}"/>
    <cellStyle name="Normal 8 3 2 2 2 3 3" xfId="11186" xr:uid="{00000000-0005-0000-0000-00008BCA0000}"/>
    <cellStyle name="Normal 8 3 2 2 2 3 3 2" xfId="49460" xr:uid="{00000000-0005-0000-0000-00008CCA0000}"/>
    <cellStyle name="Normal 8 3 2 2 2 3 3 3" xfId="33360" xr:uid="{00000000-0005-0000-0000-00008DCA0000}"/>
    <cellStyle name="Normal 8 3 2 2 2 3 3 4" xfId="23791" xr:uid="{00000000-0005-0000-0000-00008ECA0000}"/>
    <cellStyle name="Normal 8 3 2 2 2 3 4" xfId="5114" xr:uid="{00000000-0005-0000-0000-00008FCA0000}"/>
    <cellStyle name="Normal 8 3 2 2 2 3 4 2" xfId="52955" xr:uid="{00000000-0005-0000-0000-000090CA0000}"/>
    <cellStyle name="Normal 8 3 2 2 2 3 4 3" xfId="36855" xr:uid="{00000000-0005-0000-0000-000091CA0000}"/>
    <cellStyle name="Normal 8 3 2 2 2 3 4 4" xfId="17719" xr:uid="{00000000-0005-0000-0000-000092CA0000}"/>
    <cellStyle name="Normal 8 3 2 2 2 3 5" xfId="43388" xr:uid="{00000000-0005-0000-0000-000093CA0000}"/>
    <cellStyle name="Normal 8 3 2 2 2 3 6" xfId="27288" xr:uid="{00000000-0005-0000-0000-000094CA0000}"/>
    <cellStyle name="Normal 8 3 2 2 2 3 7" xfId="14224" xr:uid="{00000000-0005-0000-0000-000095CA0000}"/>
    <cellStyle name="Normal 8 3 2 2 2 4" xfId="7140" xr:uid="{00000000-0005-0000-0000-000096CA0000}"/>
    <cellStyle name="Normal 8 3 2 2 2 4 2" xfId="38881" xr:uid="{00000000-0005-0000-0000-000097CA0000}"/>
    <cellStyle name="Normal 8 3 2 2 2 4 2 2" xfId="54981" xr:uid="{00000000-0005-0000-0000-000098CA0000}"/>
    <cellStyle name="Normal 8 3 2 2 2 4 3" xfId="45414" xr:uid="{00000000-0005-0000-0000-000099CA0000}"/>
    <cellStyle name="Normal 8 3 2 2 2 4 4" xfId="29314" xr:uid="{00000000-0005-0000-0000-00009ACA0000}"/>
    <cellStyle name="Normal 8 3 2 2 2 4 5" xfId="19745" xr:uid="{00000000-0005-0000-0000-00009BCA0000}"/>
    <cellStyle name="Normal 8 3 2 2 2 5" xfId="10176" xr:uid="{00000000-0005-0000-0000-00009CCA0000}"/>
    <cellStyle name="Normal 8 3 2 2 2 5 2" xfId="48450" xr:uid="{00000000-0005-0000-0000-00009DCA0000}"/>
    <cellStyle name="Normal 8 3 2 2 2 5 3" xfId="32350" xr:uid="{00000000-0005-0000-0000-00009ECA0000}"/>
    <cellStyle name="Normal 8 3 2 2 2 5 4" xfId="22781" xr:uid="{00000000-0005-0000-0000-00009FCA0000}"/>
    <cellStyle name="Normal 8 3 2 2 2 6" xfId="4104" xr:uid="{00000000-0005-0000-0000-0000A0CA0000}"/>
    <cellStyle name="Normal 8 3 2 2 2 6 2" xfId="51945" xr:uid="{00000000-0005-0000-0000-0000A1CA0000}"/>
    <cellStyle name="Normal 8 3 2 2 2 6 3" xfId="35845" xr:uid="{00000000-0005-0000-0000-0000A2CA0000}"/>
    <cellStyle name="Normal 8 3 2 2 2 6 4" xfId="16709" xr:uid="{00000000-0005-0000-0000-0000A3CA0000}"/>
    <cellStyle name="Normal 8 3 2 2 2 7" xfId="42378" xr:uid="{00000000-0005-0000-0000-0000A4CA0000}"/>
    <cellStyle name="Normal 8 3 2 2 2 8" xfId="26278" xr:uid="{00000000-0005-0000-0000-0000A5CA0000}"/>
    <cellStyle name="Normal 8 3 2 2 2 9" xfId="13214" xr:uid="{00000000-0005-0000-0000-0000A6CA0000}"/>
    <cellStyle name="Normal 8 3 2 2 3" xfId="1023" xr:uid="{00000000-0005-0000-0000-0000A7CA0000}"/>
    <cellStyle name="Normal 8 3 2 2 3 2" xfId="3051" xr:uid="{00000000-0005-0000-0000-0000A8CA0000}"/>
    <cellStyle name="Normal 8 3 2 2 3 2 2" xfId="9583" xr:uid="{00000000-0005-0000-0000-0000A9CA0000}"/>
    <cellStyle name="Normal 8 3 2 2 3 2 2 2" xfId="41324" xr:uid="{00000000-0005-0000-0000-0000AACA0000}"/>
    <cellStyle name="Normal 8 3 2 2 3 2 2 2 2" xfId="57424" xr:uid="{00000000-0005-0000-0000-0000ABCA0000}"/>
    <cellStyle name="Normal 8 3 2 2 3 2 2 3" xfId="47857" xr:uid="{00000000-0005-0000-0000-0000ACCA0000}"/>
    <cellStyle name="Normal 8 3 2 2 3 2 2 4" xfId="31757" xr:uid="{00000000-0005-0000-0000-0000ADCA0000}"/>
    <cellStyle name="Normal 8 3 2 2 3 2 2 5" xfId="22188" xr:uid="{00000000-0005-0000-0000-0000AECA0000}"/>
    <cellStyle name="Normal 8 3 2 2 3 2 3" xfId="12619" xr:uid="{00000000-0005-0000-0000-0000AFCA0000}"/>
    <cellStyle name="Normal 8 3 2 2 3 2 3 2" xfId="50893" xr:uid="{00000000-0005-0000-0000-0000B0CA0000}"/>
    <cellStyle name="Normal 8 3 2 2 3 2 3 3" xfId="34793" xr:uid="{00000000-0005-0000-0000-0000B1CA0000}"/>
    <cellStyle name="Normal 8 3 2 2 3 2 3 4" xfId="25224" xr:uid="{00000000-0005-0000-0000-0000B2CA0000}"/>
    <cellStyle name="Normal 8 3 2 2 3 2 4" xfId="6547" xr:uid="{00000000-0005-0000-0000-0000B3CA0000}"/>
    <cellStyle name="Normal 8 3 2 2 3 2 4 2" xfId="54388" xr:uid="{00000000-0005-0000-0000-0000B4CA0000}"/>
    <cellStyle name="Normal 8 3 2 2 3 2 4 3" xfId="38288" xr:uid="{00000000-0005-0000-0000-0000B5CA0000}"/>
    <cellStyle name="Normal 8 3 2 2 3 2 4 4" xfId="19152" xr:uid="{00000000-0005-0000-0000-0000B6CA0000}"/>
    <cellStyle name="Normal 8 3 2 2 3 2 5" xfId="44821" xr:uid="{00000000-0005-0000-0000-0000B7CA0000}"/>
    <cellStyle name="Normal 8 3 2 2 3 2 6" xfId="28721" xr:uid="{00000000-0005-0000-0000-0000B8CA0000}"/>
    <cellStyle name="Normal 8 3 2 2 3 2 7" xfId="15657" xr:uid="{00000000-0005-0000-0000-0000B9CA0000}"/>
    <cellStyle name="Normal 8 3 2 2 3 3" xfId="2033" xr:uid="{00000000-0005-0000-0000-0000BACA0000}"/>
    <cellStyle name="Normal 8 3 2 2 3 3 2" xfId="8567" xr:uid="{00000000-0005-0000-0000-0000BBCA0000}"/>
    <cellStyle name="Normal 8 3 2 2 3 3 2 2" xfId="40308" xr:uid="{00000000-0005-0000-0000-0000BCCA0000}"/>
    <cellStyle name="Normal 8 3 2 2 3 3 2 2 2" xfId="56408" xr:uid="{00000000-0005-0000-0000-0000BDCA0000}"/>
    <cellStyle name="Normal 8 3 2 2 3 3 2 3" xfId="46841" xr:uid="{00000000-0005-0000-0000-0000BECA0000}"/>
    <cellStyle name="Normal 8 3 2 2 3 3 2 4" xfId="30741" xr:uid="{00000000-0005-0000-0000-0000BFCA0000}"/>
    <cellStyle name="Normal 8 3 2 2 3 3 2 5" xfId="21172" xr:uid="{00000000-0005-0000-0000-0000C0CA0000}"/>
    <cellStyle name="Normal 8 3 2 2 3 3 3" xfId="11603" xr:uid="{00000000-0005-0000-0000-0000C1CA0000}"/>
    <cellStyle name="Normal 8 3 2 2 3 3 3 2" xfId="49877" xr:uid="{00000000-0005-0000-0000-0000C2CA0000}"/>
    <cellStyle name="Normal 8 3 2 2 3 3 3 3" xfId="33777" xr:uid="{00000000-0005-0000-0000-0000C3CA0000}"/>
    <cellStyle name="Normal 8 3 2 2 3 3 3 4" xfId="24208" xr:uid="{00000000-0005-0000-0000-0000C4CA0000}"/>
    <cellStyle name="Normal 8 3 2 2 3 3 4" xfId="5531" xr:uid="{00000000-0005-0000-0000-0000C5CA0000}"/>
    <cellStyle name="Normal 8 3 2 2 3 3 4 2" xfId="53372" xr:uid="{00000000-0005-0000-0000-0000C6CA0000}"/>
    <cellStyle name="Normal 8 3 2 2 3 3 4 3" xfId="37272" xr:uid="{00000000-0005-0000-0000-0000C7CA0000}"/>
    <cellStyle name="Normal 8 3 2 2 3 3 4 4" xfId="18136" xr:uid="{00000000-0005-0000-0000-0000C8CA0000}"/>
    <cellStyle name="Normal 8 3 2 2 3 3 5" xfId="43805" xr:uid="{00000000-0005-0000-0000-0000C9CA0000}"/>
    <cellStyle name="Normal 8 3 2 2 3 3 6" xfId="27705" xr:uid="{00000000-0005-0000-0000-0000CACA0000}"/>
    <cellStyle name="Normal 8 3 2 2 3 3 7" xfId="14641" xr:uid="{00000000-0005-0000-0000-0000CBCA0000}"/>
    <cellStyle name="Normal 8 3 2 2 3 4" xfId="7557" xr:uid="{00000000-0005-0000-0000-0000CCCA0000}"/>
    <cellStyle name="Normal 8 3 2 2 3 4 2" xfId="39298" xr:uid="{00000000-0005-0000-0000-0000CDCA0000}"/>
    <cellStyle name="Normal 8 3 2 2 3 4 2 2" xfId="55398" xr:uid="{00000000-0005-0000-0000-0000CECA0000}"/>
    <cellStyle name="Normal 8 3 2 2 3 4 3" xfId="45831" xr:uid="{00000000-0005-0000-0000-0000CFCA0000}"/>
    <cellStyle name="Normal 8 3 2 2 3 4 4" xfId="29731" xr:uid="{00000000-0005-0000-0000-0000D0CA0000}"/>
    <cellStyle name="Normal 8 3 2 2 3 4 5" xfId="20162" xr:uid="{00000000-0005-0000-0000-0000D1CA0000}"/>
    <cellStyle name="Normal 8 3 2 2 3 5" xfId="10593" xr:uid="{00000000-0005-0000-0000-0000D2CA0000}"/>
    <cellStyle name="Normal 8 3 2 2 3 5 2" xfId="48867" xr:uid="{00000000-0005-0000-0000-0000D3CA0000}"/>
    <cellStyle name="Normal 8 3 2 2 3 5 3" xfId="32767" xr:uid="{00000000-0005-0000-0000-0000D4CA0000}"/>
    <cellStyle name="Normal 8 3 2 2 3 5 4" xfId="23198" xr:uid="{00000000-0005-0000-0000-0000D5CA0000}"/>
    <cellStyle name="Normal 8 3 2 2 3 6" xfId="4521" xr:uid="{00000000-0005-0000-0000-0000D6CA0000}"/>
    <cellStyle name="Normal 8 3 2 2 3 6 2" xfId="52362" xr:uid="{00000000-0005-0000-0000-0000D7CA0000}"/>
    <cellStyle name="Normal 8 3 2 2 3 6 3" xfId="36262" xr:uid="{00000000-0005-0000-0000-0000D8CA0000}"/>
    <cellStyle name="Normal 8 3 2 2 3 6 4" xfId="17126" xr:uid="{00000000-0005-0000-0000-0000D9CA0000}"/>
    <cellStyle name="Normal 8 3 2 2 3 7" xfId="42795" xr:uid="{00000000-0005-0000-0000-0000DACA0000}"/>
    <cellStyle name="Normal 8 3 2 2 3 8" xfId="26695" xr:uid="{00000000-0005-0000-0000-0000DBCA0000}"/>
    <cellStyle name="Normal 8 3 2 2 3 9" xfId="13631" xr:uid="{00000000-0005-0000-0000-0000DCCA0000}"/>
    <cellStyle name="Normal 8 3 2 2 4" xfId="2227" xr:uid="{00000000-0005-0000-0000-0000DDCA0000}"/>
    <cellStyle name="Normal 8 3 2 2 4 2" xfId="8761" xr:uid="{00000000-0005-0000-0000-0000DECA0000}"/>
    <cellStyle name="Normal 8 3 2 2 4 2 2" xfId="40502" xr:uid="{00000000-0005-0000-0000-0000DFCA0000}"/>
    <cellStyle name="Normal 8 3 2 2 4 2 2 2" xfId="56602" xr:uid="{00000000-0005-0000-0000-0000E0CA0000}"/>
    <cellStyle name="Normal 8 3 2 2 4 2 3" xfId="47035" xr:uid="{00000000-0005-0000-0000-0000E1CA0000}"/>
    <cellStyle name="Normal 8 3 2 2 4 2 4" xfId="30935" xr:uid="{00000000-0005-0000-0000-0000E2CA0000}"/>
    <cellStyle name="Normal 8 3 2 2 4 2 5" xfId="21366" xr:uid="{00000000-0005-0000-0000-0000E3CA0000}"/>
    <cellStyle name="Normal 8 3 2 2 4 3" xfId="11797" xr:uid="{00000000-0005-0000-0000-0000E4CA0000}"/>
    <cellStyle name="Normal 8 3 2 2 4 3 2" xfId="50071" xr:uid="{00000000-0005-0000-0000-0000E5CA0000}"/>
    <cellStyle name="Normal 8 3 2 2 4 3 3" xfId="33971" xr:uid="{00000000-0005-0000-0000-0000E6CA0000}"/>
    <cellStyle name="Normal 8 3 2 2 4 3 4" xfId="24402" xr:uid="{00000000-0005-0000-0000-0000E7CA0000}"/>
    <cellStyle name="Normal 8 3 2 2 4 4" xfId="5725" xr:uid="{00000000-0005-0000-0000-0000E8CA0000}"/>
    <cellStyle name="Normal 8 3 2 2 4 4 2" xfId="53566" xr:uid="{00000000-0005-0000-0000-0000E9CA0000}"/>
    <cellStyle name="Normal 8 3 2 2 4 4 3" xfId="37466" xr:uid="{00000000-0005-0000-0000-0000EACA0000}"/>
    <cellStyle name="Normal 8 3 2 2 4 4 4" xfId="18330" xr:uid="{00000000-0005-0000-0000-0000EBCA0000}"/>
    <cellStyle name="Normal 8 3 2 2 4 5" xfId="43999" xr:uid="{00000000-0005-0000-0000-0000ECCA0000}"/>
    <cellStyle name="Normal 8 3 2 2 4 6" xfId="27899" xr:uid="{00000000-0005-0000-0000-0000EDCA0000}"/>
    <cellStyle name="Normal 8 3 2 2 4 7" xfId="14835" xr:uid="{00000000-0005-0000-0000-0000EECA0000}"/>
    <cellStyle name="Normal 8 3 2 2 5" xfId="1439" xr:uid="{00000000-0005-0000-0000-0000EFCA0000}"/>
    <cellStyle name="Normal 8 3 2 2 5 2" xfId="7973" xr:uid="{00000000-0005-0000-0000-0000F0CA0000}"/>
    <cellStyle name="Normal 8 3 2 2 5 2 2" xfId="39714" xr:uid="{00000000-0005-0000-0000-0000F1CA0000}"/>
    <cellStyle name="Normal 8 3 2 2 5 2 2 2" xfId="55814" xr:uid="{00000000-0005-0000-0000-0000F2CA0000}"/>
    <cellStyle name="Normal 8 3 2 2 5 2 3" xfId="46247" xr:uid="{00000000-0005-0000-0000-0000F3CA0000}"/>
    <cellStyle name="Normal 8 3 2 2 5 2 4" xfId="30147" xr:uid="{00000000-0005-0000-0000-0000F4CA0000}"/>
    <cellStyle name="Normal 8 3 2 2 5 2 5" xfId="20578" xr:uid="{00000000-0005-0000-0000-0000F5CA0000}"/>
    <cellStyle name="Normal 8 3 2 2 5 3" xfId="11009" xr:uid="{00000000-0005-0000-0000-0000F6CA0000}"/>
    <cellStyle name="Normal 8 3 2 2 5 3 2" xfId="49283" xr:uid="{00000000-0005-0000-0000-0000F7CA0000}"/>
    <cellStyle name="Normal 8 3 2 2 5 3 3" xfId="33183" xr:uid="{00000000-0005-0000-0000-0000F8CA0000}"/>
    <cellStyle name="Normal 8 3 2 2 5 3 4" xfId="23614" xr:uid="{00000000-0005-0000-0000-0000F9CA0000}"/>
    <cellStyle name="Normal 8 3 2 2 5 4" xfId="4937" xr:uid="{00000000-0005-0000-0000-0000FACA0000}"/>
    <cellStyle name="Normal 8 3 2 2 5 4 2" xfId="52778" xr:uid="{00000000-0005-0000-0000-0000FBCA0000}"/>
    <cellStyle name="Normal 8 3 2 2 5 4 3" xfId="36678" xr:uid="{00000000-0005-0000-0000-0000FCCA0000}"/>
    <cellStyle name="Normal 8 3 2 2 5 4 4" xfId="17542" xr:uid="{00000000-0005-0000-0000-0000FDCA0000}"/>
    <cellStyle name="Normal 8 3 2 2 5 5" xfId="43211" xr:uid="{00000000-0005-0000-0000-0000FECA0000}"/>
    <cellStyle name="Normal 8 3 2 2 5 6" xfId="27111" xr:uid="{00000000-0005-0000-0000-0000FFCA0000}"/>
    <cellStyle name="Normal 8 3 2 2 5 7" xfId="14047" xr:uid="{00000000-0005-0000-0000-000000CB0000}"/>
    <cellStyle name="Normal 8 3 2 2 6" xfId="3927" xr:uid="{00000000-0005-0000-0000-000001CB0000}"/>
    <cellStyle name="Normal 8 3 2 2 6 2" xfId="35668" xr:uid="{00000000-0005-0000-0000-000002CB0000}"/>
    <cellStyle name="Normal 8 3 2 2 6 2 2" xfId="51768" xr:uid="{00000000-0005-0000-0000-000003CB0000}"/>
    <cellStyle name="Normal 8 3 2 2 6 3" xfId="42201" xr:uid="{00000000-0005-0000-0000-000004CB0000}"/>
    <cellStyle name="Normal 8 3 2 2 6 4" xfId="26101" xr:uid="{00000000-0005-0000-0000-000005CB0000}"/>
    <cellStyle name="Normal 8 3 2 2 6 5" xfId="16532" xr:uid="{00000000-0005-0000-0000-000006CB0000}"/>
    <cellStyle name="Normal 8 3 2 2 7" xfId="6963" xr:uid="{00000000-0005-0000-0000-000007CB0000}"/>
    <cellStyle name="Normal 8 3 2 2 7 2" xfId="38704" xr:uid="{00000000-0005-0000-0000-000008CB0000}"/>
    <cellStyle name="Normal 8 3 2 2 7 2 2" xfId="54804" xr:uid="{00000000-0005-0000-0000-000009CB0000}"/>
    <cellStyle name="Normal 8 3 2 2 7 3" xfId="45237" xr:uid="{00000000-0005-0000-0000-00000ACB0000}"/>
    <cellStyle name="Normal 8 3 2 2 7 4" xfId="29137" xr:uid="{00000000-0005-0000-0000-00000BCB0000}"/>
    <cellStyle name="Normal 8 3 2 2 7 5" xfId="19568" xr:uid="{00000000-0005-0000-0000-00000CCB0000}"/>
    <cellStyle name="Normal 8 3 2 2 8" xfId="9999" xr:uid="{00000000-0005-0000-0000-00000DCB0000}"/>
    <cellStyle name="Normal 8 3 2 2 8 2" xfId="48273" xr:uid="{00000000-0005-0000-0000-00000ECB0000}"/>
    <cellStyle name="Normal 8 3 2 2 8 3" xfId="32173" xr:uid="{00000000-0005-0000-0000-00000FCB0000}"/>
    <cellStyle name="Normal 8 3 2 2 8 4" xfId="22604" xr:uid="{00000000-0005-0000-0000-000010CB0000}"/>
    <cellStyle name="Normal 8 3 2 2 9" xfId="3403" xr:uid="{00000000-0005-0000-0000-000011CB0000}"/>
    <cellStyle name="Normal 8 3 2 2 9 2" xfId="51244" xr:uid="{00000000-0005-0000-0000-000012CB0000}"/>
    <cellStyle name="Normal 8 3 2 2 9 3" xfId="35144" xr:uid="{00000000-0005-0000-0000-000013CB0000}"/>
    <cellStyle name="Normal 8 3 2 2 9 4" xfId="16008" xr:uid="{00000000-0005-0000-0000-000014CB0000}"/>
    <cellStyle name="Normal 8 3 2 3" xfId="314" xr:uid="{00000000-0005-0000-0000-000015CB0000}"/>
    <cellStyle name="Normal 8 3 2 3 2" xfId="2333" xr:uid="{00000000-0005-0000-0000-000016CB0000}"/>
    <cellStyle name="Normal 8 3 2 3 2 2" xfId="8867" xr:uid="{00000000-0005-0000-0000-000017CB0000}"/>
    <cellStyle name="Normal 8 3 2 3 2 2 2" xfId="40608" xr:uid="{00000000-0005-0000-0000-000018CB0000}"/>
    <cellStyle name="Normal 8 3 2 3 2 2 2 2" xfId="56708" xr:uid="{00000000-0005-0000-0000-000019CB0000}"/>
    <cellStyle name="Normal 8 3 2 3 2 2 3" xfId="47141" xr:uid="{00000000-0005-0000-0000-00001ACB0000}"/>
    <cellStyle name="Normal 8 3 2 3 2 2 4" xfId="31041" xr:uid="{00000000-0005-0000-0000-00001BCB0000}"/>
    <cellStyle name="Normal 8 3 2 3 2 2 5" xfId="21472" xr:uid="{00000000-0005-0000-0000-00001CCB0000}"/>
    <cellStyle name="Normal 8 3 2 3 2 3" xfId="11903" xr:uid="{00000000-0005-0000-0000-00001DCB0000}"/>
    <cellStyle name="Normal 8 3 2 3 2 3 2" xfId="50177" xr:uid="{00000000-0005-0000-0000-00001ECB0000}"/>
    <cellStyle name="Normal 8 3 2 3 2 3 3" xfId="34077" xr:uid="{00000000-0005-0000-0000-00001FCB0000}"/>
    <cellStyle name="Normal 8 3 2 3 2 3 4" xfId="24508" xr:uid="{00000000-0005-0000-0000-000020CB0000}"/>
    <cellStyle name="Normal 8 3 2 3 2 4" xfId="5831" xr:uid="{00000000-0005-0000-0000-000021CB0000}"/>
    <cellStyle name="Normal 8 3 2 3 2 4 2" xfId="53672" xr:uid="{00000000-0005-0000-0000-000022CB0000}"/>
    <cellStyle name="Normal 8 3 2 3 2 4 3" xfId="37572" xr:uid="{00000000-0005-0000-0000-000023CB0000}"/>
    <cellStyle name="Normal 8 3 2 3 2 4 4" xfId="18436" xr:uid="{00000000-0005-0000-0000-000024CB0000}"/>
    <cellStyle name="Normal 8 3 2 3 2 5" xfId="44105" xr:uid="{00000000-0005-0000-0000-000025CB0000}"/>
    <cellStyle name="Normal 8 3 2 3 2 6" xfId="28005" xr:uid="{00000000-0005-0000-0000-000026CB0000}"/>
    <cellStyle name="Normal 8 3 2 3 2 7" xfId="14941" xr:uid="{00000000-0005-0000-0000-000027CB0000}"/>
    <cellStyle name="Normal 8 3 2 3 3" xfId="1545" xr:uid="{00000000-0005-0000-0000-000028CB0000}"/>
    <cellStyle name="Normal 8 3 2 3 3 2" xfId="8079" xr:uid="{00000000-0005-0000-0000-000029CB0000}"/>
    <cellStyle name="Normal 8 3 2 3 3 2 2" xfId="39820" xr:uid="{00000000-0005-0000-0000-00002ACB0000}"/>
    <cellStyle name="Normal 8 3 2 3 3 2 2 2" xfId="55920" xr:uid="{00000000-0005-0000-0000-00002BCB0000}"/>
    <cellStyle name="Normal 8 3 2 3 3 2 3" xfId="46353" xr:uid="{00000000-0005-0000-0000-00002CCB0000}"/>
    <cellStyle name="Normal 8 3 2 3 3 2 4" xfId="30253" xr:uid="{00000000-0005-0000-0000-00002DCB0000}"/>
    <cellStyle name="Normal 8 3 2 3 3 2 5" xfId="20684" xr:uid="{00000000-0005-0000-0000-00002ECB0000}"/>
    <cellStyle name="Normal 8 3 2 3 3 3" xfId="11115" xr:uid="{00000000-0005-0000-0000-00002FCB0000}"/>
    <cellStyle name="Normal 8 3 2 3 3 3 2" xfId="49389" xr:uid="{00000000-0005-0000-0000-000030CB0000}"/>
    <cellStyle name="Normal 8 3 2 3 3 3 3" xfId="33289" xr:uid="{00000000-0005-0000-0000-000031CB0000}"/>
    <cellStyle name="Normal 8 3 2 3 3 3 4" xfId="23720" xr:uid="{00000000-0005-0000-0000-000032CB0000}"/>
    <cellStyle name="Normal 8 3 2 3 3 4" xfId="5043" xr:uid="{00000000-0005-0000-0000-000033CB0000}"/>
    <cellStyle name="Normal 8 3 2 3 3 4 2" xfId="52884" xr:uid="{00000000-0005-0000-0000-000034CB0000}"/>
    <cellStyle name="Normal 8 3 2 3 3 4 3" xfId="36784" xr:uid="{00000000-0005-0000-0000-000035CB0000}"/>
    <cellStyle name="Normal 8 3 2 3 3 4 4" xfId="17648" xr:uid="{00000000-0005-0000-0000-000036CB0000}"/>
    <cellStyle name="Normal 8 3 2 3 3 5" xfId="43317" xr:uid="{00000000-0005-0000-0000-000037CB0000}"/>
    <cellStyle name="Normal 8 3 2 3 3 6" xfId="27217" xr:uid="{00000000-0005-0000-0000-000038CB0000}"/>
    <cellStyle name="Normal 8 3 2 3 3 7" xfId="14153" xr:uid="{00000000-0005-0000-0000-000039CB0000}"/>
    <cellStyle name="Normal 8 3 2 3 4" xfId="7069" xr:uid="{00000000-0005-0000-0000-00003ACB0000}"/>
    <cellStyle name="Normal 8 3 2 3 4 2" xfId="38810" xr:uid="{00000000-0005-0000-0000-00003BCB0000}"/>
    <cellStyle name="Normal 8 3 2 3 4 2 2" xfId="54910" xr:uid="{00000000-0005-0000-0000-00003CCB0000}"/>
    <cellStyle name="Normal 8 3 2 3 4 3" xfId="45343" xr:uid="{00000000-0005-0000-0000-00003DCB0000}"/>
    <cellStyle name="Normal 8 3 2 3 4 4" xfId="29243" xr:uid="{00000000-0005-0000-0000-00003ECB0000}"/>
    <cellStyle name="Normal 8 3 2 3 4 5" xfId="19674" xr:uid="{00000000-0005-0000-0000-00003FCB0000}"/>
    <cellStyle name="Normal 8 3 2 3 5" xfId="10105" xr:uid="{00000000-0005-0000-0000-000040CB0000}"/>
    <cellStyle name="Normal 8 3 2 3 5 2" xfId="48379" xr:uid="{00000000-0005-0000-0000-000041CB0000}"/>
    <cellStyle name="Normal 8 3 2 3 5 3" xfId="32279" xr:uid="{00000000-0005-0000-0000-000042CB0000}"/>
    <cellStyle name="Normal 8 3 2 3 5 4" xfId="22710" xr:uid="{00000000-0005-0000-0000-000043CB0000}"/>
    <cellStyle name="Normal 8 3 2 3 6" xfId="4033" xr:uid="{00000000-0005-0000-0000-000044CB0000}"/>
    <cellStyle name="Normal 8 3 2 3 6 2" xfId="51874" xr:uid="{00000000-0005-0000-0000-000045CB0000}"/>
    <cellStyle name="Normal 8 3 2 3 6 3" xfId="35774" xr:uid="{00000000-0005-0000-0000-000046CB0000}"/>
    <cellStyle name="Normal 8 3 2 3 6 4" xfId="16638" xr:uid="{00000000-0005-0000-0000-000047CB0000}"/>
    <cellStyle name="Normal 8 3 2 3 7" xfId="42307" xr:uid="{00000000-0005-0000-0000-000048CB0000}"/>
    <cellStyle name="Normal 8 3 2 3 8" xfId="26207" xr:uid="{00000000-0005-0000-0000-000049CB0000}"/>
    <cellStyle name="Normal 8 3 2 3 9" xfId="13143" xr:uid="{00000000-0005-0000-0000-00004ACB0000}"/>
    <cellStyle name="Normal 8 3 2 4" xfId="571" xr:uid="{00000000-0005-0000-0000-00004BCB0000}"/>
    <cellStyle name="Normal 8 3 2 4 2" xfId="2600" xr:uid="{00000000-0005-0000-0000-00004CCB0000}"/>
    <cellStyle name="Normal 8 3 2 4 2 2" xfId="9132" xr:uid="{00000000-0005-0000-0000-00004DCB0000}"/>
    <cellStyle name="Normal 8 3 2 4 2 2 2" xfId="40873" xr:uid="{00000000-0005-0000-0000-00004ECB0000}"/>
    <cellStyle name="Normal 8 3 2 4 2 2 2 2" xfId="56973" xr:uid="{00000000-0005-0000-0000-00004FCB0000}"/>
    <cellStyle name="Normal 8 3 2 4 2 2 3" xfId="47406" xr:uid="{00000000-0005-0000-0000-000050CB0000}"/>
    <cellStyle name="Normal 8 3 2 4 2 2 4" xfId="31306" xr:uid="{00000000-0005-0000-0000-000051CB0000}"/>
    <cellStyle name="Normal 8 3 2 4 2 2 5" xfId="21737" xr:uid="{00000000-0005-0000-0000-000052CB0000}"/>
    <cellStyle name="Normal 8 3 2 4 2 3" xfId="12168" xr:uid="{00000000-0005-0000-0000-000053CB0000}"/>
    <cellStyle name="Normal 8 3 2 4 2 3 2" xfId="50442" xr:uid="{00000000-0005-0000-0000-000054CB0000}"/>
    <cellStyle name="Normal 8 3 2 4 2 3 3" xfId="34342" xr:uid="{00000000-0005-0000-0000-000055CB0000}"/>
    <cellStyle name="Normal 8 3 2 4 2 3 4" xfId="24773" xr:uid="{00000000-0005-0000-0000-000056CB0000}"/>
    <cellStyle name="Normal 8 3 2 4 2 4" xfId="6096" xr:uid="{00000000-0005-0000-0000-000057CB0000}"/>
    <cellStyle name="Normal 8 3 2 4 2 4 2" xfId="53937" xr:uid="{00000000-0005-0000-0000-000058CB0000}"/>
    <cellStyle name="Normal 8 3 2 4 2 4 3" xfId="37837" xr:uid="{00000000-0005-0000-0000-000059CB0000}"/>
    <cellStyle name="Normal 8 3 2 4 2 4 4" xfId="18701" xr:uid="{00000000-0005-0000-0000-00005ACB0000}"/>
    <cellStyle name="Normal 8 3 2 4 2 5" xfId="44370" xr:uid="{00000000-0005-0000-0000-00005BCB0000}"/>
    <cellStyle name="Normal 8 3 2 4 2 6" xfId="28270" xr:uid="{00000000-0005-0000-0000-00005CCB0000}"/>
    <cellStyle name="Normal 8 3 2 4 2 7" xfId="15206" xr:uid="{00000000-0005-0000-0000-00005DCB0000}"/>
    <cellStyle name="Normal 8 3 2 4 3" xfId="1368" xr:uid="{00000000-0005-0000-0000-00005ECB0000}"/>
    <cellStyle name="Normal 8 3 2 4 3 2" xfId="7902" xr:uid="{00000000-0005-0000-0000-00005FCB0000}"/>
    <cellStyle name="Normal 8 3 2 4 3 2 2" xfId="39643" xr:uid="{00000000-0005-0000-0000-000060CB0000}"/>
    <cellStyle name="Normal 8 3 2 4 3 2 2 2" xfId="55743" xr:uid="{00000000-0005-0000-0000-000061CB0000}"/>
    <cellStyle name="Normal 8 3 2 4 3 2 3" xfId="46176" xr:uid="{00000000-0005-0000-0000-000062CB0000}"/>
    <cellStyle name="Normal 8 3 2 4 3 2 4" xfId="30076" xr:uid="{00000000-0005-0000-0000-000063CB0000}"/>
    <cellStyle name="Normal 8 3 2 4 3 2 5" xfId="20507" xr:uid="{00000000-0005-0000-0000-000064CB0000}"/>
    <cellStyle name="Normal 8 3 2 4 3 3" xfId="10938" xr:uid="{00000000-0005-0000-0000-000065CB0000}"/>
    <cellStyle name="Normal 8 3 2 4 3 3 2" xfId="49212" xr:uid="{00000000-0005-0000-0000-000066CB0000}"/>
    <cellStyle name="Normal 8 3 2 4 3 3 3" xfId="33112" xr:uid="{00000000-0005-0000-0000-000067CB0000}"/>
    <cellStyle name="Normal 8 3 2 4 3 3 4" xfId="23543" xr:uid="{00000000-0005-0000-0000-000068CB0000}"/>
    <cellStyle name="Normal 8 3 2 4 3 4" xfId="4866" xr:uid="{00000000-0005-0000-0000-000069CB0000}"/>
    <cellStyle name="Normal 8 3 2 4 3 4 2" xfId="52707" xr:uid="{00000000-0005-0000-0000-00006ACB0000}"/>
    <cellStyle name="Normal 8 3 2 4 3 4 3" xfId="36607" xr:uid="{00000000-0005-0000-0000-00006BCB0000}"/>
    <cellStyle name="Normal 8 3 2 4 3 4 4" xfId="17471" xr:uid="{00000000-0005-0000-0000-00006CCB0000}"/>
    <cellStyle name="Normal 8 3 2 4 3 5" xfId="43140" xr:uid="{00000000-0005-0000-0000-00006DCB0000}"/>
    <cellStyle name="Normal 8 3 2 4 3 6" xfId="27040" xr:uid="{00000000-0005-0000-0000-00006ECB0000}"/>
    <cellStyle name="Normal 8 3 2 4 3 7" xfId="13976" xr:uid="{00000000-0005-0000-0000-00006FCB0000}"/>
    <cellStyle name="Normal 8 3 2 4 4" xfId="6892" xr:uid="{00000000-0005-0000-0000-000070CB0000}"/>
    <cellStyle name="Normal 8 3 2 4 4 2" xfId="38633" xr:uid="{00000000-0005-0000-0000-000071CB0000}"/>
    <cellStyle name="Normal 8 3 2 4 4 2 2" xfId="54733" xr:uid="{00000000-0005-0000-0000-000072CB0000}"/>
    <cellStyle name="Normal 8 3 2 4 4 3" xfId="45166" xr:uid="{00000000-0005-0000-0000-000073CB0000}"/>
    <cellStyle name="Normal 8 3 2 4 4 4" xfId="29066" xr:uid="{00000000-0005-0000-0000-000074CB0000}"/>
    <cellStyle name="Normal 8 3 2 4 4 5" xfId="19497" xr:uid="{00000000-0005-0000-0000-000075CB0000}"/>
    <cellStyle name="Normal 8 3 2 4 5" xfId="9928" xr:uid="{00000000-0005-0000-0000-000076CB0000}"/>
    <cellStyle name="Normal 8 3 2 4 5 2" xfId="48202" xr:uid="{00000000-0005-0000-0000-000077CB0000}"/>
    <cellStyle name="Normal 8 3 2 4 5 3" xfId="32102" xr:uid="{00000000-0005-0000-0000-000078CB0000}"/>
    <cellStyle name="Normal 8 3 2 4 5 4" xfId="22533" xr:uid="{00000000-0005-0000-0000-000079CB0000}"/>
    <cellStyle name="Normal 8 3 2 4 6" xfId="3856" xr:uid="{00000000-0005-0000-0000-00007ACB0000}"/>
    <cellStyle name="Normal 8 3 2 4 6 2" xfId="51697" xr:uid="{00000000-0005-0000-0000-00007BCB0000}"/>
    <cellStyle name="Normal 8 3 2 4 6 3" xfId="35597" xr:uid="{00000000-0005-0000-0000-00007CCB0000}"/>
    <cellStyle name="Normal 8 3 2 4 6 4" xfId="16461" xr:uid="{00000000-0005-0000-0000-00007DCB0000}"/>
    <cellStyle name="Normal 8 3 2 4 7" xfId="42130" xr:uid="{00000000-0005-0000-0000-00007ECB0000}"/>
    <cellStyle name="Normal 8 3 2 4 8" xfId="26030" xr:uid="{00000000-0005-0000-0000-00007FCB0000}"/>
    <cellStyle name="Normal 8 3 2 4 9" xfId="12966" xr:uid="{00000000-0005-0000-0000-000080CB0000}"/>
    <cellStyle name="Normal 8 3 2 5" xfId="810" xr:uid="{00000000-0005-0000-0000-000081CB0000}"/>
    <cellStyle name="Normal 8 3 2 5 2" xfId="2838" xr:uid="{00000000-0005-0000-0000-000082CB0000}"/>
    <cellStyle name="Normal 8 3 2 5 2 2" xfId="9370" xr:uid="{00000000-0005-0000-0000-000083CB0000}"/>
    <cellStyle name="Normal 8 3 2 5 2 2 2" xfId="41111" xr:uid="{00000000-0005-0000-0000-000084CB0000}"/>
    <cellStyle name="Normal 8 3 2 5 2 2 2 2" xfId="57211" xr:uid="{00000000-0005-0000-0000-000085CB0000}"/>
    <cellStyle name="Normal 8 3 2 5 2 2 3" xfId="47644" xr:uid="{00000000-0005-0000-0000-000086CB0000}"/>
    <cellStyle name="Normal 8 3 2 5 2 2 4" xfId="31544" xr:uid="{00000000-0005-0000-0000-000087CB0000}"/>
    <cellStyle name="Normal 8 3 2 5 2 2 5" xfId="21975" xr:uid="{00000000-0005-0000-0000-000088CB0000}"/>
    <cellStyle name="Normal 8 3 2 5 2 3" xfId="12406" xr:uid="{00000000-0005-0000-0000-000089CB0000}"/>
    <cellStyle name="Normal 8 3 2 5 2 3 2" xfId="50680" xr:uid="{00000000-0005-0000-0000-00008ACB0000}"/>
    <cellStyle name="Normal 8 3 2 5 2 3 3" xfId="34580" xr:uid="{00000000-0005-0000-0000-00008BCB0000}"/>
    <cellStyle name="Normal 8 3 2 5 2 3 4" xfId="25011" xr:uid="{00000000-0005-0000-0000-00008CCB0000}"/>
    <cellStyle name="Normal 8 3 2 5 2 4" xfId="6334" xr:uid="{00000000-0005-0000-0000-00008DCB0000}"/>
    <cellStyle name="Normal 8 3 2 5 2 4 2" xfId="54175" xr:uid="{00000000-0005-0000-0000-00008ECB0000}"/>
    <cellStyle name="Normal 8 3 2 5 2 4 3" xfId="38075" xr:uid="{00000000-0005-0000-0000-00008FCB0000}"/>
    <cellStyle name="Normal 8 3 2 5 2 4 4" xfId="18939" xr:uid="{00000000-0005-0000-0000-000090CB0000}"/>
    <cellStyle name="Normal 8 3 2 5 2 5" xfId="44608" xr:uid="{00000000-0005-0000-0000-000091CB0000}"/>
    <cellStyle name="Normal 8 3 2 5 2 6" xfId="28508" xr:uid="{00000000-0005-0000-0000-000092CB0000}"/>
    <cellStyle name="Normal 8 3 2 5 2 7" xfId="15444" xr:uid="{00000000-0005-0000-0000-000093CB0000}"/>
    <cellStyle name="Normal 8 3 2 5 3" xfId="1820" xr:uid="{00000000-0005-0000-0000-000094CB0000}"/>
    <cellStyle name="Normal 8 3 2 5 3 2" xfId="8354" xr:uid="{00000000-0005-0000-0000-000095CB0000}"/>
    <cellStyle name="Normal 8 3 2 5 3 2 2" xfId="40095" xr:uid="{00000000-0005-0000-0000-000096CB0000}"/>
    <cellStyle name="Normal 8 3 2 5 3 2 2 2" xfId="56195" xr:uid="{00000000-0005-0000-0000-000097CB0000}"/>
    <cellStyle name="Normal 8 3 2 5 3 2 3" xfId="46628" xr:uid="{00000000-0005-0000-0000-000098CB0000}"/>
    <cellStyle name="Normal 8 3 2 5 3 2 4" xfId="30528" xr:uid="{00000000-0005-0000-0000-000099CB0000}"/>
    <cellStyle name="Normal 8 3 2 5 3 2 5" xfId="20959" xr:uid="{00000000-0005-0000-0000-00009ACB0000}"/>
    <cellStyle name="Normal 8 3 2 5 3 3" xfId="11390" xr:uid="{00000000-0005-0000-0000-00009BCB0000}"/>
    <cellStyle name="Normal 8 3 2 5 3 3 2" xfId="49664" xr:uid="{00000000-0005-0000-0000-00009CCB0000}"/>
    <cellStyle name="Normal 8 3 2 5 3 3 3" xfId="33564" xr:uid="{00000000-0005-0000-0000-00009DCB0000}"/>
    <cellStyle name="Normal 8 3 2 5 3 3 4" xfId="23995" xr:uid="{00000000-0005-0000-0000-00009ECB0000}"/>
    <cellStyle name="Normal 8 3 2 5 3 4" xfId="5318" xr:uid="{00000000-0005-0000-0000-00009FCB0000}"/>
    <cellStyle name="Normal 8 3 2 5 3 4 2" xfId="53159" xr:uid="{00000000-0005-0000-0000-0000A0CB0000}"/>
    <cellStyle name="Normal 8 3 2 5 3 4 3" xfId="37059" xr:uid="{00000000-0005-0000-0000-0000A1CB0000}"/>
    <cellStyle name="Normal 8 3 2 5 3 4 4" xfId="17923" xr:uid="{00000000-0005-0000-0000-0000A2CB0000}"/>
    <cellStyle name="Normal 8 3 2 5 3 5" xfId="43592" xr:uid="{00000000-0005-0000-0000-0000A3CB0000}"/>
    <cellStyle name="Normal 8 3 2 5 3 6" xfId="27492" xr:uid="{00000000-0005-0000-0000-0000A4CB0000}"/>
    <cellStyle name="Normal 8 3 2 5 3 7" xfId="14428" xr:uid="{00000000-0005-0000-0000-0000A5CB0000}"/>
    <cellStyle name="Normal 8 3 2 5 4" xfId="7344" xr:uid="{00000000-0005-0000-0000-0000A6CB0000}"/>
    <cellStyle name="Normal 8 3 2 5 4 2" xfId="39085" xr:uid="{00000000-0005-0000-0000-0000A7CB0000}"/>
    <cellStyle name="Normal 8 3 2 5 4 2 2" xfId="55185" xr:uid="{00000000-0005-0000-0000-0000A8CB0000}"/>
    <cellStyle name="Normal 8 3 2 5 4 3" xfId="45618" xr:uid="{00000000-0005-0000-0000-0000A9CB0000}"/>
    <cellStyle name="Normal 8 3 2 5 4 4" xfId="29518" xr:uid="{00000000-0005-0000-0000-0000AACB0000}"/>
    <cellStyle name="Normal 8 3 2 5 4 5" xfId="19949" xr:uid="{00000000-0005-0000-0000-0000ABCB0000}"/>
    <cellStyle name="Normal 8 3 2 5 5" xfId="10380" xr:uid="{00000000-0005-0000-0000-0000ACCB0000}"/>
    <cellStyle name="Normal 8 3 2 5 5 2" xfId="48654" xr:uid="{00000000-0005-0000-0000-0000ADCB0000}"/>
    <cellStyle name="Normal 8 3 2 5 5 3" xfId="32554" xr:uid="{00000000-0005-0000-0000-0000AECB0000}"/>
    <cellStyle name="Normal 8 3 2 5 5 4" xfId="22985" xr:uid="{00000000-0005-0000-0000-0000AFCB0000}"/>
    <cellStyle name="Normal 8 3 2 5 6" xfId="4308" xr:uid="{00000000-0005-0000-0000-0000B0CB0000}"/>
    <cellStyle name="Normal 8 3 2 5 6 2" xfId="52149" xr:uid="{00000000-0005-0000-0000-0000B1CB0000}"/>
    <cellStyle name="Normal 8 3 2 5 6 3" xfId="36049" xr:uid="{00000000-0005-0000-0000-0000B2CB0000}"/>
    <cellStyle name="Normal 8 3 2 5 6 4" xfId="16913" xr:uid="{00000000-0005-0000-0000-0000B3CB0000}"/>
    <cellStyle name="Normal 8 3 2 5 7" xfId="42582" xr:uid="{00000000-0005-0000-0000-0000B4CB0000}"/>
    <cellStyle name="Normal 8 3 2 5 8" xfId="26482" xr:uid="{00000000-0005-0000-0000-0000B5CB0000}"/>
    <cellStyle name="Normal 8 3 2 5 9" xfId="13418" xr:uid="{00000000-0005-0000-0000-0000B6CB0000}"/>
    <cellStyle name="Normal 8 3 2 6" xfId="2156" xr:uid="{00000000-0005-0000-0000-0000B7CB0000}"/>
    <cellStyle name="Normal 8 3 2 6 2" xfId="8690" xr:uid="{00000000-0005-0000-0000-0000B8CB0000}"/>
    <cellStyle name="Normal 8 3 2 6 2 2" xfId="40431" xr:uid="{00000000-0005-0000-0000-0000B9CB0000}"/>
    <cellStyle name="Normal 8 3 2 6 2 2 2" xfId="56531" xr:uid="{00000000-0005-0000-0000-0000BACB0000}"/>
    <cellStyle name="Normal 8 3 2 6 2 3" xfId="46964" xr:uid="{00000000-0005-0000-0000-0000BBCB0000}"/>
    <cellStyle name="Normal 8 3 2 6 2 4" xfId="30864" xr:uid="{00000000-0005-0000-0000-0000BCCB0000}"/>
    <cellStyle name="Normal 8 3 2 6 2 5" xfId="21295" xr:uid="{00000000-0005-0000-0000-0000BDCB0000}"/>
    <cellStyle name="Normal 8 3 2 6 3" xfId="11726" xr:uid="{00000000-0005-0000-0000-0000BECB0000}"/>
    <cellStyle name="Normal 8 3 2 6 3 2" xfId="50000" xr:uid="{00000000-0005-0000-0000-0000BFCB0000}"/>
    <cellStyle name="Normal 8 3 2 6 3 3" xfId="33900" xr:uid="{00000000-0005-0000-0000-0000C0CB0000}"/>
    <cellStyle name="Normal 8 3 2 6 3 4" xfId="24331" xr:uid="{00000000-0005-0000-0000-0000C1CB0000}"/>
    <cellStyle name="Normal 8 3 2 6 4" xfId="5654" xr:uid="{00000000-0005-0000-0000-0000C2CB0000}"/>
    <cellStyle name="Normal 8 3 2 6 4 2" xfId="53495" xr:uid="{00000000-0005-0000-0000-0000C3CB0000}"/>
    <cellStyle name="Normal 8 3 2 6 4 3" xfId="37395" xr:uid="{00000000-0005-0000-0000-0000C4CB0000}"/>
    <cellStyle name="Normal 8 3 2 6 4 4" xfId="18259" xr:uid="{00000000-0005-0000-0000-0000C5CB0000}"/>
    <cellStyle name="Normal 8 3 2 6 5" xfId="43928" xr:uid="{00000000-0005-0000-0000-0000C6CB0000}"/>
    <cellStyle name="Normal 8 3 2 6 6" xfId="27828" xr:uid="{00000000-0005-0000-0000-0000C7CB0000}"/>
    <cellStyle name="Normal 8 3 2 6 7" xfId="14764" xr:uid="{00000000-0005-0000-0000-0000C8CB0000}"/>
    <cellStyle name="Normal 8 3 2 7" xfId="1137" xr:uid="{00000000-0005-0000-0000-0000C9CB0000}"/>
    <cellStyle name="Normal 8 3 2 7 2" xfId="7671" xr:uid="{00000000-0005-0000-0000-0000CACB0000}"/>
    <cellStyle name="Normal 8 3 2 7 2 2" xfId="39412" xr:uid="{00000000-0005-0000-0000-0000CBCB0000}"/>
    <cellStyle name="Normal 8 3 2 7 2 2 2" xfId="55512" xr:uid="{00000000-0005-0000-0000-0000CCCB0000}"/>
    <cellStyle name="Normal 8 3 2 7 2 3" xfId="45945" xr:uid="{00000000-0005-0000-0000-0000CDCB0000}"/>
    <cellStyle name="Normal 8 3 2 7 2 4" xfId="29845" xr:uid="{00000000-0005-0000-0000-0000CECB0000}"/>
    <cellStyle name="Normal 8 3 2 7 2 5" xfId="20276" xr:uid="{00000000-0005-0000-0000-0000CFCB0000}"/>
    <cellStyle name="Normal 8 3 2 7 3" xfId="10707" xr:uid="{00000000-0005-0000-0000-0000D0CB0000}"/>
    <cellStyle name="Normal 8 3 2 7 3 2" xfId="48981" xr:uid="{00000000-0005-0000-0000-0000D1CB0000}"/>
    <cellStyle name="Normal 8 3 2 7 3 3" xfId="32881" xr:uid="{00000000-0005-0000-0000-0000D2CB0000}"/>
    <cellStyle name="Normal 8 3 2 7 3 4" xfId="23312" xr:uid="{00000000-0005-0000-0000-0000D3CB0000}"/>
    <cellStyle name="Normal 8 3 2 7 4" xfId="4635" xr:uid="{00000000-0005-0000-0000-0000D4CB0000}"/>
    <cellStyle name="Normal 8 3 2 7 4 2" xfId="52476" xr:uid="{00000000-0005-0000-0000-0000D5CB0000}"/>
    <cellStyle name="Normal 8 3 2 7 4 3" xfId="36376" xr:uid="{00000000-0005-0000-0000-0000D6CB0000}"/>
    <cellStyle name="Normal 8 3 2 7 4 4" xfId="17240" xr:uid="{00000000-0005-0000-0000-0000D7CB0000}"/>
    <cellStyle name="Normal 8 3 2 7 5" xfId="42909" xr:uid="{00000000-0005-0000-0000-0000D8CB0000}"/>
    <cellStyle name="Normal 8 3 2 7 6" xfId="26809" xr:uid="{00000000-0005-0000-0000-0000D9CB0000}"/>
    <cellStyle name="Normal 8 3 2 7 7" xfId="13745" xr:uid="{00000000-0005-0000-0000-0000DACB0000}"/>
    <cellStyle name="Normal 8 3 2 8" xfId="3625" xr:uid="{00000000-0005-0000-0000-0000DBCB0000}"/>
    <cellStyle name="Normal 8 3 2 8 2" xfId="35366" xr:uid="{00000000-0005-0000-0000-0000DCCB0000}"/>
    <cellStyle name="Normal 8 3 2 8 2 2" xfId="51466" xr:uid="{00000000-0005-0000-0000-0000DDCB0000}"/>
    <cellStyle name="Normal 8 3 2 8 3" xfId="41899" xr:uid="{00000000-0005-0000-0000-0000DECB0000}"/>
    <cellStyle name="Normal 8 3 2 8 4" xfId="25799" xr:uid="{00000000-0005-0000-0000-0000DFCB0000}"/>
    <cellStyle name="Normal 8 3 2 8 5" xfId="16230" xr:uid="{00000000-0005-0000-0000-0000E0CB0000}"/>
    <cellStyle name="Normal 8 3 2 9" xfId="6661" xr:uid="{00000000-0005-0000-0000-0000E1CB0000}"/>
    <cellStyle name="Normal 8 3 2 9 2" xfId="38402" xr:uid="{00000000-0005-0000-0000-0000E2CB0000}"/>
    <cellStyle name="Normal 8 3 2 9 2 2" xfId="54502" xr:uid="{00000000-0005-0000-0000-0000E3CB0000}"/>
    <cellStyle name="Normal 8 3 2 9 3" xfId="44935" xr:uid="{00000000-0005-0000-0000-0000E4CB0000}"/>
    <cellStyle name="Normal 8 3 2 9 4" xfId="28835" xr:uid="{00000000-0005-0000-0000-0000E5CB0000}"/>
    <cellStyle name="Normal 8 3 2 9 5" xfId="19266" xr:uid="{00000000-0005-0000-0000-0000E6CB0000}"/>
    <cellStyle name="Normal 8 3 3" xfId="97" xr:uid="{00000000-0005-0000-0000-0000E7CB0000}"/>
    <cellStyle name="Normal 8 3 3 10" xfId="41615" xr:uid="{00000000-0005-0000-0000-0000E8CB0000}"/>
    <cellStyle name="Normal 8 3 3 11" xfId="25515" xr:uid="{00000000-0005-0000-0000-0000E9CB0000}"/>
    <cellStyle name="Normal 8 3 3 12" xfId="12930" xr:uid="{00000000-0005-0000-0000-0000EACB0000}"/>
    <cellStyle name="Normal 8 3 3 2" xfId="278" xr:uid="{00000000-0005-0000-0000-0000EBCB0000}"/>
    <cellStyle name="Normal 8 3 3 2 2" xfId="2297" xr:uid="{00000000-0005-0000-0000-0000ECCB0000}"/>
    <cellStyle name="Normal 8 3 3 2 2 2" xfId="8831" xr:uid="{00000000-0005-0000-0000-0000EDCB0000}"/>
    <cellStyle name="Normal 8 3 3 2 2 2 2" xfId="40572" xr:uid="{00000000-0005-0000-0000-0000EECB0000}"/>
    <cellStyle name="Normal 8 3 3 2 2 2 2 2" xfId="56672" xr:uid="{00000000-0005-0000-0000-0000EFCB0000}"/>
    <cellStyle name="Normal 8 3 3 2 2 2 3" xfId="47105" xr:uid="{00000000-0005-0000-0000-0000F0CB0000}"/>
    <cellStyle name="Normal 8 3 3 2 2 2 4" xfId="31005" xr:uid="{00000000-0005-0000-0000-0000F1CB0000}"/>
    <cellStyle name="Normal 8 3 3 2 2 2 5" xfId="21436" xr:uid="{00000000-0005-0000-0000-0000F2CB0000}"/>
    <cellStyle name="Normal 8 3 3 2 2 3" xfId="11867" xr:uid="{00000000-0005-0000-0000-0000F3CB0000}"/>
    <cellStyle name="Normal 8 3 3 2 2 3 2" xfId="50141" xr:uid="{00000000-0005-0000-0000-0000F4CB0000}"/>
    <cellStyle name="Normal 8 3 3 2 2 3 3" xfId="34041" xr:uid="{00000000-0005-0000-0000-0000F5CB0000}"/>
    <cellStyle name="Normal 8 3 3 2 2 3 4" xfId="24472" xr:uid="{00000000-0005-0000-0000-0000F6CB0000}"/>
    <cellStyle name="Normal 8 3 3 2 2 4" xfId="5795" xr:uid="{00000000-0005-0000-0000-0000F7CB0000}"/>
    <cellStyle name="Normal 8 3 3 2 2 4 2" xfId="53636" xr:uid="{00000000-0005-0000-0000-0000F8CB0000}"/>
    <cellStyle name="Normal 8 3 3 2 2 4 3" xfId="37536" xr:uid="{00000000-0005-0000-0000-0000F9CB0000}"/>
    <cellStyle name="Normal 8 3 3 2 2 4 4" xfId="18400" xr:uid="{00000000-0005-0000-0000-0000FACB0000}"/>
    <cellStyle name="Normal 8 3 3 2 2 5" xfId="44069" xr:uid="{00000000-0005-0000-0000-0000FBCB0000}"/>
    <cellStyle name="Normal 8 3 3 2 2 6" xfId="27969" xr:uid="{00000000-0005-0000-0000-0000FCCB0000}"/>
    <cellStyle name="Normal 8 3 3 2 2 7" xfId="14905" xr:uid="{00000000-0005-0000-0000-0000FDCB0000}"/>
    <cellStyle name="Normal 8 3 3 2 3" xfId="1509" xr:uid="{00000000-0005-0000-0000-0000FECB0000}"/>
    <cellStyle name="Normal 8 3 3 2 3 2" xfId="8043" xr:uid="{00000000-0005-0000-0000-0000FFCB0000}"/>
    <cellStyle name="Normal 8 3 3 2 3 2 2" xfId="39784" xr:uid="{00000000-0005-0000-0000-000000CC0000}"/>
    <cellStyle name="Normal 8 3 3 2 3 2 2 2" xfId="55884" xr:uid="{00000000-0005-0000-0000-000001CC0000}"/>
    <cellStyle name="Normal 8 3 3 2 3 2 3" xfId="46317" xr:uid="{00000000-0005-0000-0000-000002CC0000}"/>
    <cellStyle name="Normal 8 3 3 2 3 2 4" xfId="30217" xr:uid="{00000000-0005-0000-0000-000003CC0000}"/>
    <cellStyle name="Normal 8 3 3 2 3 2 5" xfId="20648" xr:uid="{00000000-0005-0000-0000-000004CC0000}"/>
    <cellStyle name="Normal 8 3 3 2 3 3" xfId="11079" xr:uid="{00000000-0005-0000-0000-000005CC0000}"/>
    <cellStyle name="Normal 8 3 3 2 3 3 2" xfId="49353" xr:uid="{00000000-0005-0000-0000-000006CC0000}"/>
    <cellStyle name="Normal 8 3 3 2 3 3 3" xfId="33253" xr:uid="{00000000-0005-0000-0000-000007CC0000}"/>
    <cellStyle name="Normal 8 3 3 2 3 3 4" xfId="23684" xr:uid="{00000000-0005-0000-0000-000008CC0000}"/>
    <cellStyle name="Normal 8 3 3 2 3 4" xfId="5007" xr:uid="{00000000-0005-0000-0000-000009CC0000}"/>
    <cellStyle name="Normal 8 3 3 2 3 4 2" xfId="52848" xr:uid="{00000000-0005-0000-0000-00000ACC0000}"/>
    <cellStyle name="Normal 8 3 3 2 3 4 3" xfId="36748" xr:uid="{00000000-0005-0000-0000-00000BCC0000}"/>
    <cellStyle name="Normal 8 3 3 2 3 4 4" xfId="17612" xr:uid="{00000000-0005-0000-0000-00000CCC0000}"/>
    <cellStyle name="Normal 8 3 3 2 3 5" xfId="43281" xr:uid="{00000000-0005-0000-0000-00000DCC0000}"/>
    <cellStyle name="Normal 8 3 3 2 3 6" xfId="27181" xr:uid="{00000000-0005-0000-0000-00000ECC0000}"/>
    <cellStyle name="Normal 8 3 3 2 3 7" xfId="14117" xr:uid="{00000000-0005-0000-0000-00000FCC0000}"/>
    <cellStyle name="Normal 8 3 3 2 4" xfId="7033" xr:uid="{00000000-0005-0000-0000-000010CC0000}"/>
    <cellStyle name="Normal 8 3 3 2 4 2" xfId="38774" xr:uid="{00000000-0005-0000-0000-000011CC0000}"/>
    <cellStyle name="Normal 8 3 3 2 4 2 2" xfId="54874" xr:uid="{00000000-0005-0000-0000-000012CC0000}"/>
    <cellStyle name="Normal 8 3 3 2 4 3" xfId="45307" xr:uid="{00000000-0005-0000-0000-000013CC0000}"/>
    <cellStyle name="Normal 8 3 3 2 4 4" xfId="29207" xr:uid="{00000000-0005-0000-0000-000014CC0000}"/>
    <cellStyle name="Normal 8 3 3 2 4 5" xfId="19638" xr:uid="{00000000-0005-0000-0000-000015CC0000}"/>
    <cellStyle name="Normal 8 3 3 2 5" xfId="10069" xr:uid="{00000000-0005-0000-0000-000016CC0000}"/>
    <cellStyle name="Normal 8 3 3 2 5 2" xfId="48343" xr:uid="{00000000-0005-0000-0000-000017CC0000}"/>
    <cellStyle name="Normal 8 3 3 2 5 3" xfId="32243" xr:uid="{00000000-0005-0000-0000-000018CC0000}"/>
    <cellStyle name="Normal 8 3 3 2 5 4" xfId="22674" xr:uid="{00000000-0005-0000-0000-000019CC0000}"/>
    <cellStyle name="Normal 8 3 3 2 6" xfId="3997" xr:uid="{00000000-0005-0000-0000-00001ACC0000}"/>
    <cellStyle name="Normal 8 3 3 2 6 2" xfId="51838" xr:uid="{00000000-0005-0000-0000-00001BCC0000}"/>
    <cellStyle name="Normal 8 3 3 2 6 3" xfId="35738" xr:uid="{00000000-0005-0000-0000-00001CCC0000}"/>
    <cellStyle name="Normal 8 3 3 2 6 4" xfId="16602" xr:uid="{00000000-0005-0000-0000-00001DCC0000}"/>
    <cellStyle name="Normal 8 3 3 2 7" xfId="42271" xr:uid="{00000000-0005-0000-0000-00001ECC0000}"/>
    <cellStyle name="Normal 8 3 3 2 8" xfId="26171" xr:uid="{00000000-0005-0000-0000-00001FCC0000}"/>
    <cellStyle name="Normal 8 3 3 2 9" xfId="13107" xr:uid="{00000000-0005-0000-0000-000020CC0000}"/>
    <cellStyle name="Normal 8 3 3 3" xfId="970" xr:uid="{00000000-0005-0000-0000-000021CC0000}"/>
    <cellStyle name="Normal 8 3 3 3 2" xfId="2998" xr:uid="{00000000-0005-0000-0000-000022CC0000}"/>
    <cellStyle name="Normal 8 3 3 3 2 2" xfId="9530" xr:uid="{00000000-0005-0000-0000-000023CC0000}"/>
    <cellStyle name="Normal 8 3 3 3 2 2 2" xfId="41271" xr:uid="{00000000-0005-0000-0000-000024CC0000}"/>
    <cellStyle name="Normal 8 3 3 3 2 2 2 2" xfId="57371" xr:uid="{00000000-0005-0000-0000-000025CC0000}"/>
    <cellStyle name="Normal 8 3 3 3 2 2 3" xfId="47804" xr:uid="{00000000-0005-0000-0000-000026CC0000}"/>
    <cellStyle name="Normal 8 3 3 3 2 2 4" xfId="31704" xr:uid="{00000000-0005-0000-0000-000027CC0000}"/>
    <cellStyle name="Normal 8 3 3 3 2 2 5" xfId="22135" xr:uid="{00000000-0005-0000-0000-000028CC0000}"/>
    <cellStyle name="Normal 8 3 3 3 2 3" xfId="12566" xr:uid="{00000000-0005-0000-0000-000029CC0000}"/>
    <cellStyle name="Normal 8 3 3 3 2 3 2" xfId="50840" xr:uid="{00000000-0005-0000-0000-00002ACC0000}"/>
    <cellStyle name="Normal 8 3 3 3 2 3 3" xfId="34740" xr:uid="{00000000-0005-0000-0000-00002BCC0000}"/>
    <cellStyle name="Normal 8 3 3 3 2 3 4" xfId="25171" xr:uid="{00000000-0005-0000-0000-00002CCC0000}"/>
    <cellStyle name="Normal 8 3 3 3 2 4" xfId="6494" xr:uid="{00000000-0005-0000-0000-00002DCC0000}"/>
    <cellStyle name="Normal 8 3 3 3 2 4 2" xfId="54335" xr:uid="{00000000-0005-0000-0000-00002ECC0000}"/>
    <cellStyle name="Normal 8 3 3 3 2 4 3" xfId="38235" xr:uid="{00000000-0005-0000-0000-00002FCC0000}"/>
    <cellStyle name="Normal 8 3 3 3 2 4 4" xfId="19099" xr:uid="{00000000-0005-0000-0000-000030CC0000}"/>
    <cellStyle name="Normal 8 3 3 3 2 5" xfId="44768" xr:uid="{00000000-0005-0000-0000-000031CC0000}"/>
    <cellStyle name="Normal 8 3 3 3 2 6" xfId="28668" xr:uid="{00000000-0005-0000-0000-000032CC0000}"/>
    <cellStyle name="Normal 8 3 3 3 2 7" xfId="15604" xr:uid="{00000000-0005-0000-0000-000033CC0000}"/>
    <cellStyle name="Normal 8 3 3 3 3" xfId="1980" xr:uid="{00000000-0005-0000-0000-000034CC0000}"/>
    <cellStyle name="Normal 8 3 3 3 3 2" xfId="8514" xr:uid="{00000000-0005-0000-0000-000035CC0000}"/>
    <cellStyle name="Normal 8 3 3 3 3 2 2" xfId="40255" xr:uid="{00000000-0005-0000-0000-000036CC0000}"/>
    <cellStyle name="Normal 8 3 3 3 3 2 2 2" xfId="56355" xr:uid="{00000000-0005-0000-0000-000037CC0000}"/>
    <cellStyle name="Normal 8 3 3 3 3 2 3" xfId="46788" xr:uid="{00000000-0005-0000-0000-000038CC0000}"/>
    <cellStyle name="Normal 8 3 3 3 3 2 4" xfId="30688" xr:uid="{00000000-0005-0000-0000-000039CC0000}"/>
    <cellStyle name="Normal 8 3 3 3 3 2 5" xfId="21119" xr:uid="{00000000-0005-0000-0000-00003ACC0000}"/>
    <cellStyle name="Normal 8 3 3 3 3 3" xfId="11550" xr:uid="{00000000-0005-0000-0000-00003BCC0000}"/>
    <cellStyle name="Normal 8 3 3 3 3 3 2" xfId="49824" xr:uid="{00000000-0005-0000-0000-00003CCC0000}"/>
    <cellStyle name="Normal 8 3 3 3 3 3 3" xfId="33724" xr:uid="{00000000-0005-0000-0000-00003DCC0000}"/>
    <cellStyle name="Normal 8 3 3 3 3 3 4" xfId="24155" xr:uid="{00000000-0005-0000-0000-00003ECC0000}"/>
    <cellStyle name="Normal 8 3 3 3 3 4" xfId="5478" xr:uid="{00000000-0005-0000-0000-00003FCC0000}"/>
    <cellStyle name="Normal 8 3 3 3 3 4 2" xfId="53319" xr:uid="{00000000-0005-0000-0000-000040CC0000}"/>
    <cellStyle name="Normal 8 3 3 3 3 4 3" xfId="37219" xr:uid="{00000000-0005-0000-0000-000041CC0000}"/>
    <cellStyle name="Normal 8 3 3 3 3 4 4" xfId="18083" xr:uid="{00000000-0005-0000-0000-000042CC0000}"/>
    <cellStyle name="Normal 8 3 3 3 3 5" xfId="43752" xr:uid="{00000000-0005-0000-0000-000043CC0000}"/>
    <cellStyle name="Normal 8 3 3 3 3 6" xfId="27652" xr:uid="{00000000-0005-0000-0000-000044CC0000}"/>
    <cellStyle name="Normal 8 3 3 3 3 7" xfId="14588" xr:uid="{00000000-0005-0000-0000-000045CC0000}"/>
    <cellStyle name="Normal 8 3 3 3 4" xfId="7504" xr:uid="{00000000-0005-0000-0000-000046CC0000}"/>
    <cellStyle name="Normal 8 3 3 3 4 2" xfId="39245" xr:uid="{00000000-0005-0000-0000-000047CC0000}"/>
    <cellStyle name="Normal 8 3 3 3 4 2 2" xfId="55345" xr:uid="{00000000-0005-0000-0000-000048CC0000}"/>
    <cellStyle name="Normal 8 3 3 3 4 3" xfId="45778" xr:uid="{00000000-0005-0000-0000-000049CC0000}"/>
    <cellStyle name="Normal 8 3 3 3 4 4" xfId="29678" xr:uid="{00000000-0005-0000-0000-00004ACC0000}"/>
    <cellStyle name="Normal 8 3 3 3 4 5" xfId="20109" xr:uid="{00000000-0005-0000-0000-00004BCC0000}"/>
    <cellStyle name="Normal 8 3 3 3 5" xfId="10540" xr:uid="{00000000-0005-0000-0000-00004CCC0000}"/>
    <cellStyle name="Normal 8 3 3 3 5 2" xfId="48814" xr:uid="{00000000-0005-0000-0000-00004DCC0000}"/>
    <cellStyle name="Normal 8 3 3 3 5 3" xfId="32714" xr:uid="{00000000-0005-0000-0000-00004ECC0000}"/>
    <cellStyle name="Normal 8 3 3 3 5 4" xfId="23145" xr:uid="{00000000-0005-0000-0000-00004FCC0000}"/>
    <cellStyle name="Normal 8 3 3 3 6" xfId="4468" xr:uid="{00000000-0005-0000-0000-000050CC0000}"/>
    <cellStyle name="Normal 8 3 3 3 6 2" xfId="52309" xr:uid="{00000000-0005-0000-0000-000051CC0000}"/>
    <cellStyle name="Normal 8 3 3 3 6 3" xfId="36209" xr:uid="{00000000-0005-0000-0000-000052CC0000}"/>
    <cellStyle name="Normal 8 3 3 3 6 4" xfId="17073" xr:uid="{00000000-0005-0000-0000-000053CC0000}"/>
    <cellStyle name="Normal 8 3 3 3 7" xfId="42742" xr:uid="{00000000-0005-0000-0000-000054CC0000}"/>
    <cellStyle name="Normal 8 3 3 3 8" xfId="26642" xr:uid="{00000000-0005-0000-0000-000055CC0000}"/>
    <cellStyle name="Normal 8 3 3 3 9" xfId="13578" xr:uid="{00000000-0005-0000-0000-000056CC0000}"/>
    <cellStyle name="Normal 8 3 3 4" xfId="2120" xr:uid="{00000000-0005-0000-0000-000057CC0000}"/>
    <cellStyle name="Normal 8 3 3 4 2" xfId="8654" xr:uid="{00000000-0005-0000-0000-000058CC0000}"/>
    <cellStyle name="Normal 8 3 3 4 2 2" xfId="40395" xr:uid="{00000000-0005-0000-0000-000059CC0000}"/>
    <cellStyle name="Normal 8 3 3 4 2 2 2" xfId="56495" xr:uid="{00000000-0005-0000-0000-00005ACC0000}"/>
    <cellStyle name="Normal 8 3 3 4 2 3" xfId="46928" xr:uid="{00000000-0005-0000-0000-00005BCC0000}"/>
    <cellStyle name="Normal 8 3 3 4 2 4" xfId="30828" xr:uid="{00000000-0005-0000-0000-00005CCC0000}"/>
    <cellStyle name="Normal 8 3 3 4 2 5" xfId="21259" xr:uid="{00000000-0005-0000-0000-00005DCC0000}"/>
    <cellStyle name="Normal 8 3 3 4 3" xfId="11690" xr:uid="{00000000-0005-0000-0000-00005ECC0000}"/>
    <cellStyle name="Normal 8 3 3 4 3 2" xfId="49964" xr:uid="{00000000-0005-0000-0000-00005FCC0000}"/>
    <cellStyle name="Normal 8 3 3 4 3 3" xfId="33864" xr:uid="{00000000-0005-0000-0000-000060CC0000}"/>
    <cellStyle name="Normal 8 3 3 4 3 4" xfId="24295" xr:uid="{00000000-0005-0000-0000-000061CC0000}"/>
    <cellStyle name="Normal 8 3 3 4 4" xfId="5618" xr:uid="{00000000-0005-0000-0000-000062CC0000}"/>
    <cellStyle name="Normal 8 3 3 4 4 2" xfId="53459" xr:uid="{00000000-0005-0000-0000-000063CC0000}"/>
    <cellStyle name="Normal 8 3 3 4 4 3" xfId="37359" xr:uid="{00000000-0005-0000-0000-000064CC0000}"/>
    <cellStyle name="Normal 8 3 3 4 4 4" xfId="18223" xr:uid="{00000000-0005-0000-0000-000065CC0000}"/>
    <cellStyle name="Normal 8 3 3 4 5" xfId="43892" xr:uid="{00000000-0005-0000-0000-000066CC0000}"/>
    <cellStyle name="Normal 8 3 3 4 6" xfId="27792" xr:uid="{00000000-0005-0000-0000-000067CC0000}"/>
    <cellStyle name="Normal 8 3 3 4 7" xfId="14728" xr:uid="{00000000-0005-0000-0000-000068CC0000}"/>
    <cellStyle name="Normal 8 3 3 5" xfId="1332" xr:uid="{00000000-0005-0000-0000-000069CC0000}"/>
    <cellStyle name="Normal 8 3 3 5 2" xfId="7866" xr:uid="{00000000-0005-0000-0000-00006ACC0000}"/>
    <cellStyle name="Normal 8 3 3 5 2 2" xfId="39607" xr:uid="{00000000-0005-0000-0000-00006BCC0000}"/>
    <cellStyle name="Normal 8 3 3 5 2 2 2" xfId="55707" xr:uid="{00000000-0005-0000-0000-00006CCC0000}"/>
    <cellStyle name="Normal 8 3 3 5 2 3" xfId="46140" xr:uid="{00000000-0005-0000-0000-00006DCC0000}"/>
    <cellStyle name="Normal 8 3 3 5 2 4" xfId="30040" xr:uid="{00000000-0005-0000-0000-00006ECC0000}"/>
    <cellStyle name="Normal 8 3 3 5 2 5" xfId="20471" xr:uid="{00000000-0005-0000-0000-00006FCC0000}"/>
    <cellStyle name="Normal 8 3 3 5 3" xfId="10902" xr:uid="{00000000-0005-0000-0000-000070CC0000}"/>
    <cellStyle name="Normal 8 3 3 5 3 2" xfId="49176" xr:uid="{00000000-0005-0000-0000-000071CC0000}"/>
    <cellStyle name="Normal 8 3 3 5 3 3" xfId="33076" xr:uid="{00000000-0005-0000-0000-000072CC0000}"/>
    <cellStyle name="Normal 8 3 3 5 3 4" xfId="23507" xr:uid="{00000000-0005-0000-0000-000073CC0000}"/>
    <cellStyle name="Normal 8 3 3 5 4" xfId="4830" xr:uid="{00000000-0005-0000-0000-000074CC0000}"/>
    <cellStyle name="Normal 8 3 3 5 4 2" xfId="52671" xr:uid="{00000000-0005-0000-0000-000075CC0000}"/>
    <cellStyle name="Normal 8 3 3 5 4 3" xfId="36571" xr:uid="{00000000-0005-0000-0000-000076CC0000}"/>
    <cellStyle name="Normal 8 3 3 5 4 4" xfId="17435" xr:uid="{00000000-0005-0000-0000-000077CC0000}"/>
    <cellStyle name="Normal 8 3 3 5 5" xfId="43104" xr:uid="{00000000-0005-0000-0000-000078CC0000}"/>
    <cellStyle name="Normal 8 3 3 5 6" xfId="27004" xr:uid="{00000000-0005-0000-0000-000079CC0000}"/>
    <cellStyle name="Normal 8 3 3 5 7" xfId="13940" xr:uid="{00000000-0005-0000-0000-00007ACC0000}"/>
    <cellStyle name="Normal 8 3 3 6" xfId="3820" xr:uid="{00000000-0005-0000-0000-00007BCC0000}"/>
    <cellStyle name="Normal 8 3 3 6 2" xfId="35561" xr:uid="{00000000-0005-0000-0000-00007CCC0000}"/>
    <cellStyle name="Normal 8 3 3 6 2 2" xfId="51661" xr:uid="{00000000-0005-0000-0000-00007DCC0000}"/>
    <cellStyle name="Normal 8 3 3 6 3" xfId="42094" xr:uid="{00000000-0005-0000-0000-00007ECC0000}"/>
    <cellStyle name="Normal 8 3 3 6 4" xfId="25994" xr:uid="{00000000-0005-0000-0000-00007FCC0000}"/>
    <cellStyle name="Normal 8 3 3 6 5" xfId="16425" xr:uid="{00000000-0005-0000-0000-000080CC0000}"/>
    <cellStyle name="Normal 8 3 3 7" xfId="6856" xr:uid="{00000000-0005-0000-0000-000081CC0000}"/>
    <cellStyle name="Normal 8 3 3 7 2" xfId="38597" xr:uid="{00000000-0005-0000-0000-000082CC0000}"/>
    <cellStyle name="Normal 8 3 3 7 2 2" xfId="54697" xr:uid="{00000000-0005-0000-0000-000083CC0000}"/>
    <cellStyle name="Normal 8 3 3 7 3" xfId="45130" xr:uid="{00000000-0005-0000-0000-000084CC0000}"/>
    <cellStyle name="Normal 8 3 3 7 4" xfId="29030" xr:uid="{00000000-0005-0000-0000-000085CC0000}"/>
    <cellStyle name="Normal 8 3 3 7 5" xfId="19461" xr:uid="{00000000-0005-0000-0000-000086CC0000}"/>
    <cellStyle name="Normal 8 3 3 8" xfId="9892" xr:uid="{00000000-0005-0000-0000-000087CC0000}"/>
    <cellStyle name="Normal 8 3 3 8 2" xfId="48166" xr:uid="{00000000-0005-0000-0000-000088CC0000}"/>
    <cellStyle name="Normal 8 3 3 8 3" xfId="32066" xr:uid="{00000000-0005-0000-0000-000089CC0000}"/>
    <cellStyle name="Normal 8 3 3 8 4" xfId="22497" xr:uid="{00000000-0005-0000-0000-00008ACC0000}"/>
    <cellStyle name="Normal 8 3 3 9" xfId="3341" xr:uid="{00000000-0005-0000-0000-00008BCC0000}"/>
    <cellStyle name="Normal 8 3 3 9 2" xfId="51182" xr:uid="{00000000-0005-0000-0000-00008CCC0000}"/>
    <cellStyle name="Normal 8 3 3 9 3" xfId="35082" xr:uid="{00000000-0005-0000-0000-00008DCC0000}"/>
    <cellStyle name="Normal 8 3 3 9 4" xfId="15946" xr:uid="{00000000-0005-0000-0000-00008ECC0000}"/>
    <cellStyle name="Normal 8 3 4" xfId="172" xr:uid="{00000000-0005-0000-0000-00008FCC0000}"/>
    <cellStyle name="Normal 8 3 4 10" xfId="26065" xr:uid="{00000000-0005-0000-0000-000090CC0000}"/>
    <cellStyle name="Normal 8 3 4 11" xfId="13001" xr:uid="{00000000-0005-0000-0000-000091CC0000}"/>
    <cellStyle name="Normal 8 3 4 2" xfId="349" xr:uid="{00000000-0005-0000-0000-000092CC0000}"/>
    <cellStyle name="Normal 8 3 4 2 2" xfId="2368" xr:uid="{00000000-0005-0000-0000-000093CC0000}"/>
    <cellStyle name="Normal 8 3 4 2 2 2" xfId="8902" xr:uid="{00000000-0005-0000-0000-000094CC0000}"/>
    <cellStyle name="Normal 8 3 4 2 2 2 2" xfId="40643" xr:uid="{00000000-0005-0000-0000-000095CC0000}"/>
    <cellStyle name="Normal 8 3 4 2 2 2 2 2" xfId="56743" xr:uid="{00000000-0005-0000-0000-000096CC0000}"/>
    <cellStyle name="Normal 8 3 4 2 2 2 3" xfId="47176" xr:uid="{00000000-0005-0000-0000-000097CC0000}"/>
    <cellStyle name="Normal 8 3 4 2 2 2 4" xfId="31076" xr:uid="{00000000-0005-0000-0000-000098CC0000}"/>
    <cellStyle name="Normal 8 3 4 2 2 2 5" xfId="21507" xr:uid="{00000000-0005-0000-0000-000099CC0000}"/>
    <cellStyle name="Normal 8 3 4 2 2 3" xfId="11938" xr:uid="{00000000-0005-0000-0000-00009ACC0000}"/>
    <cellStyle name="Normal 8 3 4 2 2 3 2" xfId="50212" xr:uid="{00000000-0005-0000-0000-00009BCC0000}"/>
    <cellStyle name="Normal 8 3 4 2 2 3 3" xfId="34112" xr:uid="{00000000-0005-0000-0000-00009CCC0000}"/>
    <cellStyle name="Normal 8 3 4 2 2 3 4" xfId="24543" xr:uid="{00000000-0005-0000-0000-00009DCC0000}"/>
    <cellStyle name="Normal 8 3 4 2 2 4" xfId="5866" xr:uid="{00000000-0005-0000-0000-00009ECC0000}"/>
    <cellStyle name="Normal 8 3 4 2 2 4 2" xfId="53707" xr:uid="{00000000-0005-0000-0000-00009FCC0000}"/>
    <cellStyle name="Normal 8 3 4 2 2 4 3" xfId="37607" xr:uid="{00000000-0005-0000-0000-0000A0CC0000}"/>
    <cellStyle name="Normal 8 3 4 2 2 4 4" xfId="18471" xr:uid="{00000000-0005-0000-0000-0000A1CC0000}"/>
    <cellStyle name="Normal 8 3 4 2 2 5" xfId="44140" xr:uid="{00000000-0005-0000-0000-0000A2CC0000}"/>
    <cellStyle name="Normal 8 3 4 2 2 6" xfId="28040" xr:uid="{00000000-0005-0000-0000-0000A3CC0000}"/>
    <cellStyle name="Normal 8 3 4 2 2 7" xfId="14976" xr:uid="{00000000-0005-0000-0000-0000A4CC0000}"/>
    <cellStyle name="Normal 8 3 4 2 3" xfId="1580" xr:uid="{00000000-0005-0000-0000-0000A5CC0000}"/>
    <cellStyle name="Normal 8 3 4 2 3 2" xfId="8114" xr:uid="{00000000-0005-0000-0000-0000A6CC0000}"/>
    <cellStyle name="Normal 8 3 4 2 3 2 2" xfId="39855" xr:uid="{00000000-0005-0000-0000-0000A7CC0000}"/>
    <cellStyle name="Normal 8 3 4 2 3 2 2 2" xfId="55955" xr:uid="{00000000-0005-0000-0000-0000A8CC0000}"/>
    <cellStyle name="Normal 8 3 4 2 3 2 3" xfId="46388" xr:uid="{00000000-0005-0000-0000-0000A9CC0000}"/>
    <cellStyle name="Normal 8 3 4 2 3 2 4" xfId="30288" xr:uid="{00000000-0005-0000-0000-0000AACC0000}"/>
    <cellStyle name="Normal 8 3 4 2 3 2 5" xfId="20719" xr:uid="{00000000-0005-0000-0000-0000ABCC0000}"/>
    <cellStyle name="Normal 8 3 4 2 3 3" xfId="11150" xr:uid="{00000000-0005-0000-0000-0000ACCC0000}"/>
    <cellStyle name="Normal 8 3 4 2 3 3 2" xfId="49424" xr:uid="{00000000-0005-0000-0000-0000ADCC0000}"/>
    <cellStyle name="Normal 8 3 4 2 3 3 3" xfId="33324" xr:uid="{00000000-0005-0000-0000-0000AECC0000}"/>
    <cellStyle name="Normal 8 3 4 2 3 3 4" xfId="23755" xr:uid="{00000000-0005-0000-0000-0000AFCC0000}"/>
    <cellStyle name="Normal 8 3 4 2 3 4" xfId="5078" xr:uid="{00000000-0005-0000-0000-0000B0CC0000}"/>
    <cellStyle name="Normal 8 3 4 2 3 4 2" xfId="52919" xr:uid="{00000000-0005-0000-0000-0000B1CC0000}"/>
    <cellStyle name="Normal 8 3 4 2 3 4 3" xfId="36819" xr:uid="{00000000-0005-0000-0000-0000B2CC0000}"/>
    <cellStyle name="Normal 8 3 4 2 3 4 4" xfId="17683" xr:uid="{00000000-0005-0000-0000-0000B3CC0000}"/>
    <cellStyle name="Normal 8 3 4 2 3 5" xfId="43352" xr:uid="{00000000-0005-0000-0000-0000B4CC0000}"/>
    <cellStyle name="Normal 8 3 4 2 3 6" xfId="27252" xr:uid="{00000000-0005-0000-0000-0000B5CC0000}"/>
    <cellStyle name="Normal 8 3 4 2 3 7" xfId="14188" xr:uid="{00000000-0005-0000-0000-0000B6CC0000}"/>
    <cellStyle name="Normal 8 3 4 2 4" xfId="7104" xr:uid="{00000000-0005-0000-0000-0000B7CC0000}"/>
    <cellStyle name="Normal 8 3 4 2 4 2" xfId="38845" xr:uid="{00000000-0005-0000-0000-0000B8CC0000}"/>
    <cellStyle name="Normal 8 3 4 2 4 2 2" xfId="54945" xr:uid="{00000000-0005-0000-0000-0000B9CC0000}"/>
    <cellStyle name="Normal 8 3 4 2 4 3" xfId="45378" xr:uid="{00000000-0005-0000-0000-0000BACC0000}"/>
    <cellStyle name="Normal 8 3 4 2 4 4" xfId="29278" xr:uid="{00000000-0005-0000-0000-0000BBCC0000}"/>
    <cellStyle name="Normal 8 3 4 2 4 5" xfId="19709" xr:uid="{00000000-0005-0000-0000-0000BCCC0000}"/>
    <cellStyle name="Normal 8 3 4 2 5" xfId="10140" xr:uid="{00000000-0005-0000-0000-0000BDCC0000}"/>
    <cellStyle name="Normal 8 3 4 2 5 2" xfId="48414" xr:uid="{00000000-0005-0000-0000-0000BECC0000}"/>
    <cellStyle name="Normal 8 3 4 2 5 3" xfId="32314" xr:uid="{00000000-0005-0000-0000-0000BFCC0000}"/>
    <cellStyle name="Normal 8 3 4 2 5 4" xfId="22745" xr:uid="{00000000-0005-0000-0000-0000C0CC0000}"/>
    <cellStyle name="Normal 8 3 4 2 6" xfId="4068" xr:uid="{00000000-0005-0000-0000-0000C1CC0000}"/>
    <cellStyle name="Normal 8 3 4 2 6 2" xfId="51909" xr:uid="{00000000-0005-0000-0000-0000C2CC0000}"/>
    <cellStyle name="Normal 8 3 4 2 6 3" xfId="35809" xr:uid="{00000000-0005-0000-0000-0000C3CC0000}"/>
    <cellStyle name="Normal 8 3 4 2 6 4" xfId="16673" xr:uid="{00000000-0005-0000-0000-0000C4CC0000}"/>
    <cellStyle name="Normal 8 3 4 2 7" xfId="42342" xr:uid="{00000000-0005-0000-0000-0000C5CC0000}"/>
    <cellStyle name="Normal 8 3 4 2 8" xfId="26242" xr:uid="{00000000-0005-0000-0000-0000C6CC0000}"/>
    <cellStyle name="Normal 8 3 4 2 9" xfId="13178" xr:uid="{00000000-0005-0000-0000-0000C7CC0000}"/>
    <cellStyle name="Normal 8 3 4 3" xfId="989" xr:uid="{00000000-0005-0000-0000-0000C8CC0000}"/>
    <cellStyle name="Normal 8 3 4 3 2" xfId="3017" xr:uid="{00000000-0005-0000-0000-0000C9CC0000}"/>
    <cellStyle name="Normal 8 3 4 3 2 2" xfId="9549" xr:uid="{00000000-0005-0000-0000-0000CACC0000}"/>
    <cellStyle name="Normal 8 3 4 3 2 2 2" xfId="41290" xr:uid="{00000000-0005-0000-0000-0000CBCC0000}"/>
    <cellStyle name="Normal 8 3 4 3 2 2 2 2" xfId="57390" xr:uid="{00000000-0005-0000-0000-0000CCCC0000}"/>
    <cellStyle name="Normal 8 3 4 3 2 2 3" xfId="47823" xr:uid="{00000000-0005-0000-0000-0000CDCC0000}"/>
    <cellStyle name="Normal 8 3 4 3 2 2 4" xfId="31723" xr:uid="{00000000-0005-0000-0000-0000CECC0000}"/>
    <cellStyle name="Normal 8 3 4 3 2 2 5" xfId="22154" xr:uid="{00000000-0005-0000-0000-0000CFCC0000}"/>
    <cellStyle name="Normal 8 3 4 3 2 3" xfId="12585" xr:uid="{00000000-0005-0000-0000-0000D0CC0000}"/>
    <cellStyle name="Normal 8 3 4 3 2 3 2" xfId="50859" xr:uid="{00000000-0005-0000-0000-0000D1CC0000}"/>
    <cellStyle name="Normal 8 3 4 3 2 3 3" xfId="34759" xr:uid="{00000000-0005-0000-0000-0000D2CC0000}"/>
    <cellStyle name="Normal 8 3 4 3 2 3 4" xfId="25190" xr:uid="{00000000-0005-0000-0000-0000D3CC0000}"/>
    <cellStyle name="Normal 8 3 4 3 2 4" xfId="6513" xr:uid="{00000000-0005-0000-0000-0000D4CC0000}"/>
    <cellStyle name="Normal 8 3 4 3 2 4 2" xfId="54354" xr:uid="{00000000-0005-0000-0000-0000D5CC0000}"/>
    <cellStyle name="Normal 8 3 4 3 2 4 3" xfId="38254" xr:uid="{00000000-0005-0000-0000-0000D6CC0000}"/>
    <cellStyle name="Normal 8 3 4 3 2 4 4" xfId="19118" xr:uid="{00000000-0005-0000-0000-0000D7CC0000}"/>
    <cellStyle name="Normal 8 3 4 3 2 5" xfId="44787" xr:uid="{00000000-0005-0000-0000-0000D8CC0000}"/>
    <cellStyle name="Normal 8 3 4 3 2 6" xfId="28687" xr:uid="{00000000-0005-0000-0000-0000D9CC0000}"/>
    <cellStyle name="Normal 8 3 4 3 2 7" xfId="15623" xr:uid="{00000000-0005-0000-0000-0000DACC0000}"/>
    <cellStyle name="Normal 8 3 4 3 3" xfId="1999" xr:uid="{00000000-0005-0000-0000-0000DBCC0000}"/>
    <cellStyle name="Normal 8 3 4 3 3 2" xfId="8533" xr:uid="{00000000-0005-0000-0000-0000DCCC0000}"/>
    <cellStyle name="Normal 8 3 4 3 3 2 2" xfId="40274" xr:uid="{00000000-0005-0000-0000-0000DDCC0000}"/>
    <cellStyle name="Normal 8 3 4 3 3 2 2 2" xfId="56374" xr:uid="{00000000-0005-0000-0000-0000DECC0000}"/>
    <cellStyle name="Normal 8 3 4 3 3 2 3" xfId="46807" xr:uid="{00000000-0005-0000-0000-0000DFCC0000}"/>
    <cellStyle name="Normal 8 3 4 3 3 2 4" xfId="30707" xr:uid="{00000000-0005-0000-0000-0000E0CC0000}"/>
    <cellStyle name="Normal 8 3 4 3 3 2 5" xfId="21138" xr:uid="{00000000-0005-0000-0000-0000E1CC0000}"/>
    <cellStyle name="Normal 8 3 4 3 3 3" xfId="11569" xr:uid="{00000000-0005-0000-0000-0000E2CC0000}"/>
    <cellStyle name="Normal 8 3 4 3 3 3 2" xfId="49843" xr:uid="{00000000-0005-0000-0000-0000E3CC0000}"/>
    <cellStyle name="Normal 8 3 4 3 3 3 3" xfId="33743" xr:uid="{00000000-0005-0000-0000-0000E4CC0000}"/>
    <cellStyle name="Normal 8 3 4 3 3 3 4" xfId="24174" xr:uid="{00000000-0005-0000-0000-0000E5CC0000}"/>
    <cellStyle name="Normal 8 3 4 3 3 4" xfId="5497" xr:uid="{00000000-0005-0000-0000-0000E6CC0000}"/>
    <cellStyle name="Normal 8 3 4 3 3 4 2" xfId="53338" xr:uid="{00000000-0005-0000-0000-0000E7CC0000}"/>
    <cellStyle name="Normal 8 3 4 3 3 4 3" xfId="37238" xr:uid="{00000000-0005-0000-0000-0000E8CC0000}"/>
    <cellStyle name="Normal 8 3 4 3 3 4 4" xfId="18102" xr:uid="{00000000-0005-0000-0000-0000E9CC0000}"/>
    <cellStyle name="Normal 8 3 4 3 3 5" xfId="43771" xr:uid="{00000000-0005-0000-0000-0000EACC0000}"/>
    <cellStyle name="Normal 8 3 4 3 3 6" xfId="27671" xr:uid="{00000000-0005-0000-0000-0000EBCC0000}"/>
    <cellStyle name="Normal 8 3 4 3 3 7" xfId="14607" xr:uid="{00000000-0005-0000-0000-0000ECCC0000}"/>
    <cellStyle name="Normal 8 3 4 3 4" xfId="7523" xr:uid="{00000000-0005-0000-0000-0000EDCC0000}"/>
    <cellStyle name="Normal 8 3 4 3 4 2" xfId="39264" xr:uid="{00000000-0005-0000-0000-0000EECC0000}"/>
    <cellStyle name="Normal 8 3 4 3 4 2 2" xfId="55364" xr:uid="{00000000-0005-0000-0000-0000EFCC0000}"/>
    <cellStyle name="Normal 8 3 4 3 4 3" xfId="45797" xr:uid="{00000000-0005-0000-0000-0000F0CC0000}"/>
    <cellStyle name="Normal 8 3 4 3 4 4" xfId="29697" xr:uid="{00000000-0005-0000-0000-0000F1CC0000}"/>
    <cellStyle name="Normal 8 3 4 3 4 5" xfId="20128" xr:uid="{00000000-0005-0000-0000-0000F2CC0000}"/>
    <cellStyle name="Normal 8 3 4 3 5" xfId="10559" xr:uid="{00000000-0005-0000-0000-0000F3CC0000}"/>
    <cellStyle name="Normal 8 3 4 3 5 2" xfId="48833" xr:uid="{00000000-0005-0000-0000-0000F4CC0000}"/>
    <cellStyle name="Normal 8 3 4 3 5 3" xfId="32733" xr:uid="{00000000-0005-0000-0000-0000F5CC0000}"/>
    <cellStyle name="Normal 8 3 4 3 5 4" xfId="23164" xr:uid="{00000000-0005-0000-0000-0000F6CC0000}"/>
    <cellStyle name="Normal 8 3 4 3 6" xfId="4487" xr:uid="{00000000-0005-0000-0000-0000F7CC0000}"/>
    <cellStyle name="Normal 8 3 4 3 6 2" xfId="52328" xr:uid="{00000000-0005-0000-0000-0000F8CC0000}"/>
    <cellStyle name="Normal 8 3 4 3 6 3" xfId="36228" xr:uid="{00000000-0005-0000-0000-0000F9CC0000}"/>
    <cellStyle name="Normal 8 3 4 3 6 4" xfId="17092" xr:uid="{00000000-0005-0000-0000-0000FACC0000}"/>
    <cellStyle name="Normal 8 3 4 3 7" xfId="42761" xr:uid="{00000000-0005-0000-0000-0000FBCC0000}"/>
    <cellStyle name="Normal 8 3 4 3 8" xfId="26661" xr:uid="{00000000-0005-0000-0000-0000FCCC0000}"/>
    <cellStyle name="Normal 8 3 4 3 9" xfId="13597" xr:uid="{00000000-0005-0000-0000-0000FDCC0000}"/>
    <cellStyle name="Normal 8 3 4 4" xfId="2191" xr:uid="{00000000-0005-0000-0000-0000FECC0000}"/>
    <cellStyle name="Normal 8 3 4 4 2" xfId="8725" xr:uid="{00000000-0005-0000-0000-0000FFCC0000}"/>
    <cellStyle name="Normal 8 3 4 4 2 2" xfId="40466" xr:uid="{00000000-0005-0000-0000-000000CD0000}"/>
    <cellStyle name="Normal 8 3 4 4 2 2 2" xfId="56566" xr:uid="{00000000-0005-0000-0000-000001CD0000}"/>
    <cellStyle name="Normal 8 3 4 4 2 3" xfId="46999" xr:uid="{00000000-0005-0000-0000-000002CD0000}"/>
    <cellStyle name="Normal 8 3 4 4 2 4" xfId="30899" xr:uid="{00000000-0005-0000-0000-000003CD0000}"/>
    <cellStyle name="Normal 8 3 4 4 2 5" xfId="21330" xr:uid="{00000000-0005-0000-0000-000004CD0000}"/>
    <cellStyle name="Normal 8 3 4 4 3" xfId="11761" xr:uid="{00000000-0005-0000-0000-000005CD0000}"/>
    <cellStyle name="Normal 8 3 4 4 3 2" xfId="50035" xr:uid="{00000000-0005-0000-0000-000006CD0000}"/>
    <cellStyle name="Normal 8 3 4 4 3 3" xfId="33935" xr:uid="{00000000-0005-0000-0000-000007CD0000}"/>
    <cellStyle name="Normal 8 3 4 4 3 4" xfId="24366" xr:uid="{00000000-0005-0000-0000-000008CD0000}"/>
    <cellStyle name="Normal 8 3 4 4 4" xfId="5689" xr:uid="{00000000-0005-0000-0000-000009CD0000}"/>
    <cellStyle name="Normal 8 3 4 4 4 2" xfId="53530" xr:uid="{00000000-0005-0000-0000-00000ACD0000}"/>
    <cellStyle name="Normal 8 3 4 4 4 3" xfId="37430" xr:uid="{00000000-0005-0000-0000-00000BCD0000}"/>
    <cellStyle name="Normal 8 3 4 4 4 4" xfId="18294" xr:uid="{00000000-0005-0000-0000-00000CCD0000}"/>
    <cellStyle name="Normal 8 3 4 4 5" xfId="43963" xr:uid="{00000000-0005-0000-0000-00000DCD0000}"/>
    <cellStyle name="Normal 8 3 4 4 6" xfId="27863" xr:uid="{00000000-0005-0000-0000-00000ECD0000}"/>
    <cellStyle name="Normal 8 3 4 4 7" xfId="14799" xr:uid="{00000000-0005-0000-0000-00000FCD0000}"/>
    <cellStyle name="Normal 8 3 4 5" xfId="1403" xr:uid="{00000000-0005-0000-0000-000010CD0000}"/>
    <cellStyle name="Normal 8 3 4 5 2" xfId="7937" xr:uid="{00000000-0005-0000-0000-000011CD0000}"/>
    <cellStyle name="Normal 8 3 4 5 2 2" xfId="39678" xr:uid="{00000000-0005-0000-0000-000012CD0000}"/>
    <cellStyle name="Normal 8 3 4 5 2 2 2" xfId="55778" xr:uid="{00000000-0005-0000-0000-000013CD0000}"/>
    <cellStyle name="Normal 8 3 4 5 2 3" xfId="46211" xr:uid="{00000000-0005-0000-0000-000014CD0000}"/>
    <cellStyle name="Normal 8 3 4 5 2 4" xfId="30111" xr:uid="{00000000-0005-0000-0000-000015CD0000}"/>
    <cellStyle name="Normal 8 3 4 5 2 5" xfId="20542" xr:uid="{00000000-0005-0000-0000-000016CD0000}"/>
    <cellStyle name="Normal 8 3 4 5 3" xfId="10973" xr:uid="{00000000-0005-0000-0000-000017CD0000}"/>
    <cellStyle name="Normal 8 3 4 5 3 2" xfId="49247" xr:uid="{00000000-0005-0000-0000-000018CD0000}"/>
    <cellStyle name="Normal 8 3 4 5 3 3" xfId="33147" xr:uid="{00000000-0005-0000-0000-000019CD0000}"/>
    <cellStyle name="Normal 8 3 4 5 3 4" xfId="23578" xr:uid="{00000000-0005-0000-0000-00001ACD0000}"/>
    <cellStyle name="Normal 8 3 4 5 4" xfId="4901" xr:uid="{00000000-0005-0000-0000-00001BCD0000}"/>
    <cellStyle name="Normal 8 3 4 5 4 2" xfId="52742" xr:uid="{00000000-0005-0000-0000-00001CCD0000}"/>
    <cellStyle name="Normal 8 3 4 5 4 3" xfId="36642" xr:uid="{00000000-0005-0000-0000-00001DCD0000}"/>
    <cellStyle name="Normal 8 3 4 5 4 4" xfId="17506" xr:uid="{00000000-0005-0000-0000-00001ECD0000}"/>
    <cellStyle name="Normal 8 3 4 5 5" xfId="43175" xr:uid="{00000000-0005-0000-0000-00001FCD0000}"/>
    <cellStyle name="Normal 8 3 4 5 6" xfId="27075" xr:uid="{00000000-0005-0000-0000-000020CD0000}"/>
    <cellStyle name="Normal 8 3 4 5 7" xfId="14011" xr:uid="{00000000-0005-0000-0000-000021CD0000}"/>
    <cellStyle name="Normal 8 3 4 6" xfId="6927" xr:uid="{00000000-0005-0000-0000-000022CD0000}"/>
    <cellStyle name="Normal 8 3 4 6 2" xfId="38668" xr:uid="{00000000-0005-0000-0000-000023CD0000}"/>
    <cellStyle name="Normal 8 3 4 6 2 2" xfId="54768" xr:uid="{00000000-0005-0000-0000-000024CD0000}"/>
    <cellStyle name="Normal 8 3 4 6 3" xfId="45201" xr:uid="{00000000-0005-0000-0000-000025CD0000}"/>
    <cellStyle name="Normal 8 3 4 6 4" xfId="29101" xr:uid="{00000000-0005-0000-0000-000026CD0000}"/>
    <cellStyle name="Normal 8 3 4 6 5" xfId="19532" xr:uid="{00000000-0005-0000-0000-000027CD0000}"/>
    <cellStyle name="Normal 8 3 4 7" xfId="9963" xr:uid="{00000000-0005-0000-0000-000028CD0000}"/>
    <cellStyle name="Normal 8 3 4 7 2" xfId="48237" xr:uid="{00000000-0005-0000-0000-000029CD0000}"/>
    <cellStyle name="Normal 8 3 4 7 3" xfId="32137" xr:uid="{00000000-0005-0000-0000-00002ACD0000}"/>
    <cellStyle name="Normal 8 3 4 7 4" xfId="22568" xr:uid="{00000000-0005-0000-0000-00002BCD0000}"/>
    <cellStyle name="Normal 8 3 4 8" xfId="3891" xr:uid="{00000000-0005-0000-0000-00002CCD0000}"/>
    <cellStyle name="Normal 8 3 4 8 2" xfId="51732" xr:uid="{00000000-0005-0000-0000-00002DCD0000}"/>
    <cellStyle name="Normal 8 3 4 8 3" xfId="35632" xr:uid="{00000000-0005-0000-0000-00002ECD0000}"/>
    <cellStyle name="Normal 8 3 4 8 4" xfId="16496" xr:uid="{00000000-0005-0000-0000-00002FCD0000}"/>
    <cellStyle name="Normal 8 3 4 9" xfId="42165" xr:uid="{00000000-0005-0000-0000-000030CD0000}"/>
    <cellStyle name="Normal 8 3 5" xfId="243" xr:uid="{00000000-0005-0000-0000-000031CD0000}"/>
    <cellStyle name="Normal 8 3 5 2" xfId="2262" xr:uid="{00000000-0005-0000-0000-000032CD0000}"/>
    <cellStyle name="Normal 8 3 5 2 2" xfId="8796" xr:uid="{00000000-0005-0000-0000-000033CD0000}"/>
    <cellStyle name="Normal 8 3 5 2 2 2" xfId="40537" xr:uid="{00000000-0005-0000-0000-000034CD0000}"/>
    <cellStyle name="Normal 8 3 5 2 2 2 2" xfId="56637" xr:uid="{00000000-0005-0000-0000-000035CD0000}"/>
    <cellStyle name="Normal 8 3 5 2 2 3" xfId="47070" xr:uid="{00000000-0005-0000-0000-000036CD0000}"/>
    <cellStyle name="Normal 8 3 5 2 2 4" xfId="30970" xr:uid="{00000000-0005-0000-0000-000037CD0000}"/>
    <cellStyle name="Normal 8 3 5 2 2 5" xfId="21401" xr:uid="{00000000-0005-0000-0000-000038CD0000}"/>
    <cellStyle name="Normal 8 3 5 2 3" xfId="11832" xr:uid="{00000000-0005-0000-0000-000039CD0000}"/>
    <cellStyle name="Normal 8 3 5 2 3 2" xfId="50106" xr:uid="{00000000-0005-0000-0000-00003ACD0000}"/>
    <cellStyle name="Normal 8 3 5 2 3 3" xfId="34006" xr:uid="{00000000-0005-0000-0000-00003BCD0000}"/>
    <cellStyle name="Normal 8 3 5 2 3 4" xfId="24437" xr:uid="{00000000-0005-0000-0000-00003CCD0000}"/>
    <cellStyle name="Normal 8 3 5 2 4" xfId="5760" xr:uid="{00000000-0005-0000-0000-00003DCD0000}"/>
    <cellStyle name="Normal 8 3 5 2 4 2" xfId="53601" xr:uid="{00000000-0005-0000-0000-00003ECD0000}"/>
    <cellStyle name="Normal 8 3 5 2 4 3" xfId="37501" xr:uid="{00000000-0005-0000-0000-00003FCD0000}"/>
    <cellStyle name="Normal 8 3 5 2 4 4" xfId="18365" xr:uid="{00000000-0005-0000-0000-000040CD0000}"/>
    <cellStyle name="Normal 8 3 5 2 5" xfId="44034" xr:uid="{00000000-0005-0000-0000-000041CD0000}"/>
    <cellStyle name="Normal 8 3 5 2 6" xfId="27934" xr:uid="{00000000-0005-0000-0000-000042CD0000}"/>
    <cellStyle name="Normal 8 3 5 2 7" xfId="14870" xr:uid="{00000000-0005-0000-0000-000043CD0000}"/>
    <cellStyle name="Normal 8 3 5 3" xfId="1474" xr:uid="{00000000-0005-0000-0000-000044CD0000}"/>
    <cellStyle name="Normal 8 3 5 3 2" xfId="8008" xr:uid="{00000000-0005-0000-0000-000045CD0000}"/>
    <cellStyle name="Normal 8 3 5 3 2 2" xfId="39749" xr:uid="{00000000-0005-0000-0000-000046CD0000}"/>
    <cellStyle name="Normal 8 3 5 3 2 2 2" xfId="55849" xr:uid="{00000000-0005-0000-0000-000047CD0000}"/>
    <cellStyle name="Normal 8 3 5 3 2 3" xfId="46282" xr:uid="{00000000-0005-0000-0000-000048CD0000}"/>
    <cellStyle name="Normal 8 3 5 3 2 4" xfId="30182" xr:uid="{00000000-0005-0000-0000-000049CD0000}"/>
    <cellStyle name="Normal 8 3 5 3 2 5" xfId="20613" xr:uid="{00000000-0005-0000-0000-00004ACD0000}"/>
    <cellStyle name="Normal 8 3 5 3 3" xfId="11044" xr:uid="{00000000-0005-0000-0000-00004BCD0000}"/>
    <cellStyle name="Normal 8 3 5 3 3 2" xfId="49318" xr:uid="{00000000-0005-0000-0000-00004CCD0000}"/>
    <cellStyle name="Normal 8 3 5 3 3 3" xfId="33218" xr:uid="{00000000-0005-0000-0000-00004DCD0000}"/>
    <cellStyle name="Normal 8 3 5 3 3 4" xfId="23649" xr:uid="{00000000-0005-0000-0000-00004ECD0000}"/>
    <cellStyle name="Normal 8 3 5 3 4" xfId="4972" xr:uid="{00000000-0005-0000-0000-00004FCD0000}"/>
    <cellStyle name="Normal 8 3 5 3 4 2" xfId="52813" xr:uid="{00000000-0005-0000-0000-000050CD0000}"/>
    <cellStyle name="Normal 8 3 5 3 4 3" xfId="36713" xr:uid="{00000000-0005-0000-0000-000051CD0000}"/>
    <cellStyle name="Normal 8 3 5 3 4 4" xfId="17577" xr:uid="{00000000-0005-0000-0000-000052CD0000}"/>
    <cellStyle name="Normal 8 3 5 3 5" xfId="43246" xr:uid="{00000000-0005-0000-0000-000053CD0000}"/>
    <cellStyle name="Normal 8 3 5 3 6" xfId="27146" xr:uid="{00000000-0005-0000-0000-000054CD0000}"/>
    <cellStyle name="Normal 8 3 5 3 7" xfId="14082" xr:uid="{00000000-0005-0000-0000-000055CD0000}"/>
    <cellStyle name="Normal 8 3 5 4" xfId="6998" xr:uid="{00000000-0005-0000-0000-000056CD0000}"/>
    <cellStyle name="Normal 8 3 5 4 2" xfId="38739" xr:uid="{00000000-0005-0000-0000-000057CD0000}"/>
    <cellStyle name="Normal 8 3 5 4 2 2" xfId="54839" xr:uid="{00000000-0005-0000-0000-000058CD0000}"/>
    <cellStyle name="Normal 8 3 5 4 3" xfId="45272" xr:uid="{00000000-0005-0000-0000-000059CD0000}"/>
    <cellStyle name="Normal 8 3 5 4 4" xfId="29172" xr:uid="{00000000-0005-0000-0000-00005ACD0000}"/>
    <cellStyle name="Normal 8 3 5 4 5" xfId="19603" xr:uid="{00000000-0005-0000-0000-00005BCD0000}"/>
    <cellStyle name="Normal 8 3 5 5" xfId="10034" xr:uid="{00000000-0005-0000-0000-00005CCD0000}"/>
    <cellStyle name="Normal 8 3 5 5 2" xfId="48308" xr:uid="{00000000-0005-0000-0000-00005DCD0000}"/>
    <cellStyle name="Normal 8 3 5 5 3" xfId="32208" xr:uid="{00000000-0005-0000-0000-00005ECD0000}"/>
    <cellStyle name="Normal 8 3 5 5 4" xfId="22639" xr:uid="{00000000-0005-0000-0000-00005FCD0000}"/>
    <cellStyle name="Normal 8 3 5 6" xfId="3962" xr:uid="{00000000-0005-0000-0000-000060CD0000}"/>
    <cellStyle name="Normal 8 3 5 6 2" xfId="51803" xr:uid="{00000000-0005-0000-0000-000061CD0000}"/>
    <cellStyle name="Normal 8 3 5 6 3" xfId="35703" xr:uid="{00000000-0005-0000-0000-000062CD0000}"/>
    <cellStyle name="Normal 8 3 5 6 4" xfId="16567" xr:uid="{00000000-0005-0000-0000-000063CD0000}"/>
    <cellStyle name="Normal 8 3 5 7" xfId="42236" xr:uid="{00000000-0005-0000-0000-000064CD0000}"/>
    <cellStyle name="Normal 8 3 5 8" xfId="26136" xr:uid="{00000000-0005-0000-0000-000065CD0000}"/>
    <cellStyle name="Normal 8 3 5 9" xfId="13072" xr:uid="{00000000-0005-0000-0000-000066CD0000}"/>
    <cellStyle name="Normal 8 3 6" xfId="518" xr:uid="{00000000-0005-0000-0000-000067CD0000}"/>
    <cellStyle name="Normal 8 3 6 2" xfId="2548" xr:uid="{00000000-0005-0000-0000-000068CD0000}"/>
    <cellStyle name="Normal 8 3 6 2 2" xfId="9080" xr:uid="{00000000-0005-0000-0000-000069CD0000}"/>
    <cellStyle name="Normal 8 3 6 2 2 2" xfId="40821" xr:uid="{00000000-0005-0000-0000-00006ACD0000}"/>
    <cellStyle name="Normal 8 3 6 2 2 2 2" xfId="56921" xr:uid="{00000000-0005-0000-0000-00006BCD0000}"/>
    <cellStyle name="Normal 8 3 6 2 2 3" xfId="47354" xr:uid="{00000000-0005-0000-0000-00006CCD0000}"/>
    <cellStyle name="Normal 8 3 6 2 2 4" xfId="31254" xr:uid="{00000000-0005-0000-0000-00006DCD0000}"/>
    <cellStyle name="Normal 8 3 6 2 2 5" xfId="21685" xr:uid="{00000000-0005-0000-0000-00006ECD0000}"/>
    <cellStyle name="Normal 8 3 6 2 3" xfId="12116" xr:uid="{00000000-0005-0000-0000-00006FCD0000}"/>
    <cellStyle name="Normal 8 3 6 2 3 2" xfId="50390" xr:uid="{00000000-0005-0000-0000-000070CD0000}"/>
    <cellStyle name="Normal 8 3 6 2 3 3" xfId="34290" xr:uid="{00000000-0005-0000-0000-000071CD0000}"/>
    <cellStyle name="Normal 8 3 6 2 3 4" xfId="24721" xr:uid="{00000000-0005-0000-0000-000072CD0000}"/>
    <cellStyle name="Normal 8 3 6 2 4" xfId="6044" xr:uid="{00000000-0005-0000-0000-000073CD0000}"/>
    <cellStyle name="Normal 8 3 6 2 4 2" xfId="53885" xr:uid="{00000000-0005-0000-0000-000074CD0000}"/>
    <cellStyle name="Normal 8 3 6 2 4 3" xfId="37785" xr:uid="{00000000-0005-0000-0000-000075CD0000}"/>
    <cellStyle name="Normal 8 3 6 2 4 4" xfId="18649" xr:uid="{00000000-0005-0000-0000-000076CD0000}"/>
    <cellStyle name="Normal 8 3 6 2 5" xfId="44318" xr:uid="{00000000-0005-0000-0000-000077CD0000}"/>
    <cellStyle name="Normal 8 3 6 2 6" xfId="28218" xr:uid="{00000000-0005-0000-0000-000078CD0000}"/>
    <cellStyle name="Normal 8 3 6 2 7" xfId="15154" xr:uid="{00000000-0005-0000-0000-000079CD0000}"/>
    <cellStyle name="Normal 8 3 6 3" xfId="1297" xr:uid="{00000000-0005-0000-0000-00007ACD0000}"/>
    <cellStyle name="Normal 8 3 6 3 2" xfId="7831" xr:uid="{00000000-0005-0000-0000-00007BCD0000}"/>
    <cellStyle name="Normal 8 3 6 3 2 2" xfId="39572" xr:uid="{00000000-0005-0000-0000-00007CCD0000}"/>
    <cellStyle name="Normal 8 3 6 3 2 2 2" xfId="55672" xr:uid="{00000000-0005-0000-0000-00007DCD0000}"/>
    <cellStyle name="Normal 8 3 6 3 2 3" xfId="46105" xr:uid="{00000000-0005-0000-0000-00007ECD0000}"/>
    <cellStyle name="Normal 8 3 6 3 2 4" xfId="30005" xr:uid="{00000000-0005-0000-0000-00007FCD0000}"/>
    <cellStyle name="Normal 8 3 6 3 2 5" xfId="20436" xr:uid="{00000000-0005-0000-0000-000080CD0000}"/>
    <cellStyle name="Normal 8 3 6 3 3" xfId="10867" xr:uid="{00000000-0005-0000-0000-000081CD0000}"/>
    <cellStyle name="Normal 8 3 6 3 3 2" xfId="49141" xr:uid="{00000000-0005-0000-0000-000082CD0000}"/>
    <cellStyle name="Normal 8 3 6 3 3 3" xfId="33041" xr:uid="{00000000-0005-0000-0000-000083CD0000}"/>
    <cellStyle name="Normal 8 3 6 3 3 4" xfId="23472" xr:uid="{00000000-0005-0000-0000-000084CD0000}"/>
    <cellStyle name="Normal 8 3 6 3 4" xfId="4795" xr:uid="{00000000-0005-0000-0000-000085CD0000}"/>
    <cellStyle name="Normal 8 3 6 3 4 2" xfId="52636" xr:uid="{00000000-0005-0000-0000-000086CD0000}"/>
    <cellStyle name="Normal 8 3 6 3 4 3" xfId="36536" xr:uid="{00000000-0005-0000-0000-000087CD0000}"/>
    <cellStyle name="Normal 8 3 6 3 4 4" xfId="17400" xr:uid="{00000000-0005-0000-0000-000088CD0000}"/>
    <cellStyle name="Normal 8 3 6 3 5" xfId="43069" xr:uid="{00000000-0005-0000-0000-000089CD0000}"/>
    <cellStyle name="Normal 8 3 6 3 6" xfId="26969" xr:uid="{00000000-0005-0000-0000-00008ACD0000}"/>
    <cellStyle name="Normal 8 3 6 3 7" xfId="13905" xr:uid="{00000000-0005-0000-0000-00008BCD0000}"/>
    <cellStyle name="Normal 8 3 6 4" xfId="6821" xr:uid="{00000000-0005-0000-0000-00008CCD0000}"/>
    <cellStyle name="Normal 8 3 6 4 2" xfId="38562" xr:uid="{00000000-0005-0000-0000-00008DCD0000}"/>
    <cellStyle name="Normal 8 3 6 4 2 2" xfId="54662" xr:uid="{00000000-0005-0000-0000-00008ECD0000}"/>
    <cellStyle name="Normal 8 3 6 4 3" xfId="45095" xr:uid="{00000000-0005-0000-0000-00008FCD0000}"/>
    <cellStyle name="Normal 8 3 6 4 4" xfId="28995" xr:uid="{00000000-0005-0000-0000-000090CD0000}"/>
    <cellStyle name="Normal 8 3 6 4 5" xfId="19426" xr:uid="{00000000-0005-0000-0000-000091CD0000}"/>
    <cellStyle name="Normal 8 3 6 5" xfId="9857" xr:uid="{00000000-0005-0000-0000-000092CD0000}"/>
    <cellStyle name="Normal 8 3 6 5 2" xfId="48131" xr:uid="{00000000-0005-0000-0000-000093CD0000}"/>
    <cellStyle name="Normal 8 3 6 5 3" xfId="32031" xr:uid="{00000000-0005-0000-0000-000094CD0000}"/>
    <cellStyle name="Normal 8 3 6 5 4" xfId="22462" xr:uid="{00000000-0005-0000-0000-000095CD0000}"/>
    <cellStyle name="Normal 8 3 6 6" xfId="3785" xr:uid="{00000000-0005-0000-0000-000096CD0000}"/>
    <cellStyle name="Normal 8 3 6 6 2" xfId="51626" xr:uid="{00000000-0005-0000-0000-000097CD0000}"/>
    <cellStyle name="Normal 8 3 6 6 3" xfId="35526" xr:uid="{00000000-0005-0000-0000-000098CD0000}"/>
    <cellStyle name="Normal 8 3 6 6 4" xfId="16390" xr:uid="{00000000-0005-0000-0000-000099CD0000}"/>
    <cellStyle name="Normal 8 3 6 7" xfId="42059" xr:uid="{00000000-0005-0000-0000-00009ACD0000}"/>
    <cellStyle name="Normal 8 3 6 8" xfId="25959" xr:uid="{00000000-0005-0000-0000-00009BCD0000}"/>
    <cellStyle name="Normal 8 3 6 9" xfId="12895" xr:uid="{00000000-0005-0000-0000-00009CCD0000}"/>
    <cellStyle name="Normal 8 3 7" xfId="748" xr:uid="{00000000-0005-0000-0000-00009DCD0000}"/>
    <cellStyle name="Normal 8 3 7 2" xfId="2776" xr:uid="{00000000-0005-0000-0000-00009ECD0000}"/>
    <cellStyle name="Normal 8 3 7 2 2" xfId="9308" xr:uid="{00000000-0005-0000-0000-00009FCD0000}"/>
    <cellStyle name="Normal 8 3 7 2 2 2" xfId="41049" xr:uid="{00000000-0005-0000-0000-0000A0CD0000}"/>
    <cellStyle name="Normal 8 3 7 2 2 2 2" xfId="57149" xr:uid="{00000000-0005-0000-0000-0000A1CD0000}"/>
    <cellStyle name="Normal 8 3 7 2 2 3" xfId="47582" xr:uid="{00000000-0005-0000-0000-0000A2CD0000}"/>
    <cellStyle name="Normal 8 3 7 2 2 4" xfId="31482" xr:uid="{00000000-0005-0000-0000-0000A3CD0000}"/>
    <cellStyle name="Normal 8 3 7 2 2 5" xfId="21913" xr:uid="{00000000-0005-0000-0000-0000A4CD0000}"/>
    <cellStyle name="Normal 8 3 7 2 3" xfId="12344" xr:uid="{00000000-0005-0000-0000-0000A5CD0000}"/>
    <cellStyle name="Normal 8 3 7 2 3 2" xfId="50618" xr:uid="{00000000-0005-0000-0000-0000A6CD0000}"/>
    <cellStyle name="Normal 8 3 7 2 3 3" xfId="34518" xr:uid="{00000000-0005-0000-0000-0000A7CD0000}"/>
    <cellStyle name="Normal 8 3 7 2 3 4" xfId="24949" xr:uid="{00000000-0005-0000-0000-0000A8CD0000}"/>
    <cellStyle name="Normal 8 3 7 2 4" xfId="6272" xr:uid="{00000000-0005-0000-0000-0000A9CD0000}"/>
    <cellStyle name="Normal 8 3 7 2 4 2" xfId="54113" xr:uid="{00000000-0005-0000-0000-0000AACD0000}"/>
    <cellStyle name="Normal 8 3 7 2 4 3" xfId="38013" xr:uid="{00000000-0005-0000-0000-0000ABCD0000}"/>
    <cellStyle name="Normal 8 3 7 2 4 4" xfId="18877" xr:uid="{00000000-0005-0000-0000-0000ACCD0000}"/>
    <cellStyle name="Normal 8 3 7 2 5" xfId="44546" xr:uid="{00000000-0005-0000-0000-0000ADCD0000}"/>
    <cellStyle name="Normal 8 3 7 2 6" xfId="28446" xr:uid="{00000000-0005-0000-0000-0000AECD0000}"/>
    <cellStyle name="Normal 8 3 7 2 7" xfId="15382" xr:uid="{00000000-0005-0000-0000-0000AFCD0000}"/>
    <cellStyle name="Normal 8 3 7 3" xfId="1758" xr:uid="{00000000-0005-0000-0000-0000B0CD0000}"/>
    <cellStyle name="Normal 8 3 7 3 2" xfId="8292" xr:uid="{00000000-0005-0000-0000-0000B1CD0000}"/>
    <cellStyle name="Normal 8 3 7 3 2 2" xfId="40033" xr:uid="{00000000-0005-0000-0000-0000B2CD0000}"/>
    <cellStyle name="Normal 8 3 7 3 2 2 2" xfId="56133" xr:uid="{00000000-0005-0000-0000-0000B3CD0000}"/>
    <cellStyle name="Normal 8 3 7 3 2 3" xfId="46566" xr:uid="{00000000-0005-0000-0000-0000B4CD0000}"/>
    <cellStyle name="Normal 8 3 7 3 2 4" xfId="30466" xr:uid="{00000000-0005-0000-0000-0000B5CD0000}"/>
    <cellStyle name="Normal 8 3 7 3 2 5" xfId="20897" xr:uid="{00000000-0005-0000-0000-0000B6CD0000}"/>
    <cellStyle name="Normal 8 3 7 3 3" xfId="11328" xr:uid="{00000000-0005-0000-0000-0000B7CD0000}"/>
    <cellStyle name="Normal 8 3 7 3 3 2" xfId="49602" xr:uid="{00000000-0005-0000-0000-0000B8CD0000}"/>
    <cellStyle name="Normal 8 3 7 3 3 3" xfId="33502" xr:uid="{00000000-0005-0000-0000-0000B9CD0000}"/>
    <cellStyle name="Normal 8 3 7 3 3 4" xfId="23933" xr:uid="{00000000-0005-0000-0000-0000BACD0000}"/>
    <cellStyle name="Normal 8 3 7 3 4" xfId="5256" xr:uid="{00000000-0005-0000-0000-0000BBCD0000}"/>
    <cellStyle name="Normal 8 3 7 3 4 2" xfId="53097" xr:uid="{00000000-0005-0000-0000-0000BCCD0000}"/>
    <cellStyle name="Normal 8 3 7 3 4 3" xfId="36997" xr:uid="{00000000-0005-0000-0000-0000BDCD0000}"/>
    <cellStyle name="Normal 8 3 7 3 4 4" xfId="17861" xr:uid="{00000000-0005-0000-0000-0000BECD0000}"/>
    <cellStyle name="Normal 8 3 7 3 5" xfId="43530" xr:uid="{00000000-0005-0000-0000-0000BFCD0000}"/>
    <cellStyle name="Normal 8 3 7 3 6" xfId="27430" xr:uid="{00000000-0005-0000-0000-0000C0CD0000}"/>
    <cellStyle name="Normal 8 3 7 3 7" xfId="14366" xr:uid="{00000000-0005-0000-0000-0000C1CD0000}"/>
    <cellStyle name="Normal 8 3 7 4" xfId="7282" xr:uid="{00000000-0005-0000-0000-0000C2CD0000}"/>
    <cellStyle name="Normal 8 3 7 4 2" xfId="39023" xr:uid="{00000000-0005-0000-0000-0000C3CD0000}"/>
    <cellStyle name="Normal 8 3 7 4 2 2" xfId="55123" xr:uid="{00000000-0005-0000-0000-0000C4CD0000}"/>
    <cellStyle name="Normal 8 3 7 4 3" xfId="45556" xr:uid="{00000000-0005-0000-0000-0000C5CD0000}"/>
    <cellStyle name="Normal 8 3 7 4 4" xfId="29456" xr:uid="{00000000-0005-0000-0000-0000C6CD0000}"/>
    <cellStyle name="Normal 8 3 7 4 5" xfId="19887" xr:uid="{00000000-0005-0000-0000-0000C7CD0000}"/>
    <cellStyle name="Normal 8 3 7 5" xfId="10318" xr:uid="{00000000-0005-0000-0000-0000C8CD0000}"/>
    <cellStyle name="Normal 8 3 7 5 2" xfId="48592" xr:uid="{00000000-0005-0000-0000-0000C9CD0000}"/>
    <cellStyle name="Normal 8 3 7 5 3" xfId="32492" xr:uid="{00000000-0005-0000-0000-0000CACD0000}"/>
    <cellStyle name="Normal 8 3 7 5 4" xfId="22923" xr:uid="{00000000-0005-0000-0000-0000CBCD0000}"/>
    <cellStyle name="Normal 8 3 7 6" xfId="4246" xr:uid="{00000000-0005-0000-0000-0000CCCD0000}"/>
    <cellStyle name="Normal 8 3 7 6 2" xfId="52087" xr:uid="{00000000-0005-0000-0000-0000CDCD0000}"/>
    <cellStyle name="Normal 8 3 7 6 3" xfId="35987" xr:uid="{00000000-0005-0000-0000-0000CECD0000}"/>
    <cellStyle name="Normal 8 3 7 6 4" xfId="16851" xr:uid="{00000000-0005-0000-0000-0000CFCD0000}"/>
    <cellStyle name="Normal 8 3 7 7" xfId="42520" xr:uid="{00000000-0005-0000-0000-0000D0CD0000}"/>
    <cellStyle name="Normal 8 3 7 8" xfId="26420" xr:uid="{00000000-0005-0000-0000-0000D1CD0000}"/>
    <cellStyle name="Normal 8 3 7 9" xfId="13356" xr:uid="{00000000-0005-0000-0000-0000D2CD0000}"/>
    <cellStyle name="Normal 8 3 8" xfId="2085" xr:uid="{00000000-0005-0000-0000-0000D3CD0000}"/>
    <cellStyle name="Normal 8 3 8 2" xfId="8619" xr:uid="{00000000-0005-0000-0000-0000D4CD0000}"/>
    <cellStyle name="Normal 8 3 8 2 2" xfId="40360" xr:uid="{00000000-0005-0000-0000-0000D5CD0000}"/>
    <cellStyle name="Normal 8 3 8 2 2 2" xfId="56460" xr:uid="{00000000-0005-0000-0000-0000D6CD0000}"/>
    <cellStyle name="Normal 8 3 8 2 3" xfId="46893" xr:uid="{00000000-0005-0000-0000-0000D7CD0000}"/>
    <cellStyle name="Normal 8 3 8 2 4" xfId="30793" xr:uid="{00000000-0005-0000-0000-0000D8CD0000}"/>
    <cellStyle name="Normal 8 3 8 2 5" xfId="21224" xr:uid="{00000000-0005-0000-0000-0000D9CD0000}"/>
    <cellStyle name="Normal 8 3 8 3" xfId="11655" xr:uid="{00000000-0005-0000-0000-0000DACD0000}"/>
    <cellStyle name="Normal 8 3 8 3 2" xfId="49929" xr:uid="{00000000-0005-0000-0000-0000DBCD0000}"/>
    <cellStyle name="Normal 8 3 8 3 3" xfId="33829" xr:uid="{00000000-0005-0000-0000-0000DCCD0000}"/>
    <cellStyle name="Normal 8 3 8 3 4" xfId="24260" xr:uid="{00000000-0005-0000-0000-0000DDCD0000}"/>
    <cellStyle name="Normal 8 3 8 4" xfId="5583" xr:uid="{00000000-0005-0000-0000-0000DECD0000}"/>
    <cellStyle name="Normal 8 3 8 4 2" xfId="53424" xr:uid="{00000000-0005-0000-0000-0000DFCD0000}"/>
    <cellStyle name="Normal 8 3 8 4 3" xfId="37324" xr:uid="{00000000-0005-0000-0000-0000E0CD0000}"/>
    <cellStyle name="Normal 8 3 8 4 4" xfId="18188" xr:uid="{00000000-0005-0000-0000-0000E1CD0000}"/>
    <cellStyle name="Normal 8 3 8 5" xfId="43857" xr:uid="{00000000-0005-0000-0000-0000E2CD0000}"/>
    <cellStyle name="Normal 8 3 8 6" xfId="27757" xr:uid="{00000000-0005-0000-0000-0000E3CD0000}"/>
    <cellStyle name="Normal 8 3 8 7" xfId="14693" xr:uid="{00000000-0005-0000-0000-0000E4CD0000}"/>
    <cellStyle name="Normal 8 3 9" xfId="1075" xr:uid="{00000000-0005-0000-0000-0000E5CD0000}"/>
    <cellStyle name="Normal 8 3 9 2" xfId="7609" xr:uid="{00000000-0005-0000-0000-0000E6CD0000}"/>
    <cellStyle name="Normal 8 3 9 2 2" xfId="39350" xr:uid="{00000000-0005-0000-0000-0000E7CD0000}"/>
    <cellStyle name="Normal 8 3 9 2 2 2" xfId="55450" xr:uid="{00000000-0005-0000-0000-0000E8CD0000}"/>
    <cellStyle name="Normal 8 3 9 2 3" xfId="45883" xr:uid="{00000000-0005-0000-0000-0000E9CD0000}"/>
    <cellStyle name="Normal 8 3 9 2 4" xfId="29783" xr:uid="{00000000-0005-0000-0000-0000EACD0000}"/>
    <cellStyle name="Normal 8 3 9 2 5" xfId="20214" xr:uid="{00000000-0005-0000-0000-0000EBCD0000}"/>
    <cellStyle name="Normal 8 3 9 3" xfId="10645" xr:uid="{00000000-0005-0000-0000-0000ECCD0000}"/>
    <cellStyle name="Normal 8 3 9 3 2" xfId="48919" xr:uid="{00000000-0005-0000-0000-0000EDCD0000}"/>
    <cellStyle name="Normal 8 3 9 3 3" xfId="32819" xr:uid="{00000000-0005-0000-0000-0000EECD0000}"/>
    <cellStyle name="Normal 8 3 9 3 4" xfId="23250" xr:uid="{00000000-0005-0000-0000-0000EFCD0000}"/>
    <cellStyle name="Normal 8 3 9 4" xfId="4573" xr:uid="{00000000-0005-0000-0000-0000F0CD0000}"/>
    <cellStyle name="Normal 8 3 9 4 2" xfId="52414" xr:uid="{00000000-0005-0000-0000-0000F1CD0000}"/>
    <cellStyle name="Normal 8 3 9 4 3" xfId="36314" xr:uid="{00000000-0005-0000-0000-0000F2CD0000}"/>
    <cellStyle name="Normal 8 3 9 4 4" xfId="17178" xr:uid="{00000000-0005-0000-0000-0000F3CD0000}"/>
    <cellStyle name="Normal 8 3 9 5" xfId="42847" xr:uid="{00000000-0005-0000-0000-0000F4CD0000}"/>
    <cellStyle name="Normal 8 3 9 6" xfId="26747" xr:uid="{00000000-0005-0000-0000-0000F5CD0000}"/>
    <cellStyle name="Normal 8 3 9 7" xfId="13683" xr:uid="{00000000-0005-0000-0000-0000F6CD0000}"/>
    <cellStyle name="Normal 8 4" xfId="115" xr:uid="{00000000-0005-0000-0000-0000F7CD0000}"/>
    <cellStyle name="Normal 8 4 10" xfId="9714" xr:uid="{00000000-0005-0000-0000-0000F8CD0000}"/>
    <cellStyle name="Normal 8 4 10 2" xfId="47988" xr:uid="{00000000-0005-0000-0000-0000F9CD0000}"/>
    <cellStyle name="Normal 8 4 10 3" xfId="31888" xr:uid="{00000000-0005-0000-0000-0000FACD0000}"/>
    <cellStyle name="Normal 8 4 10 4" xfId="22319" xr:uid="{00000000-0005-0000-0000-0000FBCD0000}"/>
    <cellStyle name="Normal 8 4 11" xfId="3182" xr:uid="{00000000-0005-0000-0000-0000FCCD0000}"/>
    <cellStyle name="Normal 8 4 11 2" xfId="51024" xr:uid="{00000000-0005-0000-0000-0000FDCD0000}"/>
    <cellStyle name="Normal 8 4 11 3" xfId="34924" xr:uid="{00000000-0005-0000-0000-0000FECD0000}"/>
    <cellStyle name="Normal 8 4 11 4" xfId="15788" xr:uid="{00000000-0005-0000-0000-0000FFCD0000}"/>
    <cellStyle name="Normal 8 4 12" xfId="41457" xr:uid="{00000000-0005-0000-0000-000000CE0000}"/>
    <cellStyle name="Normal 8 4 13" xfId="25357" xr:uid="{00000000-0005-0000-0000-000001CE0000}"/>
    <cellStyle name="Normal 8 4 14" xfId="12752" xr:uid="{00000000-0005-0000-0000-000002CE0000}"/>
    <cellStyle name="Normal 8 4 2" xfId="190" xr:uid="{00000000-0005-0000-0000-000003CE0000}"/>
    <cellStyle name="Normal 8 4 2 10" xfId="41694" xr:uid="{00000000-0005-0000-0000-000004CE0000}"/>
    <cellStyle name="Normal 8 4 2 11" xfId="25594" xr:uid="{00000000-0005-0000-0000-000005CE0000}"/>
    <cellStyle name="Normal 8 4 2 12" xfId="13019" xr:uid="{00000000-0005-0000-0000-000006CE0000}"/>
    <cellStyle name="Normal 8 4 2 2" xfId="367" xr:uid="{00000000-0005-0000-0000-000007CE0000}"/>
    <cellStyle name="Normal 8 4 2 2 2" xfId="2386" xr:uid="{00000000-0005-0000-0000-000008CE0000}"/>
    <cellStyle name="Normal 8 4 2 2 2 2" xfId="8920" xr:uid="{00000000-0005-0000-0000-000009CE0000}"/>
    <cellStyle name="Normal 8 4 2 2 2 2 2" xfId="40661" xr:uid="{00000000-0005-0000-0000-00000ACE0000}"/>
    <cellStyle name="Normal 8 4 2 2 2 2 2 2" xfId="56761" xr:uid="{00000000-0005-0000-0000-00000BCE0000}"/>
    <cellStyle name="Normal 8 4 2 2 2 2 3" xfId="47194" xr:uid="{00000000-0005-0000-0000-00000CCE0000}"/>
    <cellStyle name="Normal 8 4 2 2 2 2 4" xfId="31094" xr:uid="{00000000-0005-0000-0000-00000DCE0000}"/>
    <cellStyle name="Normal 8 4 2 2 2 2 5" xfId="21525" xr:uid="{00000000-0005-0000-0000-00000ECE0000}"/>
    <cellStyle name="Normal 8 4 2 2 2 3" xfId="11956" xr:uid="{00000000-0005-0000-0000-00000FCE0000}"/>
    <cellStyle name="Normal 8 4 2 2 2 3 2" xfId="50230" xr:uid="{00000000-0005-0000-0000-000010CE0000}"/>
    <cellStyle name="Normal 8 4 2 2 2 3 3" xfId="34130" xr:uid="{00000000-0005-0000-0000-000011CE0000}"/>
    <cellStyle name="Normal 8 4 2 2 2 3 4" xfId="24561" xr:uid="{00000000-0005-0000-0000-000012CE0000}"/>
    <cellStyle name="Normal 8 4 2 2 2 4" xfId="5884" xr:uid="{00000000-0005-0000-0000-000013CE0000}"/>
    <cellStyle name="Normal 8 4 2 2 2 4 2" xfId="53725" xr:uid="{00000000-0005-0000-0000-000014CE0000}"/>
    <cellStyle name="Normal 8 4 2 2 2 4 3" xfId="37625" xr:uid="{00000000-0005-0000-0000-000015CE0000}"/>
    <cellStyle name="Normal 8 4 2 2 2 4 4" xfId="18489" xr:uid="{00000000-0005-0000-0000-000016CE0000}"/>
    <cellStyle name="Normal 8 4 2 2 2 5" xfId="44158" xr:uid="{00000000-0005-0000-0000-000017CE0000}"/>
    <cellStyle name="Normal 8 4 2 2 2 6" xfId="28058" xr:uid="{00000000-0005-0000-0000-000018CE0000}"/>
    <cellStyle name="Normal 8 4 2 2 2 7" xfId="14994" xr:uid="{00000000-0005-0000-0000-000019CE0000}"/>
    <cellStyle name="Normal 8 4 2 2 3" xfId="1598" xr:uid="{00000000-0005-0000-0000-00001ACE0000}"/>
    <cellStyle name="Normal 8 4 2 2 3 2" xfId="8132" xr:uid="{00000000-0005-0000-0000-00001BCE0000}"/>
    <cellStyle name="Normal 8 4 2 2 3 2 2" xfId="39873" xr:uid="{00000000-0005-0000-0000-00001CCE0000}"/>
    <cellStyle name="Normal 8 4 2 2 3 2 2 2" xfId="55973" xr:uid="{00000000-0005-0000-0000-00001DCE0000}"/>
    <cellStyle name="Normal 8 4 2 2 3 2 3" xfId="46406" xr:uid="{00000000-0005-0000-0000-00001ECE0000}"/>
    <cellStyle name="Normal 8 4 2 2 3 2 4" xfId="30306" xr:uid="{00000000-0005-0000-0000-00001FCE0000}"/>
    <cellStyle name="Normal 8 4 2 2 3 2 5" xfId="20737" xr:uid="{00000000-0005-0000-0000-000020CE0000}"/>
    <cellStyle name="Normal 8 4 2 2 3 3" xfId="11168" xr:uid="{00000000-0005-0000-0000-000021CE0000}"/>
    <cellStyle name="Normal 8 4 2 2 3 3 2" xfId="49442" xr:uid="{00000000-0005-0000-0000-000022CE0000}"/>
    <cellStyle name="Normal 8 4 2 2 3 3 3" xfId="33342" xr:uid="{00000000-0005-0000-0000-000023CE0000}"/>
    <cellStyle name="Normal 8 4 2 2 3 3 4" xfId="23773" xr:uid="{00000000-0005-0000-0000-000024CE0000}"/>
    <cellStyle name="Normal 8 4 2 2 3 4" xfId="5096" xr:uid="{00000000-0005-0000-0000-000025CE0000}"/>
    <cellStyle name="Normal 8 4 2 2 3 4 2" xfId="52937" xr:uid="{00000000-0005-0000-0000-000026CE0000}"/>
    <cellStyle name="Normal 8 4 2 2 3 4 3" xfId="36837" xr:uid="{00000000-0005-0000-0000-000027CE0000}"/>
    <cellStyle name="Normal 8 4 2 2 3 4 4" xfId="17701" xr:uid="{00000000-0005-0000-0000-000028CE0000}"/>
    <cellStyle name="Normal 8 4 2 2 3 5" xfId="43370" xr:uid="{00000000-0005-0000-0000-000029CE0000}"/>
    <cellStyle name="Normal 8 4 2 2 3 6" xfId="27270" xr:uid="{00000000-0005-0000-0000-00002ACE0000}"/>
    <cellStyle name="Normal 8 4 2 2 3 7" xfId="14206" xr:uid="{00000000-0005-0000-0000-00002BCE0000}"/>
    <cellStyle name="Normal 8 4 2 2 4" xfId="7122" xr:uid="{00000000-0005-0000-0000-00002CCE0000}"/>
    <cellStyle name="Normal 8 4 2 2 4 2" xfId="38863" xr:uid="{00000000-0005-0000-0000-00002DCE0000}"/>
    <cellStyle name="Normal 8 4 2 2 4 2 2" xfId="54963" xr:uid="{00000000-0005-0000-0000-00002ECE0000}"/>
    <cellStyle name="Normal 8 4 2 2 4 3" xfId="45396" xr:uid="{00000000-0005-0000-0000-00002FCE0000}"/>
    <cellStyle name="Normal 8 4 2 2 4 4" xfId="29296" xr:uid="{00000000-0005-0000-0000-000030CE0000}"/>
    <cellStyle name="Normal 8 4 2 2 4 5" xfId="19727" xr:uid="{00000000-0005-0000-0000-000031CE0000}"/>
    <cellStyle name="Normal 8 4 2 2 5" xfId="10158" xr:uid="{00000000-0005-0000-0000-000032CE0000}"/>
    <cellStyle name="Normal 8 4 2 2 5 2" xfId="48432" xr:uid="{00000000-0005-0000-0000-000033CE0000}"/>
    <cellStyle name="Normal 8 4 2 2 5 3" xfId="32332" xr:uid="{00000000-0005-0000-0000-000034CE0000}"/>
    <cellStyle name="Normal 8 4 2 2 5 4" xfId="22763" xr:uid="{00000000-0005-0000-0000-000035CE0000}"/>
    <cellStyle name="Normal 8 4 2 2 6" xfId="4086" xr:uid="{00000000-0005-0000-0000-000036CE0000}"/>
    <cellStyle name="Normal 8 4 2 2 6 2" xfId="51927" xr:uid="{00000000-0005-0000-0000-000037CE0000}"/>
    <cellStyle name="Normal 8 4 2 2 6 3" xfId="35827" xr:uid="{00000000-0005-0000-0000-000038CE0000}"/>
    <cellStyle name="Normal 8 4 2 2 6 4" xfId="16691" xr:uid="{00000000-0005-0000-0000-000039CE0000}"/>
    <cellStyle name="Normal 8 4 2 2 7" xfId="42360" xr:uid="{00000000-0005-0000-0000-00003ACE0000}"/>
    <cellStyle name="Normal 8 4 2 2 8" xfId="26260" xr:uid="{00000000-0005-0000-0000-00003BCE0000}"/>
    <cellStyle name="Normal 8 4 2 2 9" xfId="13196" xr:uid="{00000000-0005-0000-0000-00003CCE0000}"/>
    <cellStyle name="Normal 8 4 2 3" xfId="1006" xr:uid="{00000000-0005-0000-0000-00003DCE0000}"/>
    <cellStyle name="Normal 8 4 2 3 2" xfId="3034" xr:uid="{00000000-0005-0000-0000-00003ECE0000}"/>
    <cellStyle name="Normal 8 4 2 3 2 2" xfId="9566" xr:uid="{00000000-0005-0000-0000-00003FCE0000}"/>
    <cellStyle name="Normal 8 4 2 3 2 2 2" xfId="41307" xr:uid="{00000000-0005-0000-0000-000040CE0000}"/>
    <cellStyle name="Normal 8 4 2 3 2 2 2 2" xfId="57407" xr:uid="{00000000-0005-0000-0000-000041CE0000}"/>
    <cellStyle name="Normal 8 4 2 3 2 2 3" xfId="47840" xr:uid="{00000000-0005-0000-0000-000042CE0000}"/>
    <cellStyle name="Normal 8 4 2 3 2 2 4" xfId="31740" xr:uid="{00000000-0005-0000-0000-000043CE0000}"/>
    <cellStyle name="Normal 8 4 2 3 2 2 5" xfId="22171" xr:uid="{00000000-0005-0000-0000-000044CE0000}"/>
    <cellStyle name="Normal 8 4 2 3 2 3" xfId="12602" xr:uid="{00000000-0005-0000-0000-000045CE0000}"/>
    <cellStyle name="Normal 8 4 2 3 2 3 2" xfId="50876" xr:uid="{00000000-0005-0000-0000-000046CE0000}"/>
    <cellStyle name="Normal 8 4 2 3 2 3 3" xfId="34776" xr:uid="{00000000-0005-0000-0000-000047CE0000}"/>
    <cellStyle name="Normal 8 4 2 3 2 3 4" xfId="25207" xr:uid="{00000000-0005-0000-0000-000048CE0000}"/>
    <cellStyle name="Normal 8 4 2 3 2 4" xfId="6530" xr:uid="{00000000-0005-0000-0000-000049CE0000}"/>
    <cellStyle name="Normal 8 4 2 3 2 4 2" xfId="54371" xr:uid="{00000000-0005-0000-0000-00004ACE0000}"/>
    <cellStyle name="Normal 8 4 2 3 2 4 3" xfId="38271" xr:uid="{00000000-0005-0000-0000-00004BCE0000}"/>
    <cellStyle name="Normal 8 4 2 3 2 4 4" xfId="19135" xr:uid="{00000000-0005-0000-0000-00004CCE0000}"/>
    <cellStyle name="Normal 8 4 2 3 2 5" xfId="44804" xr:uid="{00000000-0005-0000-0000-00004DCE0000}"/>
    <cellStyle name="Normal 8 4 2 3 2 6" xfId="28704" xr:uid="{00000000-0005-0000-0000-00004ECE0000}"/>
    <cellStyle name="Normal 8 4 2 3 2 7" xfId="15640" xr:uid="{00000000-0005-0000-0000-00004FCE0000}"/>
    <cellStyle name="Normal 8 4 2 3 3" xfId="2016" xr:uid="{00000000-0005-0000-0000-000050CE0000}"/>
    <cellStyle name="Normal 8 4 2 3 3 2" xfId="8550" xr:uid="{00000000-0005-0000-0000-000051CE0000}"/>
    <cellStyle name="Normal 8 4 2 3 3 2 2" xfId="40291" xr:uid="{00000000-0005-0000-0000-000052CE0000}"/>
    <cellStyle name="Normal 8 4 2 3 3 2 2 2" xfId="56391" xr:uid="{00000000-0005-0000-0000-000053CE0000}"/>
    <cellStyle name="Normal 8 4 2 3 3 2 3" xfId="46824" xr:uid="{00000000-0005-0000-0000-000054CE0000}"/>
    <cellStyle name="Normal 8 4 2 3 3 2 4" xfId="30724" xr:uid="{00000000-0005-0000-0000-000055CE0000}"/>
    <cellStyle name="Normal 8 4 2 3 3 2 5" xfId="21155" xr:uid="{00000000-0005-0000-0000-000056CE0000}"/>
    <cellStyle name="Normal 8 4 2 3 3 3" xfId="11586" xr:uid="{00000000-0005-0000-0000-000057CE0000}"/>
    <cellStyle name="Normal 8 4 2 3 3 3 2" xfId="49860" xr:uid="{00000000-0005-0000-0000-000058CE0000}"/>
    <cellStyle name="Normal 8 4 2 3 3 3 3" xfId="33760" xr:uid="{00000000-0005-0000-0000-000059CE0000}"/>
    <cellStyle name="Normal 8 4 2 3 3 3 4" xfId="24191" xr:uid="{00000000-0005-0000-0000-00005ACE0000}"/>
    <cellStyle name="Normal 8 4 2 3 3 4" xfId="5514" xr:uid="{00000000-0005-0000-0000-00005BCE0000}"/>
    <cellStyle name="Normal 8 4 2 3 3 4 2" xfId="53355" xr:uid="{00000000-0005-0000-0000-00005CCE0000}"/>
    <cellStyle name="Normal 8 4 2 3 3 4 3" xfId="37255" xr:uid="{00000000-0005-0000-0000-00005DCE0000}"/>
    <cellStyle name="Normal 8 4 2 3 3 4 4" xfId="18119" xr:uid="{00000000-0005-0000-0000-00005ECE0000}"/>
    <cellStyle name="Normal 8 4 2 3 3 5" xfId="43788" xr:uid="{00000000-0005-0000-0000-00005FCE0000}"/>
    <cellStyle name="Normal 8 4 2 3 3 6" xfId="27688" xr:uid="{00000000-0005-0000-0000-000060CE0000}"/>
    <cellStyle name="Normal 8 4 2 3 3 7" xfId="14624" xr:uid="{00000000-0005-0000-0000-000061CE0000}"/>
    <cellStyle name="Normal 8 4 2 3 4" xfId="7540" xr:uid="{00000000-0005-0000-0000-000062CE0000}"/>
    <cellStyle name="Normal 8 4 2 3 4 2" xfId="39281" xr:uid="{00000000-0005-0000-0000-000063CE0000}"/>
    <cellStyle name="Normal 8 4 2 3 4 2 2" xfId="55381" xr:uid="{00000000-0005-0000-0000-000064CE0000}"/>
    <cellStyle name="Normal 8 4 2 3 4 3" xfId="45814" xr:uid="{00000000-0005-0000-0000-000065CE0000}"/>
    <cellStyle name="Normal 8 4 2 3 4 4" xfId="29714" xr:uid="{00000000-0005-0000-0000-000066CE0000}"/>
    <cellStyle name="Normal 8 4 2 3 4 5" xfId="20145" xr:uid="{00000000-0005-0000-0000-000067CE0000}"/>
    <cellStyle name="Normal 8 4 2 3 5" xfId="10576" xr:uid="{00000000-0005-0000-0000-000068CE0000}"/>
    <cellStyle name="Normal 8 4 2 3 5 2" xfId="48850" xr:uid="{00000000-0005-0000-0000-000069CE0000}"/>
    <cellStyle name="Normal 8 4 2 3 5 3" xfId="32750" xr:uid="{00000000-0005-0000-0000-00006ACE0000}"/>
    <cellStyle name="Normal 8 4 2 3 5 4" xfId="23181" xr:uid="{00000000-0005-0000-0000-00006BCE0000}"/>
    <cellStyle name="Normal 8 4 2 3 6" xfId="4504" xr:uid="{00000000-0005-0000-0000-00006CCE0000}"/>
    <cellStyle name="Normal 8 4 2 3 6 2" xfId="52345" xr:uid="{00000000-0005-0000-0000-00006DCE0000}"/>
    <cellStyle name="Normal 8 4 2 3 6 3" xfId="36245" xr:uid="{00000000-0005-0000-0000-00006ECE0000}"/>
    <cellStyle name="Normal 8 4 2 3 6 4" xfId="17109" xr:uid="{00000000-0005-0000-0000-00006FCE0000}"/>
    <cellStyle name="Normal 8 4 2 3 7" xfId="42778" xr:uid="{00000000-0005-0000-0000-000070CE0000}"/>
    <cellStyle name="Normal 8 4 2 3 8" xfId="26678" xr:uid="{00000000-0005-0000-0000-000071CE0000}"/>
    <cellStyle name="Normal 8 4 2 3 9" xfId="13614" xr:uid="{00000000-0005-0000-0000-000072CE0000}"/>
    <cellStyle name="Normal 8 4 2 4" xfId="2209" xr:uid="{00000000-0005-0000-0000-000073CE0000}"/>
    <cellStyle name="Normal 8 4 2 4 2" xfId="8743" xr:uid="{00000000-0005-0000-0000-000074CE0000}"/>
    <cellStyle name="Normal 8 4 2 4 2 2" xfId="40484" xr:uid="{00000000-0005-0000-0000-000075CE0000}"/>
    <cellStyle name="Normal 8 4 2 4 2 2 2" xfId="56584" xr:uid="{00000000-0005-0000-0000-000076CE0000}"/>
    <cellStyle name="Normal 8 4 2 4 2 3" xfId="47017" xr:uid="{00000000-0005-0000-0000-000077CE0000}"/>
    <cellStyle name="Normal 8 4 2 4 2 4" xfId="30917" xr:uid="{00000000-0005-0000-0000-000078CE0000}"/>
    <cellStyle name="Normal 8 4 2 4 2 5" xfId="21348" xr:uid="{00000000-0005-0000-0000-000079CE0000}"/>
    <cellStyle name="Normal 8 4 2 4 3" xfId="11779" xr:uid="{00000000-0005-0000-0000-00007ACE0000}"/>
    <cellStyle name="Normal 8 4 2 4 3 2" xfId="50053" xr:uid="{00000000-0005-0000-0000-00007BCE0000}"/>
    <cellStyle name="Normal 8 4 2 4 3 3" xfId="33953" xr:uid="{00000000-0005-0000-0000-00007CCE0000}"/>
    <cellStyle name="Normal 8 4 2 4 3 4" xfId="24384" xr:uid="{00000000-0005-0000-0000-00007DCE0000}"/>
    <cellStyle name="Normal 8 4 2 4 4" xfId="5707" xr:uid="{00000000-0005-0000-0000-00007ECE0000}"/>
    <cellStyle name="Normal 8 4 2 4 4 2" xfId="53548" xr:uid="{00000000-0005-0000-0000-00007FCE0000}"/>
    <cellStyle name="Normal 8 4 2 4 4 3" xfId="37448" xr:uid="{00000000-0005-0000-0000-000080CE0000}"/>
    <cellStyle name="Normal 8 4 2 4 4 4" xfId="18312" xr:uid="{00000000-0005-0000-0000-000081CE0000}"/>
    <cellStyle name="Normal 8 4 2 4 5" xfId="43981" xr:uid="{00000000-0005-0000-0000-000082CE0000}"/>
    <cellStyle name="Normal 8 4 2 4 6" xfId="27881" xr:uid="{00000000-0005-0000-0000-000083CE0000}"/>
    <cellStyle name="Normal 8 4 2 4 7" xfId="14817" xr:uid="{00000000-0005-0000-0000-000084CE0000}"/>
    <cellStyle name="Normal 8 4 2 5" xfId="1421" xr:uid="{00000000-0005-0000-0000-000085CE0000}"/>
    <cellStyle name="Normal 8 4 2 5 2" xfId="7955" xr:uid="{00000000-0005-0000-0000-000086CE0000}"/>
    <cellStyle name="Normal 8 4 2 5 2 2" xfId="39696" xr:uid="{00000000-0005-0000-0000-000087CE0000}"/>
    <cellStyle name="Normal 8 4 2 5 2 2 2" xfId="55796" xr:uid="{00000000-0005-0000-0000-000088CE0000}"/>
    <cellStyle name="Normal 8 4 2 5 2 3" xfId="46229" xr:uid="{00000000-0005-0000-0000-000089CE0000}"/>
    <cellStyle name="Normal 8 4 2 5 2 4" xfId="30129" xr:uid="{00000000-0005-0000-0000-00008ACE0000}"/>
    <cellStyle name="Normal 8 4 2 5 2 5" xfId="20560" xr:uid="{00000000-0005-0000-0000-00008BCE0000}"/>
    <cellStyle name="Normal 8 4 2 5 3" xfId="10991" xr:uid="{00000000-0005-0000-0000-00008CCE0000}"/>
    <cellStyle name="Normal 8 4 2 5 3 2" xfId="49265" xr:uid="{00000000-0005-0000-0000-00008DCE0000}"/>
    <cellStyle name="Normal 8 4 2 5 3 3" xfId="33165" xr:uid="{00000000-0005-0000-0000-00008ECE0000}"/>
    <cellStyle name="Normal 8 4 2 5 3 4" xfId="23596" xr:uid="{00000000-0005-0000-0000-00008FCE0000}"/>
    <cellStyle name="Normal 8 4 2 5 4" xfId="4919" xr:uid="{00000000-0005-0000-0000-000090CE0000}"/>
    <cellStyle name="Normal 8 4 2 5 4 2" xfId="52760" xr:uid="{00000000-0005-0000-0000-000091CE0000}"/>
    <cellStyle name="Normal 8 4 2 5 4 3" xfId="36660" xr:uid="{00000000-0005-0000-0000-000092CE0000}"/>
    <cellStyle name="Normal 8 4 2 5 4 4" xfId="17524" xr:uid="{00000000-0005-0000-0000-000093CE0000}"/>
    <cellStyle name="Normal 8 4 2 5 5" xfId="43193" xr:uid="{00000000-0005-0000-0000-000094CE0000}"/>
    <cellStyle name="Normal 8 4 2 5 6" xfId="27093" xr:uid="{00000000-0005-0000-0000-000095CE0000}"/>
    <cellStyle name="Normal 8 4 2 5 7" xfId="14029" xr:uid="{00000000-0005-0000-0000-000096CE0000}"/>
    <cellStyle name="Normal 8 4 2 6" xfId="3909" xr:uid="{00000000-0005-0000-0000-000097CE0000}"/>
    <cellStyle name="Normal 8 4 2 6 2" xfId="35650" xr:uid="{00000000-0005-0000-0000-000098CE0000}"/>
    <cellStyle name="Normal 8 4 2 6 2 2" xfId="51750" xr:uid="{00000000-0005-0000-0000-000099CE0000}"/>
    <cellStyle name="Normal 8 4 2 6 3" xfId="42183" xr:uid="{00000000-0005-0000-0000-00009ACE0000}"/>
    <cellStyle name="Normal 8 4 2 6 4" xfId="26083" xr:uid="{00000000-0005-0000-0000-00009BCE0000}"/>
    <cellStyle name="Normal 8 4 2 6 5" xfId="16514" xr:uid="{00000000-0005-0000-0000-00009CCE0000}"/>
    <cellStyle name="Normal 8 4 2 7" xfId="6945" xr:uid="{00000000-0005-0000-0000-00009DCE0000}"/>
    <cellStyle name="Normal 8 4 2 7 2" xfId="38686" xr:uid="{00000000-0005-0000-0000-00009ECE0000}"/>
    <cellStyle name="Normal 8 4 2 7 2 2" xfId="54786" xr:uid="{00000000-0005-0000-0000-00009FCE0000}"/>
    <cellStyle name="Normal 8 4 2 7 3" xfId="45219" xr:uid="{00000000-0005-0000-0000-0000A0CE0000}"/>
    <cellStyle name="Normal 8 4 2 7 4" xfId="29119" xr:uid="{00000000-0005-0000-0000-0000A1CE0000}"/>
    <cellStyle name="Normal 8 4 2 7 5" xfId="19550" xr:uid="{00000000-0005-0000-0000-0000A2CE0000}"/>
    <cellStyle name="Normal 8 4 2 8" xfId="9981" xr:uid="{00000000-0005-0000-0000-0000A3CE0000}"/>
    <cellStyle name="Normal 8 4 2 8 2" xfId="48255" xr:uid="{00000000-0005-0000-0000-0000A4CE0000}"/>
    <cellStyle name="Normal 8 4 2 8 3" xfId="32155" xr:uid="{00000000-0005-0000-0000-0000A5CE0000}"/>
    <cellStyle name="Normal 8 4 2 8 4" xfId="22586" xr:uid="{00000000-0005-0000-0000-0000A6CE0000}"/>
    <cellStyle name="Normal 8 4 2 9" xfId="3420" xr:uid="{00000000-0005-0000-0000-0000A7CE0000}"/>
    <cellStyle name="Normal 8 4 2 9 2" xfId="51261" xr:uid="{00000000-0005-0000-0000-0000A8CE0000}"/>
    <cellStyle name="Normal 8 4 2 9 3" xfId="35161" xr:uid="{00000000-0005-0000-0000-0000A9CE0000}"/>
    <cellStyle name="Normal 8 4 2 9 4" xfId="16025" xr:uid="{00000000-0005-0000-0000-0000AACE0000}"/>
    <cellStyle name="Normal 8 4 3" xfId="296" xr:uid="{00000000-0005-0000-0000-0000ABCE0000}"/>
    <cellStyle name="Normal 8 4 3 2" xfId="2315" xr:uid="{00000000-0005-0000-0000-0000ACCE0000}"/>
    <cellStyle name="Normal 8 4 3 2 2" xfId="8849" xr:uid="{00000000-0005-0000-0000-0000ADCE0000}"/>
    <cellStyle name="Normal 8 4 3 2 2 2" xfId="40590" xr:uid="{00000000-0005-0000-0000-0000AECE0000}"/>
    <cellStyle name="Normal 8 4 3 2 2 2 2" xfId="56690" xr:uid="{00000000-0005-0000-0000-0000AFCE0000}"/>
    <cellStyle name="Normal 8 4 3 2 2 3" xfId="47123" xr:uid="{00000000-0005-0000-0000-0000B0CE0000}"/>
    <cellStyle name="Normal 8 4 3 2 2 4" xfId="31023" xr:uid="{00000000-0005-0000-0000-0000B1CE0000}"/>
    <cellStyle name="Normal 8 4 3 2 2 5" xfId="21454" xr:uid="{00000000-0005-0000-0000-0000B2CE0000}"/>
    <cellStyle name="Normal 8 4 3 2 3" xfId="11885" xr:uid="{00000000-0005-0000-0000-0000B3CE0000}"/>
    <cellStyle name="Normal 8 4 3 2 3 2" xfId="50159" xr:uid="{00000000-0005-0000-0000-0000B4CE0000}"/>
    <cellStyle name="Normal 8 4 3 2 3 3" xfId="34059" xr:uid="{00000000-0005-0000-0000-0000B5CE0000}"/>
    <cellStyle name="Normal 8 4 3 2 3 4" xfId="24490" xr:uid="{00000000-0005-0000-0000-0000B6CE0000}"/>
    <cellStyle name="Normal 8 4 3 2 4" xfId="5813" xr:uid="{00000000-0005-0000-0000-0000B7CE0000}"/>
    <cellStyle name="Normal 8 4 3 2 4 2" xfId="53654" xr:uid="{00000000-0005-0000-0000-0000B8CE0000}"/>
    <cellStyle name="Normal 8 4 3 2 4 3" xfId="37554" xr:uid="{00000000-0005-0000-0000-0000B9CE0000}"/>
    <cellStyle name="Normal 8 4 3 2 4 4" xfId="18418" xr:uid="{00000000-0005-0000-0000-0000BACE0000}"/>
    <cellStyle name="Normal 8 4 3 2 5" xfId="44087" xr:uid="{00000000-0005-0000-0000-0000BBCE0000}"/>
    <cellStyle name="Normal 8 4 3 2 6" xfId="27987" xr:uid="{00000000-0005-0000-0000-0000BCCE0000}"/>
    <cellStyle name="Normal 8 4 3 2 7" xfId="14923" xr:uid="{00000000-0005-0000-0000-0000BDCE0000}"/>
    <cellStyle name="Normal 8 4 3 3" xfId="1527" xr:uid="{00000000-0005-0000-0000-0000BECE0000}"/>
    <cellStyle name="Normal 8 4 3 3 2" xfId="8061" xr:uid="{00000000-0005-0000-0000-0000BFCE0000}"/>
    <cellStyle name="Normal 8 4 3 3 2 2" xfId="39802" xr:uid="{00000000-0005-0000-0000-0000C0CE0000}"/>
    <cellStyle name="Normal 8 4 3 3 2 2 2" xfId="55902" xr:uid="{00000000-0005-0000-0000-0000C1CE0000}"/>
    <cellStyle name="Normal 8 4 3 3 2 3" xfId="46335" xr:uid="{00000000-0005-0000-0000-0000C2CE0000}"/>
    <cellStyle name="Normal 8 4 3 3 2 4" xfId="30235" xr:uid="{00000000-0005-0000-0000-0000C3CE0000}"/>
    <cellStyle name="Normal 8 4 3 3 2 5" xfId="20666" xr:uid="{00000000-0005-0000-0000-0000C4CE0000}"/>
    <cellStyle name="Normal 8 4 3 3 3" xfId="11097" xr:uid="{00000000-0005-0000-0000-0000C5CE0000}"/>
    <cellStyle name="Normal 8 4 3 3 3 2" xfId="49371" xr:uid="{00000000-0005-0000-0000-0000C6CE0000}"/>
    <cellStyle name="Normal 8 4 3 3 3 3" xfId="33271" xr:uid="{00000000-0005-0000-0000-0000C7CE0000}"/>
    <cellStyle name="Normal 8 4 3 3 3 4" xfId="23702" xr:uid="{00000000-0005-0000-0000-0000C8CE0000}"/>
    <cellStyle name="Normal 8 4 3 3 4" xfId="5025" xr:uid="{00000000-0005-0000-0000-0000C9CE0000}"/>
    <cellStyle name="Normal 8 4 3 3 4 2" xfId="52866" xr:uid="{00000000-0005-0000-0000-0000CACE0000}"/>
    <cellStyle name="Normal 8 4 3 3 4 3" xfId="36766" xr:uid="{00000000-0005-0000-0000-0000CBCE0000}"/>
    <cellStyle name="Normal 8 4 3 3 4 4" xfId="17630" xr:uid="{00000000-0005-0000-0000-0000CCCE0000}"/>
    <cellStyle name="Normal 8 4 3 3 5" xfId="43299" xr:uid="{00000000-0005-0000-0000-0000CDCE0000}"/>
    <cellStyle name="Normal 8 4 3 3 6" xfId="27199" xr:uid="{00000000-0005-0000-0000-0000CECE0000}"/>
    <cellStyle name="Normal 8 4 3 3 7" xfId="14135" xr:uid="{00000000-0005-0000-0000-0000CFCE0000}"/>
    <cellStyle name="Normal 8 4 3 4" xfId="7051" xr:uid="{00000000-0005-0000-0000-0000D0CE0000}"/>
    <cellStyle name="Normal 8 4 3 4 2" xfId="38792" xr:uid="{00000000-0005-0000-0000-0000D1CE0000}"/>
    <cellStyle name="Normal 8 4 3 4 2 2" xfId="54892" xr:uid="{00000000-0005-0000-0000-0000D2CE0000}"/>
    <cellStyle name="Normal 8 4 3 4 3" xfId="45325" xr:uid="{00000000-0005-0000-0000-0000D3CE0000}"/>
    <cellStyle name="Normal 8 4 3 4 4" xfId="29225" xr:uid="{00000000-0005-0000-0000-0000D4CE0000}"/>
    <cellStyle name="Normal 8 4 3 4 5" xfId="19656" xr:uid="{00000000-0005-0000-0000-0000D5CE0000}"/>
    <cellStyle name="Normal 8 4 3 5" xfId="10087" xr:uid="{00000000-0005-0000-0000-0000D6CE0000}"/>
    <cellStyle name="Normal 8 4 3 5 2" xfId="48361" xr:uid="{00000000-0005-0000-0000-0000D7CE0000}"/>
    <cellStyle name="Normal 8 4 3 5 3" xfId="32261" xr:uid="{00000000-0005-0000-0000-0000D8CE0000}"/>
    <cellStyle name="Normal 8 4 3 5 4" xfId="22692" xr:uid="{00000000-0005-0000-0000-0000D9CE0000}"/>
    <cellStyle name="Normal 8 4 3 6" xfId="4015" xr:uid="{00000000-0005-0000-0000-0000DACE0000}"/>
    <cellStyle name="Normal 8 4 3 6 2" xfId="51856" xr:uid="{00000000-0005-0000-0000-0000DBCE0000}"/>
    <cellStyle name="Normal 8 4 3 6 3" xfId="35756" xr:uid="{00000000-0005-0000-0000-0000DCCE0000}"/>
    <cellStyle name="Normal 8 4 3 6 4" xfId="16620" xr:uid="{00000000-0005-0000-0000-0000DDCE0000}"/>
    <cellStyle name="Normal 8 4 3 7" xfId="42289" xr:uid="{00000000-0005-0000-0000-0000DECE0000}"/>
    <cellStyle name="Normal 8 4 3 8" xfId="26189" xr:uid="{00000000-0005-0000-0000-0000DFCE0000}"/>
    <cellStyle name="Normal 8 4 3 9" xfId="13125" xr:uid="{00000000-0005-0000-0000-0000E0CE0000}"/>
    <cellStyle name="Normal 8 4 4" xfId="554" xr:uid="{00000000-0005-0000-0000-0000E1CE0000}"/>
    <cellStyle name="Normal 8 4 4 2" xfId="2583" xr:uid="{00000000-0005-0000-0000-0000E2CE0000}"/>
    <cellStyle name="Normal 8 4 4 2 2" xfId="9115" xr:uid="{00000000-0005-0000-0000-0000E3CE0000}"/>
    <cellStyle name="Normal 8 4 4 2 2 2" xfId="40856" xr:uid="{00000000-0005-0000-0000-0000E4CE0000}"/>
    <cellStyle name="Normal 8 4 4 2 2 2 2" xfId="56956" xr:uid="{00000000-0005-0000-0000-0000E5CE0000}"/>
    <cellStyle name="Normal 8 4 4 2 2 3" xfId="47389" xr:uid="{00000000-0005-0000-0000-0000E6CE0000}"/>
    <cellStyle name="Normal 8 4 4 2 2 4" xfId="31289" xr:uid="{00000000-0005-0000-0000-0000E7CE0000}"/>
    <cellStyle name="Normal 8 4 4 2 2 5" xfId="21720" xr:uid="{00000000-0005-0000-0000-0000E8CE0000}"/>
    <cellStyle name="Normal 8 4 4 2 3" xfId="12151" xr:uid="{00000000-0005-0000-0000-0000E9CE0000}"/>
    <cellStyle name="Normal 8 4 4 2 3 2" xfId="50425" xr:uid="{00000000-0005-0000-0000-0000EACE0000}"/>
    <cellStyle name="Normal 8 4 4 2 3 3" xfId="34325" xr:uid="{00000000-0005-0000-0000-0000EBCE0000}"/>
    <cellStyle name="Normal 8 4 4 2 3 4" xfId="24756" xr:uid="{00000000-0005-0000-0000-0000ECCE0000}"/>
    <cellStyle name="Normal 8 4 4 2 4" xfId="6079" xr:uid="{00000000-0005-0000-0000-0000EDCE0000}"/>
    <cellStyle name="Normal 8 4 4 2 4 2" xfId="53920" xr:uid="{00000000-0005-0000-0000-0000EECE0000}"/>
    <cellStyle name="Normal 8 4 4 2 4 3" xfId="37820" xr:uid="{00000000-0005-0000-0000-0000EFCE0000}"/>
    <cellStyle name="Normal 8 4 4 2 4 4" xfId="18684" xr:uid="{00000000-0005-0000-0000-0000F0CE0000}"/>
    <cellStyle name="Normal 8 4 4 2 5" xfId="44353" xr:uid="{00000000-0005-0000-0000-0000F1CE0000}"/>
    <cellStyle name="Normal 8 4 4 2 6" xfId="28253" xr:uid="{00000000-0005-0000-0000-0000F2CE0000}"/>
    <cellStyle name="Normal 8 4 4 2 7" xfId="15189" xr:uid="{00000000-0005-0000-0000-0000F3CE0000}"/>
    <cellStyle name="Normal 8 4 4 3" xfId="1350" xr:uid="{00000000-0005-0000-0000-0000F4CE0000}"/>
    <cellStyle name="Normal 8 4 4 3 2" xfId="7884" xr:uid="{00000000-0005-0000-0000-0000F5CE0000}"/>
    <cellStyle name="Normal 8 4 4 3 2 2" xfId="39625" xr:uid="{00000000-0005-0000-0000-0000F6CE0000}"/>
    <cellStyle name="Normal 8 4 4 3 2 2 2" xfId="55725" xr:uid="{00000000-0005-0000-0000-0000F7CE0000}"/>
    <cellStyle name="Normal 8 4 4 3 2 3" xfId="46158" xr:uid="{00000000-0005-0000-0000-0000F8CE0000}"/>
    <cellStyle name="Normal 8 4 4 3 2 4" xfId="30058" xr:uid="{00000000-0005-0000-0000-0000F9CE0000}"/>
    <cellStyle name="Normal 8 4 4 3 2 5" xfId="20489" xr:uid="{00000000-0005-0000-0000-0000FACE0000}"/>
    <cellStyle name="Normal 8 4 4 3 3" xfId="10920" xr:uid="{00000000-0005-0000-0000-0000FBCE0000}"/>
    <cellStyle name="Normal 8 4 4 3 3 2" xfId="49194" xr:uid="{00000000-0005-0000-0000-0000FCCE0000}"/>
    <cellStyle name="Normal 8 4 4 3 3 3" xfId="33094" xr:uid="{00000000-0005-0000-0000-0000FDCE0000}"/>
    <cellStyle name="Normal 8 4 4 3 3 4" xfId="23525" xr:uid="{00000000-0005-0000-0000-0000FECE0000}"/>
    <cellStyle name="Normal 8 4 4 3 4" xfId="4848" xr:uid="{00000000-0005-0000-0000-0000FFCE0000}"/>
    <cellStyle name="Normal 8 4 4 3 4 2" xfId="52689" xr:uid="{00000000-0005-0000-0000-000000CF0000}"/>
    <cellStyle name="Normal 8 4 4 3 4 3" xfId="36589" xr:uid="{00000000-0005-0000-0000-000001CF0000}"/>
    <cellStyle name="Normal 8 4 4 3 4 4" xfId="17453" xr:uid="{00000000-0005-0000-0000-000002CF0000}"/>
    <cellStyle name="Normal 8 4 4 3 5" xfId="43122" xr:uid="{00000000-0005-0000-0000-000003CF0000}"/>
    <cellStyle name="Normal 8 4 4 3 6" xfId="27022" xr:uid="{00000000-0005-0000-0000-000004CF0000}"/>
    <cellStyle name="Normal 8 4 4 3 7" xfId="13958" xr:uid="{00000000-0005-0000-0000-000005CF0000}"/>
    <cellStyle name="Normal 8 4 4 4" xfId="6874" xr:uid="{00000000-0005-0000-0000-000006CF0000}"/>
    <cellStyle name="Normal 8 4 4 4 2" xfId="38615" xr:uid="{00000000-0005-0000-0000-000007CF0000}"/>
    <cellStyle name="Normal 8 4 4 4 2 2" xfId="54715" xr:uid="{00000000-0005-0000-0000-000008CF0000}"/>
    <cellStyle name="Normal 8 4 4 4 3" xfId="45148" xr:uid="{00000000-0005-0000-0000-000009CF0000}"/>
    <cellStyle name="Normal 8 4 4 4 4" xfId="29048" xr:uid="{00000000-0005-0000-0000-00000ACF0000}"/>
    <cellStyle name="Normal 8 4 4 4 5" xfId="19479" xr:uid="{00000000-0005-0000-0000-00000BCF0000}"/>
    <cellStyle name="Normal 8 4 4 5" xfId="9910" xr:uid="{00000000-0005-0000-0000-00000CCF0000}"/>
    <cellStyle name="Normal 8 4 4 5 2" xfId="48184" xr:uid="{00000000-0005-0000-0000-00000DCF0000}"/>
    <cellStyle name="Normal 8 4 4 5 3" xfId="32084" xr:uid="{00000000-0005-0000-0000-00000ECF0000}"/>
    <cellStyle name="Normal 8 4 4 5 4" xfId="22515" xr:uid="{00000000-0005-0000-0000-00000FCF0000}"/>
    <cellStyle name="Normal 8 4 4 6" xfId="3838" xr:uid="{00000000-0005-0000-0000-000010CF0000}"/>
    <cellStyle name="Normal 8 4 4 6 2" xfId="51679" xr:uid="{00000000-0005-0000-0000-000011CF0000}"/>
    <cellStyle name="Normal 8 4 4 6 3" xfId="35579" xr:uid="{00000000-0005-0000-0000-000012CF0000}"/>
    <cellStyle name="Normal 8 4 4 6 4" xfId="16443" xr:uid="{00000000-0005-0000-0000-000013CF0000}"/>
    <cellStyle name="Normal 8 4 4 7" xfId="42112" xr:uid="{00000000-0005-0000-0000-000014CF0000}"/>
    <cellStyle name="Normal 8 4 4 8" xfId="26012" xr:uid="{00000000-0005-0000-0000-000015CF0000}"/>
    <cellStyle name="Normal 8 4 4 9" xfId="12948" xr:uid="{00000000-0005-0000-0000-000016CF0000}"/>
    <cellStyle name="Normal 8 4 5" xfId="827" xr:uid="{00000000-0005-0000-0000-000017CF0000}"/>
    <cellStyle name="Normal 8 4 5 2" xfId="2855" xr:uid="{00000000-0005-0000-0000-000018CF0000}"/>
    <cellStyle name="Normal 8 4 5 2 2" xfId="9387" xr:uid="{00000000-0005-0000-0000-000019CF0000}"/>
    <cellStyle name="Normal 8 4 5 2 2 2" xfId="41128" xr:uid="{00000000-0005-0000-0000-00001ACF0000}"/>
    <cellStyle name="Normal 8 4 5 2 2 2 2" xfId="57228" xr:uid="{00000000-0005-0000-0000-00001BCF0000}"/>
    <cellStyle name="Normal 8 4 5 2 2 3" xfId="47661" xr:uid="{00000000-0005-0000-0000-00001CCF0000}"/>
    <cellStyle name="Normal 8 4 5 2 2 4" xfId="31561" xr:uid="{00000000-0005-0000-0000-00001DCF0000}"/>
    <cellStyle name="Normal 8 4 5 2 2 5" xfId="21992" xr:uid="{00000000-0005-0000-0000-00001ECF0000}"/>
    <cellStyle name="Normal 8 4 5 2 3" xfId="12423" xr:uid="{00000000-0005-0000-0000-00001FCF0000}"/>
    <cellStyle name="Normal 8 4 5 2 3 2" xfId="50697" xr:uid="{00000000-0005-0000-0000-000020CF0000}"/>
    <cellStyle name="Normal 8 4 5 2 3 3" xfId="34597" xr:uid="{00000000-0005-0000-0000-000021CF0000}"/>
    <cellStyle name="Normal 8 4 5 2 3 4" xfId="25028" xr:uid="{00000000-0005-0000-0000-000022CF0000}"/>
    <cellStyle name="Normal 8 4 5 2 4" xfId="6351" xr:uid="{00000000-0005-0000-0000-000023CF0000}"/>
    <cellStyle name="Normal 8 4 5 2 4 2" xfId="54192" xr:uid="{00000000-0005-0000-0000-000024CF0000}"/>
    <cellStyle name="Normal 8 4 5 2 4 3" xfId="38092" xr:uid="{00000000-0005-0000-0000-000025CF0000}"/>
    <cellStyle name="Normal 8 4 5 2 4 4" xfId="18956" xr:uid="{00000000-0005-0000-0000-000026CF0000}"/>
    <cellStyle name="Normal 8 4 5 2 5" xfId="44625" xr:uid="{00000000-0005-0000-0000-000027CF0000}"/>
    <cellStyle name="Normal 8 4 5 2 6" xfId="28525" xr:uid="{00000000-0005-0000-0000-000028CF0000}"/>
    <cellStyle name="Normal 8 4 5 2 7" xfId="15461" xr:uid="{00000000-0005-0000-0000-000029CF0000}"/>
    <cellStyle name="Normal 8 4 5 3" xfId="1837" xr:uid="{00000000-0005-0000-0000-00002ACF0000}"/>
    <cellStyle name="Normal 8 4 5 3 2" xfId="8371" xr:uid="{00000000-0005-0000-0000-00002BCF0000}"/>
    <cellStyle name="Normal 8 4 5 3 2 2" xfId="40112" xr:uid="{00000000-0005-0000-0000-00002CCF0000}"/>
    <cellStyle name="Normal 8 4 5 3 2 2 2" xfId="56212" xr:uid="{00000000-0005-0000-0000-00002DCF0000}"/>
    <cellStyle name="Normal 8 4 5 3 2 3" xfId="46645" xr:uid="{00000000-0005-0000-0000-00002ECF0000}"/>
    <cellStyle name="Normal 8 4 5 3 2 4" xfId="30545" xr:uid="{00000000-0005-0000-0000-00002FCF0000}"/>
    <cellStyle name="Normal 8 4 5 3 2 5" xfId="20976" xr:uid="{00000000-0005-0000-0000-000030CF0000}"/>
    <cellStyle name="Normal 8 4 5 3 3" xfId="11407" xr:uid="{00000000-0005-0000-0000-000031CF0000}"/>
    <cellStyle name="Normal 8 4 5 3 3 2" xfId="49681" xr:uid="{00000000-0005-0000-0000-000032CF0000}"/>
    <cellStyle name="Normal 8 4 5 3 3 3" xfId="33581" xr:uid="{00000000-0005-0000-0000-000033CF0000}"/>
    <cellStyle name="Normal 8 4 5 3 3 4" xfId="24012" xr:uid="{00000000-0005-0000-0000-000034CF0000}"/>
    <cellStyle name="Normal 8 4 5 3 4" xfId="5335" xr:uid="{00000000-0005-0000-0000-000035CF0000}"/>
    <cellStyle name="Normal 8 4 5 3 4 2" xfId="53176" xr:uid="{00000000-0005-0000-0000-000036CF0000}"/>
    <cellStyle name="Normal 8 4 5 3 4 3" xfId="37076" xr:uid="{00000000-0005-0000-0000-000037CF0000}"/>
    <cellStyle name="Normal 8 4 5 3 4 4" xfId="17940" xr:uid="{00000000-0005-0000-0000-000038CF0000}"/>
    <cellStyle name="Normal 8 4 5 3 5" xfId="43609" xr:uid="{00000000-0005-0000-0000-000039CF0000}"/>
    <cellStyle name="Normal 8 4 5 3 6" xfId="27509" xr:uid="{00000000-0005-0000-0000-00003ACF0000}"/>
    <cellStyle name="Normal 8 4 5 3 7" xfId="14445" xr:uid="{00000000-0005-0000-0000-00003BCF0000}"/>
    <cellStyle name="Normal 8 4 5 4" xfId="7361" xr:uid="{00000000-0005-0000-0000-00003CCF0000}"/>
    <cellStyle name="Normal 8 4 5 4 2" xfId="39102" xr:uid="{00000000-0005-0000-0000-00003DCF0000}"/>
    <cellStyle name="Normal 8 4 5 4 2 2" xfId="55202" xr:uid="{00000000-0005-0000-0000-00003ECF0000}"/>
    <cellStyle name="Normal 8 4 5 4 3" xfId="45635" xr:uid="{00000000-0005-0000-0000-00003FCF0000}"/>
    <cellStyle name="Normal 8 4 5 4 4" xfId="29535" xr:uid="{00000000-0005-0000-0000-000040CF0000}"/>
    <cellStyle name="Normal 8 4 5 4 5" xfId="19966" xr:uid="{00000000-0005-0000-0000-000041CF0000}"/>
    <cellStyle name="Normal 8 4 5 5" xfId="10397" xr:uid="{00000000-0005-0000-0000-000042CF0000}"/>
    <cellStyle name="Normal 8 4 5 5 2" xfId="48671" xr:uid="{00000000-0005-0000-0000-000043CF0000}"/>
    <cellStyle name="Normal 8 4 5 5 3" xfId="32571" xr:uid="{00000000-0005-0000-0000-000044CF0000}"/>
    <cellStyle name="Normal 8 4 5 5 4" xfId="23002" xr:uid="{00000000-0005-0000-0000-000045CF0000}"/>
    <cellStyle name="Normal 8 4 5 6" xfId="4325" xr:uid="{00000000-0005-0000-0000-000046CF0000}"/>
    <cellStyle name="Normal 8 4 5 6 2" xfId="52166" xr:uid="{00000000-0005-0000-0000-000047CF0000}"/>
    <cellStyle name="Normal 8 4 5 6 3" xfId="36066" xr:uid="{00000000-0005-0000-0000-000048CF0000}"/>
    <cellStyle name="Normal 8 4 5 6 4" xfId="16930" xr:uid="{00000000-0005-0000-0000-000049CF0000}"/>
    <cellStyle name="Normal 8 4 5 7" xfId="42599" xr:uid="{00000000-0005-0000-0000-00004ACF0000}"/>
    <cellStyle name="Normal 8 4 5 8" xfId="26499" xr:uid="{00000000-0005-0000-0000-00004BCF0000}"/>
    <cellStyle name="Normal 8 4 5 9" xfId="13435" xr:uid="{00000000-0005-0000-0000-00004CCF0000}"/>
    <cellStyle name="Normal 8 4 6" xfId="2138" xr:uid="{00000000-0005-0000-0000-00004DCF0000}"/>
    <cellStyle name="Normal 8 4 6 2" xfId="8672" xr:uid="{00000000-0005-0000-0000-00004ECF0000}"/>
    <cellStyle name="Normal 8 4 6 2 2" xfId="40413" xr:uid="{00000000-0005-0000-0000-00004FCF0000}"/>
    <cellStyle name="Normal 8 4 6 2 2 2" xfId="56513" xr:uid="{00000000-0005-0000-0000-000050CF0000}"/>
    <cellStyle name="Normal 8 4 6 2 3" xfId="46946" xr:uid="{00000000-0005-0000-0000-000051CF0000}"/>
    <cellStyle name="Normal 8 4 6 2 4" xfId="30846" xr:uid="{00000000-0005-0000-0000-000052CF0000}"/>
    <cellStyle name="Normal 8 4 6 2 5" xfId="21277" xr:uid="{00000000-0005-0000-0000-000053CF0000}"/>
    <cellStyle name="Normal 8 4 6 3" xfId="11708" xr:uid="{00000000-0005-0000-0000-000054CF0000}"/>
    <cellStyle name="Normal 8 4 6 3 2" xfId="49982" xr:uid="{00000000-0005-0000-0000-000055CF0000}"/>
    <cellStyle name="Normal 8 4 6 3 3" xfId="33882" xr:uid="{00000000-0005-0000-0000-000056CF0000}"/>
    <cellStyle name="Normal 8 4 6 3 4" xfId="24313" xr:uid="{00000000-0005-0000-0000-000057CF0000}"/>
    <cellStyle name="Normal 8 4 6 4" xfId="5636" xr:uid="{00000000-0005-0000-0000-000058CF0000}"/>
    <cellStyle name="Normal 8 4 6 4 2" xfId="53477" xr:uid="{00000000-0005-0000-0000-000059CF0000}"/>
    <cellStyle name="Normal 8 4 6 4 3" xfId="37377" xr:uid="{00000000-0005-0000-0000-00005ACF0000}"/>
    <cellStyle name="Normal 8 4 6 4 4" xfId="18241" xr:uid="{00000000-0005-0000-0000-00005BCF0000}"/>
    <cellStyle name="Normal 8 4 6 5" xfId="43910" xr:uid="{00000000-0005-0000-0000-00005CCF0000}"/>
    <cellStyle name="Normal 8 4 6 6" xfId="27810" xr:uid="{00000000-0005-0000-0000-00005DCF0000}"/>
    <cellStyle name="Normal 8 4 6 7" xfId="14746" xr:uid="{00000000-0005-0000-0000-00005ECF0000}"/>
    <cellStyle name="Normal 8 4 7" xfId="1154" xr:uid="{00000000-0005-0000-0000-00005FCF0000}"/>
    <cellStyle name="Normal 8 4 7 2" xfId="7688" xr:uid="{00000000-0005-0000-0000-000060CF0000}"/>
    <cellStyle name="Normal 8 4 7 2 2" xfId="39429" xr:uid="{00000000-0005-0000-0000-000061CF0000}"/>
    <cellStyle name="Normal 8 4 7 2 2 2" xfId="55529" xr:uid="{00000000-0005-0000-0000-000062CF0000}"/>
    <cellStyle name="Normal 8 4 7 2 3" xfId="45962" xr:uid="{00000000-0005-0000-0000-000063CF0000}"/>
    <cellStyle name="Normal 8 4 7 2 4" xfId="29862" xr:uid="{00000000-0005-0000-0000-000064CF0000}"/>
    <cellStyle name="Normal 8 4 7 2 5" xfId="20293" xr:uid="{00000000-0005-0000-0000-000065CF0000}"/>
    <cellStyle name="Normal 8 4 7 3" xfId="10724" xr:uid="{00000000-0005-0000-0000-000066CF0000}"/>
    <cellStyle name="Normal 8 4 7 3 2" xfId="48998" xr:uid="{00000000-0005-0000-0000-000067CF0000}"/>
    <cellStyle name="Normal 8 4 7 3 3" xfId="32898" xr:uid="{00000000-0005-0000-0000-000068CF0000}"/>
    <cellStyle name="Normal 8 4 7 3 4" xfId="23329" xr:uid="{00000000-0005-0000-0000-000069CF0000}"/>
    <cellStyle name="Normal 8 4 7 4" xfId="4652" xr:uid="{00000000-0005-0000-0000-00006ACF0000}"/>
    <cellStyle name="Normal 8 4 7 4 2" xfId="52493" xr:uid="{00000000-0005-0000-0000-00006BCF0000}"/>
    <cellStyle name="Normal 8 4 7 4 3" xfId="36393" xr:uid="{00000000-0005-0000-0000-00006CCF0000}"/>
    <cellStyle name="Normal 8 4 7 4 4" xfId="17257" xr:uid="{00000000-0005-0000-0000-00006DCF0000}"/>
    <cellStyle name="Normal 8 4 7 5" xfId="42926" xr:uid="{00000000-0005-0000-0000-00006ECF0000}"/>
    <cellStyle name="Normal 8 4 7 6" xfId="26826" xr:uid="{00000000-0005-0000-0000-00006FCF0000}"/>
    <cellStyle name="Normal 8 4 7 7" xfId="13762" xr:uid="{00000000-0005-0000-0000-000070CF0000}"/>
    <cellStyle name="Normal 8 4 8" xfId="3642" xr:uid="{00000000-0005-0000-0000-000071CF0000}"/>
    <cellStyle name="Normal 8 4 8 2" xfId="35383" xr:uid="{00000000-0005-0000-0000-000072CF0000}"/>
    <cellStyle name="Normal 8 4 8 2 2" xfId="51483" xr:uid="{00000000-0005-0000-0000-000073CF0000}"/>
    <cellStyle name="Normal 8 4 8 3" xfId="41916" xr:uid="{00000000-0005-0000-0000-000074CF0000}"/>
    <cellStyle name="Normal 8 4 8 4" xfId="25816" xr:uid="{00000000-0005-0000-0000-000075CF0000}"/>
    <cellStyle name="Normal 8 4 8 5" xfId="16247" xr:uid="{00000000-0005-0000-0000-000076CF0000}"/>
    <cellStyle name="Normal 8 4 9" xfId="6678" xr:uid="{00000000-0005-0000-0000-000077CF0000}"/>
    <cellStyle name="Normal 8 4 9 2" xfId="38419" xr:uid="{00000000-0005-0000-0000-000078CF0000}"/>
    <cellStyle name="Normal 8 4 9 2 2" xfId="54519" xr:uid="{00000000-0005-0000-0000-000079CF0000}"/>
    <cellStyle name="Normal 8 4 9 3" xfId="44952" xr:uid="{00000000-0005-0000-0000-00007ACF0000}"/>
    <cellStyle name="Normal 8 4 9 4" xfId="28852" xr:uid="{00000000-0005-0000-0000-00007BCF0000}"/>
    <cellStyle name="Normal 8 4 9 5" xfId="19283" xr:uid="{00000000-0005-0000-0000-00007CCF0000}"/>
    <cellStyle name="Normal 8 5" xfId="79" xr:uid="{00000000-0005-0000-0000-00007DCF0000}"/>
    <cellStyle name="Normal 8 5 10" xfId="3199" xr:uid="{00000000-0005-0000-0000-00007ECF0000}"/>
    <cellStyle name="Normal 8 5 10 2" xfId="51041" xr:uid="{00000000-0005-0000-0000-00007FCF0000}"/>
    <cellStyle name="Normal 8 5 10 3" xfId="34941" xr:uid="{00000000-0005-0000-0000-000080CF0000}"/>
    <cellStyle name="Normal 8 5 10 4" xfId="15805" xr:uid="{00000000-0005-0000-0000-000081CF0000}"/>
    <cellStyle name="Normal 8 5 11" xfId="41474" xr:uid="{00000000-0005-0000-0000-000082CF0000}"/>
    <cellStyle name="Normal 8 5 12" xfId="25374" xr:uid="{00000000-0005-0000-0000-000083CF0000}"/>
    <cellStyle name="Normal 8 5 13" xfId="12769" xr:uid="{00000000-0005-0000-0000-000084CF0000}"/>
    <cellStyle name="Normal 8 5 2" xfId="260" xr:uid="{00000000-0005-0000-0000-000085CF0000}"/>
    <cellStyle name="Normal 8 5 2 10" xfId="25611" xr:uid="{00000000-0005-0000-0000-000086CF0000}"/>
    <cellStyle name="Normal 8 5 2 11" xfId="13089" xr:uid="{00000000-0005-0000-0000-000087CF0000}"/>
    <cellStyle name="Normal 8 5 2 2" xfId="1040" xr:uid="{00000000-0005-0000-0000-000088CF0000}"/>
    <cellStyle name="Normal 8 5 2 2 2" xfId="3068" xr:uid="{00000000-0005-0000-0000-000089CF0000}"/>
    <cellStyle name="Normal 8 5 2 2 2 2" xfId="9600" xr:uid="{00000000-0005-0000-0000-00008ACF0000}"/>
    <cellStyle name="Normal 8 5 2 2 2 2 2" xfId="41341" xr:uid="{00000000-0005-0000-0000-00008BCF0000}"/>
    <cellStyle name="Normal 8 5 2 2 2 2 2 2" xfId="57441" xr:uid="{00000000-0005-0000-0000-00008CCF0000}"/>
    <cellStyle name="Normal 8 5 2 2 2 2 3" xfId="47874" xr:uid="{00000000-0005-0000-0000-00008DCF0000}"/>
    <cellStyle name="Normal 8 5 2 2 2 2 4" xfId="31774" xr:uid="{00000000-0005-0000-0000-00008ECF0000}"/>
    <cellStyle name="Normal 8 5 2 2 2 2 5" xfId="22205" xr:uid="{00000000-0005-0000-0000-00008FCF0000}"/>
    <cellStyle name="Normal 8 5 2 2 2 3" xfId="12636" xr:uid="{00000000-0005-0000-0000-000090CF0000}"/>
    <cellStyle name="Normal 8 5 2 2 2 3 2" xfId="50910" xr:uid="{00000000-0005-0000-0000-000091CF0000}"/>
    <cellStyle name="Normal 8 5 2 2 2 3 3" xfId="34810" xr:uid="{00000000-0005-0000-0000-000092CF0000}"/>
    <cellStyle name="Normal 8 5 2 2 2 3 4" xfId="25241" xr:uid="{00000000-0005-0000-0000-000093CF0000}"/>
    <cellStyle name="Normal 8 5 2 2 2 4" xfId="6564" xr:uid="{00000000-0005-0000-0000-000094CF0000}"/>
    <cellStyle name="Normal 8 5 2 2 2 4 2" xfId="54405" xr:uid="{00000000-0005-0000-0000-000095CF0000}"/>
    <cellStyle name="Normal 8 5 2 2 2 4 3" xfId="38305" xr:uid="{00000000-0005-0000-0000-000096CF0000}"/>
    <cellStyle name="Normal 8 5 2 2 2 4 4" xfId="19169" xr:uid="{00000000-0005-0000-0000-000097CF0000}"/>
    <cellStyle name="Normal 8 5 2 2 2 5" xfId="44838" xr:uid="{00000000-0005-0000-0000-000098CF0000}"/>
    <cellStyle name="Normal 8 5 2 2 2 6" xfId="28738" xr:uid="{00000000-0005-0000-0000-000099CF0000}"/>
    <cellStyle name="Normal 8 5 2 2 2 7" xfId="15674" xr:uid="{00000000-0005-0000-0000-00009ACF0000}"/>
    <cellStyle name="Normal 8 5 2 2 3" xfId="2050" xr:uid="{00000000-0005-0000-0000-00009BCF0000}"/>
    <cellStyle name="Normal 8 5 2 2 3 2" xfId="8584" xr:uid="{00000000-0005-0000-0000-00009CCF0000}"/>
    <cellStyle name="Normal 8 5 2 2 3 2 2" xfId="40325" xr:uid="{00000000-0005-0000-0000-00009DCF0000}"/>
    <cellStyle name="Normal 8 5 2 2 3 2 2 2" xfId="56425" xr:uid="{00000000-0005-0000-0000-00009ECF0000}"/>
    <cellStyle name="Normal 8 5 2 2 3 2 3" xfId="46858" xr:uid="{00000000-0005-0000-0000-00009FCF0000}"/>
    <cellStyle name="Normal 8 5 2 2 3 2 4" xfId="30758" xr:uid="{00000000-0005-0000-0000-0000A0CF0000}"/>
    <cellStyle name="Normal 8 5 2 2 3 2 5" xfId="21189" xr:uid="{00000000-0005-0000-0000-0000A1CF0000}"/>
    <cellStyle name="Normal 8 5 2 2 3 3" xfId="11620" xr:uid="{00000000-0005-0000-0000-0000A2CF0000}"/>
    <cellStyle name="Normal 8 5 2 2 3 3 2" xfId="49894" xr:uid="{00000000-0005-0000-0000-0000A3CF0000}"/>
    <cellStyle name="Normal 8 5 2 2 3 3 3" xfId="33794" xr:uid="{00000000-0005-0000-0000-0000A4CF0000}"/>
    <cellStyle name="Normal 8 5 2 2 3 3 4" xfId="24225" xr:uid="{00000000-0005-0000-0000-0000A5CF0000}"/>
    <cellStyle name="Normal 8 5 2 2 3 4" xfId="5548" xr:uid="{00000000-0005-0000-0000-0000A6CF0000}"/>
    <cellStyle name="Normal 8 5 2 2 3 4 2" xfId="53389" xr:uid="{00000000-0005-0000-0000-0000A7CF0000}"/>
    <cellStyle name="Normal 8 5 2 2 3 4 3" xfId="37289" xr:uid="{00000000-0005-0000-0000-0000A8CF0000}"/>
    <cellStyle name="Normal 8 5 2 2 3 4 4" xfId="18153" xr:uid="{00000000-0005-0000-0000-0000A9CF0000}"/>
    <cellStyle name="Normal 8 5 2 2 3 5" xfId="43822" xr:uid="{00000000-0005-0000-0000-0000AACF0000}"/>
    <cellStyle name="Normal 8 5 2 2 3 6" xfId="27722" xr:uid="{00000000-0005-0000-0000-0000ABCF0000}"/>
    <cellStyle name="Normal 8 5 2 2 3 7" xfId="14658" xr:uid="{00000000-0005-0000-0000-0000ACCF0000}"/>
    <cellStyle name="Normal 8 5 2 2 4" xfId="7574" xr:uid="{00000000-0005-0000-0000-0000ADCF0000}"/>
    <cellStyle name="Normal 8 5 2 2 4 2" xfId="39315" xr:uid="{00000000-0005-0000-0000-0000AECF0000}"/>
    <cellStyle name="Normal 8 5 2 2 4 2 2" xfId="55415" xr:uid="{00000000-0005-0000-0000-0000AFCF0000}"/>
    <cellStyle name="Normal 8 5 2 2 4 3" xfId="45848" xr:uid="{00000000-0005-0000-0000-0000B0CF0000}"/>
    <cellStyle name="Normal 8 5 2 2 4 4" xfId="29748" xr:uid="{00000000-0005-0000-0000-0000B1CF0000}"/>
    <cellStyle name="Normal 8 5 2 2 4 5" xfId="20179" xr:uid="{00000000-0005-0000-0000-0000B2CF0000}"/>
    <cellStyle name="Normal 8 5 2 2 5" xfId="10610" xr:uid="{00000000-0005-0000-0000-0000B3CF0000}"/>
    <cellStyle name="Normal 8 5 2 2 5 2" xfId="48884" xr:uid="{00000000-0005-0000-0000-0000B4CF0000}"/>
    <cellStyle name="Normal 8 5 2 2 5 3" xfId="32784" xr:uid="{00000000-0005-0000-0000-0000B5CF0000}"/>
    <cellStyle name="Normal 8 5 2 2 5 4" xfId="23215" xr:uid="{00000000-0005-0000-0000-0000B6CF0000}"/>
    <cellStyle name="Normal 8 5 2 2 6" xfId="4538" xr:uid="{00000000-0005-0000-0000-0000B7CF0000}"/>
    <cellStyle name="Normal 8 5 2 2 6 2" xfId="52379" xr:uid="{00000000-0005-0000-0000-0000B8CF0000}"/>
    <cellStyle name="Normal 8 5 2 2 6 3" xfId="36279" xr:uid="{00000000-0005-0000-0000-0000B9CF0000}"/>
    <cellStyle name="Normal 8 5 2 2 6 4" xfId="17143" xr:uid="{00000000-0005-0000-0000-0000BACF0000}"/>
    <cellStyle name="Normal 8 5 2 2 7" xfId="42812" xr:uid="{00000000-0005-0000-0000-0000BBCF0000}"/>
    <cellStyle name="Normal 8 5 2 2 8" xfId="26712" xr:uid="{00000000-0005-0000-0000-0000BCCF0000}"/>
    <cellStyle name="Normal 8 5 2 2 9" xfId="13648" xr:uid="{00000000-0005-0000-0000-0000BDCF0000}"/>
    <cellStyle name="Normal 8 5 2 3" xfId="2279" xr:uid="{00000000-0005-0000-0000-0000BECF0000}"/>
    <cellStyle name="Normal 8 5 2 3 2" xfId="8813" xr:uid="{00000000-0005-0000-0000-0000BFCF0000}"/>
    <cellStyle name="Normal 8 5 2 3 2 2" xfId="40554" xr:uid="{00000000-0005-0000-0000-0000C0CF0000}"/>
    <cellStyle name="Normal 8 5 2 3 2 2 2" xfId="56654" xr:uid="{00000000-0005-0000-0000-0000C1CF0000}"/>
    <cellStyle name="Normal 8 5 2 3 2 3" xfId="47087" xr:uid="{00000000-0005-0000-0000-0000C2CF0000}"/>
    <cellStyle name="Normal 8 5 2 3 2 4" xfId="30987" xr:uid="{00000000-0005-0000-0000-0000C3CF0000}"/>
    <cellStyle name="Normal 8 5 2 3 2 5" xfId="21418" xr:uid="{00000000-0005-0000-0000-0000C4CF0000}"/>
    <cellStyle name="Normal 8 5 2 3 3" xfId="11849" xr:uid="{00000000-0005-0000-0000-0000C5CF0000}"/>
    <cellStyle name="Normal 8 5 2 3 3 2" xfId="50123" xr:uid="{00000000-0005-0000-0000-0000C6CF0000}"/>
    <cellStyle name="Normal 8 5 2 3 3 3" xfId="34023" xr:uid="{00000000-0005-0000-0000-0000C7CF0000}"/>
    <cellStyle name="Normal 8 5 2 3 3 4" xfId="24454" xr:uid="{00000000-0005-0000-0000-0000C8CF0000}"/>
    <cellStyle name="Normal 8 5 2 3 4" xfId="5777" xr:uid="{00000000-0005-0000-0000-0000C9CF0000}"/>
    <cellStyle name="Normal 8 5 2 3 4 2" xfId="53618" xr:uid="{00000000-0005-0000-0000-0000CACF0000}"/>
    <cellStyle name="Normal 8 5 2 3 4 3" xfId="37518" xr:uid="{00000000-0005-0000-0000-0000CBCF0000}"/>
    <cellStyle name="Normal 8 5 2 3 4 4" xfId="18382" xr:uid="{00000000-0005-0000-0000-0000CCCF0000}"/>
    <cellStyle name="Normal 8 5 2 3 5" xfId="44051" xr:uid="{00000000-0005-0000-0000-0000CDCF0000}"/>
    <cellStyle name="Normal 8 5 2 3 6" xfId="27951" xr:uid="{00000000-0005-0000-0000-0000CECF0000}"/>
    <cellStyle name="Normal 8 5 2 3 7" xfId="14887" xr:uid="{00000000-0005-0000-0000-0000CFCF0000}"/>
    <cellStyle name="Normal 8 5 2 4" xfId="1491" xr:uid="{00000000-0005-0000-0000-0000D0CF0000}"/>
    <cellStyle name="Normal 8 5 2 4 2" xfId="8025" xr:uid="{00000000-0005-0000-0000-0000D1CF0000}"/>
    <cellStyle name="Normal 8 5 2 4 2 2" xfId="39766" xr:uid="{00000000-0005-0000-0000-0000D2CF0000}"/>
    <cellStyle name="Normal 8 5 2 4 2 2 2" xfId="55866" xr:uid="{00000000-0005-0000-0000-0000D3CF0000}"/>
    <cellStyle name="Normal 8 5 2 4 2 3" xfId="46299" xr:uid="{00000000-0005-0000-0000-0000D4CF0000}"/>
    <cellStyle name="Normal 8 5 2 4 2 4" xfId="30199" xr:uid="{00000000-0005-0000-0000-0000D5CF0000}"/>
    <cellStyle name="Normal 8 5 2 4 2 5" xfId="20630" xr:uid="{00000000-0005-0000-0000-0000D6CF0000}"/>
    <cellStyle name="Normal 8 5 2 4 3" xfId="11061" xr:uid="{00000000-0005-0000-0000-0000D7CF0000}"/>
    <cellStyle name="Normal 8 5 2 4 3 2" xfId="49335" xr:uid="{00000000-0005-0000-0000-0000D8CF0000}"/>
    <cellStyle name="Normal 8 5 2 4 3 3" xfId="33235" xr:uid="{00000000-0005-0000-0000-0000D9CF0000}"/>
    <cellStyle name="Normal 8 5 2 4 3 4" xfId="23666" xr:uid="{00000000-0005-0000-0000-0000DACF0000}"/>
    <cellStyle name="Normal 8 5 2 4 4" xfId="4989" xr:uid="{00000000-0005-0000-0000-0000DBCF0000}"/>
    <cellStyle name="Normal 8 5 2 4 4 2" xfId="52830" xr:uid="{00000000-0005-0000-0000-0000DCCF0000}"/>
    <cellStyle name="Normal 8 5 2 4 4 3" xfId="36730" xr:uid="{00000000-0005-0000-0000-0000DDCF0000}"/>
    <cellStyle name="Normal 8 5 2 4 4 4" xfId="17594" xr:uid="{00000000-0005-0000-0000-0000DECF0000}"/>
    <cellStyle name="Normal 8 5 2 4 5" xfId="43263" xr:uid="{00000000-0005-0000-0000-0000DFCF0000}"/>
    <cellStyle name="Normal 8 5 2 4 6" xfId="27163" xr:uid="{00000000-0005-0000-0000-0000E0CF0000}"/>
    <cellStyle name="Normal 8 5 2 4 7" xfId="14099" xr:uid="{00000000-0005-0000-0000-0000E1CF0000}"/>
    <cellStyle name="Normal 8 5 2 5" xfId="3979" xr:uid="{00000000-0005-0000-0000-0000E2CF0000}"/>
    <cellStyle name="Normal 8 5 2 5 2" xfId="35720" xr:uid="{00000000-0005-0000-0000-0000E3CF0000}"/>
    <cellStyle name="Normal 8 5 2 5 2 2" xfId="51820" xr:uid="{00000000-0005-0000-0000-0000E4CF0000}"/>
    <cellStyle name="Normal 8 5 2 5 3" xfId="42253" xr:uid="{00000000-0005-0000-0000-0000E5CF0000}"/>
    <cellStyle name="Normal 8 5 2 5 4" xfId="26153" xr:uid="{00000000-0005-0000-0000-0000E6CF0000}"/>
    <cellStyle name="Normal 8 5 2 5 5" xfId="16584" xr:uid="{00000000-0005-0000-0000-0000E7CF0000}"/>
    <cellStyle name="Normal 8 5 2 6" xfId="7015" xr:uid="{00000000-0005-0000-0000-0000E8CF0000}"/>
    <cellStyle name="Normal 8 5 2 6 2" xfId="38756" xr:uid="{00000000-0005-0000-0000-0000E9CF0000}"/>
    <cellStyle name="Normal 8 5 2 6 2 2" xfId="54856" xr:uid="{00000000-0005-0000-0000-0000EACF0000}"/>
    <cellStyle name="Normal 8 5 2 6 3" xfId="45289" xr:uid="{00000000-0005-0000-0000-0000EBCF0000}"/>
    <cellStyle name="Normal 8 5 2 6 4" xfId="29189" xr:uid="{00000000-0005-0000-0000-0000ECCF0000}"/>
    <cellStyle name="Normal 8 5 2 6 5" xfId="19620" xr:uid="{00000000-0005-0000-0000-0000EDCF0000}"/>
    <cellStyle name="Normal 8 5 2 7" xfId="10051" xr:uid="{00000000-0005-0000-0000-0000EECF0000}"/>
    <cellStyle name="Normal 8 5 2 7 2" xfId="48325" xr:uid="{00000000-0005-0000-0000-0000EFCF0000}"/>
    <cellStyle name="Normal 8 5 2 7 3" xfId="32225" xr:uid="{00000000-0005-0000-0000-0000F0CF0000}"/>
    <cellStyle name="Normal 8 5 2 7 4" xfId="22656" xr:uid="{00000000-0005-0000-0000-0000F1CF0000}"/>
    <cellStyle name="Normal 8 5 2 8" xfId="3437" xr:uid="{00000000-0005-0000-0000-0000F2CF0000}"/>
    <cellStyle name="Normal 8 5 2 8 2" xfId="51278" xr:uid="{00000000-0005-0000-0000-0000F3CF0000}"/>
    <cellStyle name="Normal 8 5 2 8 3" xfId="35178" xr:uid="{00000000-0005-0000-0000-0000F4CF0000}"/>
    <cellStyle name="Normal 8 5 2 8 4" xfId="16042" xr:uid="{00000000-0005-0000-0000-0000F5CF0000}"/>
    <cellStyle name="Normal 8 5 2 9" xfId="41711" xr:uid="{00000000-0005-0000-0000-0000F6CF0000}"/>
    <cellStyle name="Normal 8 5 3" xfId="535" xr:uid="{00000000-0005-0000-0000-0000F7CF0000}"/>
    <cellStyle name="Normal 8 5 3 2" xfId="2565" xr:uid="{00000000-0005-0000-0000-0000F8CF0000}"/>
    <cellStyle name="Normal 8 5 3 2 2" xfId="9097" xr:uid="{00000000-0005-0000-0000-0000F9CF0000}"/>
    <cellStyle name="Normal 8 5 3 2 2 2" xfId="40838" xr:uid="{00000000-0005-0000-0000-0000FACF0000}"/>
    <cellStyle name="Normal 8 5 3 2 2 2 2" xfId="56938" xr:uid="{00000000-0005-0000-0000-0000FBCF0000}"/>
    <cellStyle name="Normal 8 5 3 2 2 3" xfId="47371" xr:uid="{00000000-0005-0000-0000-0000FCCF0000}"/>
    <cellStyle name="Normal 8 5 3 2 2 4" xfId="31271" xr:uid="{00000000-0005-0000-0000-0000FDCF0000}"/>
    <cellStyle name="Normal 8 5 3 2 2 5" xfId="21702" xr:uid="{00000000-0005-0000-0000-0000FECF0000}"/>
    <cellStyle name="Normal 8 5 3 2 3" xfId="12133" xr:uid="{00000000-0005-0000-0000-0000FFCF0000}"/>
    <cellStyle name="Normal 8 5 3 2 3 2" xfId="50407" xr:uid="{00000000-0005-0000-0000-000000D00000}"/>
    <cellStyle name="Normal 8 5 3 2 3 3" xfId="34307" xr:uid="{00000000-0005-0000-0000-000001D00000}"/>
    <cellStyle name="Normal 8 5 3 2 3 4" xfId="24738" xr:uid="{00000000-0005-0000-0000-000002D00000}"/>
    <cellStyle name="Normal 8 5 3 2 4" xfId="6061" xr:uid="{00000000-0005-0000-0000-000003D00000}"/>
    <cellStyle name="Normal 8 5 3 2 4 2" xfId="53902" xr:uid="{00000000-0005-0000-0000-000004D00000}"/>
    <cellStyle name="Normal 8 5 3 2 4 3" xfId="37802" xr:uid="{00000000-0005-0000-0000-000005D00000}"/>
    <cellStyle name="Normal 8 5 3 2 4 4" xfId="18666" xr:uid="{00000000-0005-0000-0000-000006D00000}"/>
    <cellStyle name="Normal 8 5 3 2 5" xfId="44335" xr:uid="{00000000-0005-0000-0000-000007D00000}"/>
    <cellStyle name="Normal 8 5 3 2 6" xfId="28235" xr:uid="{00000000-0005-0000-0000-000008D00000}"/>
    <cellStyle name="Normal 8 5 3 2 7" xfId="15171" xr:uid="{00000000-0005-0000-0000-000009D00000}"/>
    <cellStyle name="Normal 8 5 3 3" xfId="1314" xr:uid="{00000000-0005-0000-0000-00000AD00000}"/>
    <cellStyle name="Normal 8 5 3 3 2" xfId="7848" xr:uid="{00000000-0005-0000-0000-00000BD00000}"/>
    <cellStyle name="Normal 8 5 3 3 2 2" xfId="39589" xr:uid="{00000000-0005-0000-0000-00000CD00000}"/>
    <cellStyle name="Normal 8 5 3 3 2 2 2" xfId="55689" xr:uid="{00000000-0005-0000-0000-00000DD00000}"/>
    <cellStyle name="Normal 8 5 3 3 2 3" xfId="46122" xr:uid="{00000000-0005-0000-0000-00000ED00000}"/>
    <cellStyle name="Normal 8 5 3 3 2 4" xfId="30022" xr:uid="{00000000-0005-0000-0000-00000FD00000}"/>
    <cellStyle name="Normal 8 5 3 3 2 5" xfId="20453" xr:uid="{00000000-0005-0000-0000-000010D00000}"/>
    <cellStyle name="Normal 8 5 3 3 3" xfId="10884" xr:uid="{00000000-0005-0000-0000-000011D00000}"/>
    <cellStyle name="Normal 8 5 3 3 3 2" xfId="49158" xr:uid="{00000000-0005-0000-0000-000012D00000}"/>
    <cellStyle name="Normal 8 5 3 3 3 3" xfId="33058" xr:uid="{00000000-0005-0000-0000-000013D00000}"/>
    <cellStyle name="Normal 8 5 3 3 3 4" xfId="23489" xr:uid="{00000000-0005-0000-0000-000014D00000}"/>
    <cellStyle name="Normal 8 5 3 3 4" xfId="4812" xr:uid="{00000000-0005-0000-0000-000015D00000}"/>
    <cellStyle name="Normal 8 5 3 3 4 2" xfId="52653" xr:uid="{00000000-0005-0000-0000-000016D00000}"/>
    <cellStyle name="Normal 8 5 3 3 4 3" xfId="36553" xr:uid="{00000000-0005-0000-0000-000017D00000}"/>
    <cellStyle name="Normal 8 5 3 3 4 4" xfId="17417" xr:uid="{00000000-0005-0000-0000-000018D00000}"/>
    <cellStyle name="Normal 8 5 3 3 5" xfId="43086" xr:uid="{00000000-0005-0000-0000-000019D00000}"/>
    <cellStyle name="Normal 8 5 3 3 6" xfId="26986" xr:uid="{00000000-0005-0000-0000-00001AD00000}"/>
    <cellStyle name="Normal 8 5 3 3 7" xfId="13922" xr:uid="{00000000-0005-0000-0000-00001BD00000}"/>
    <cellStyle name="Normal 8 5 3 4" xfId="6838" xr:uid="{00000000-0005-0000-0000-00001CD00000}"/>
    <cellStyle name="Normal 8 5 3 4 2" xfId="38579" xr:uid="{00000000-0005-0000-0000-00001DD00000}"/>
    <cellStyle name="Normal 8 5 3 4 2 2" xfId="54679" xr:uid="{00000000-0005-0000-0000-00001ED00000}"/>
    <cellStyle name="Normal 8 5 3 4 3" xfId="45112" xr:uid="{00000000-0005-0000-0000-00001FD00000}"/>
    <cellStyle name="Normal 8 5 3 4 4" xfId="29012" xr:uid="{00000000-0005-0000-0000-000020D00000}"/>
    <cellStyle name="Normal 8 5 3 4 5" xfId="19443" xr:uid="{00000000-0005-0000-0000-000021D00000}"/>
    <cellStyle name="Normal 8 5 3 5" xfId="9874" xr:uid="{00000000-0005-0000-0000-000022D00000}"/>
    <cellStyle name="Normal 8 5 3 5 2" xfId="48148" xr:uid="{00000000-0005-0000-0000-000023D00000}"/>
    <cellStyle name="Normal 8 5 3 5 3" xfId="32048" xr:uid="{00000000-0005-0000-0000-000024D00000}"/>
    <cellStyle name="Normal 8 5 3 5 4" xfId="22479" xr:uid="{00000000-0005-0000-0000-000025D00000}"/>
    <cellStyle name="Normal 8 5 3 6" xfId="3802" xr:uid="{00000000-0005-0000-0000-000026D00000}"/>
    <cellStyle name="Normal 8 5 3 6 2" xfId="51643" xr:uid="{00000000-0005-0000-0000-000027D00000}"/>
    <cellStyle name="Normal 8 5 3 6 3" xfId="35543" xr:uid="{00000000-0005-0000-0000-000028D00000}"/>
    <cellStyle name="Normal 8 5 3 6 4" xfId="16407" xr:uid="{00000000-0005-0000-0000-000029D00000}"/>
    <cellStyle name="Normal 8 5 3 7" xfId="42076" xr:uid="{00000000-0005-0000-0000-00002AD00000}"/>
    <cellStyle name="Normal 8 5 3 8" xfId="25976" xr:uid="{00000000-0005-0000-0000-00002BD00000}"/>
    <cellStyle name="Normal 8 5 3 9" xfId="12912" xr:uid="{00000000-0005-0000-0000-00002CD00000}"/>
    <cellStyle name="Normal 8 5 4" xfId="844" xr:uid="{00000000-0005-0000-0000-00002DD00000}"/>
    <cellStyle name="Normal 8 5 4 2" xfId="2872" xr:uid="{00000000-0005-0000-0000-00002ED00000}"/>
    <cellStyle name="Normal 8 5 4 2 2" xfId="9404" xr:uid="{00000000-0005-0000-0000-00002FD00000}"/>
    <cellStyle name="Normal 8 5 4 2 2 2" xfId="41145" xr:uid="{00000000-0005-0000-0000-000030D00000}"/>
    <cellStyle name="Normal 8 5 4 2 2 2 2" xfId="57245" xr:uid="{00000000-0005-0000-0000-000031D00000}"/>
    <cellStyle name="Normal 8 5 4 2 2 3" xfId="47678" xr:uid="{00000000-0005-0000-0000-000032D00000}"/>
    <cellStyle name="Normal 8 5 4 2 2 4" xfId="31578" xr:uid="{00000000-0005-0000-0000-000033D00000}"/>
    <cellStyle name="Normal 8 5 4 2 2 5" xfId="22009" xr:uid="{00000000-0005-0000-0000-000034D00000}"/>
    <cellStyle name="Normal 8 5 4 2 3" xfId="12440" xr:uid="{00000000-0005-0000-0000-000035D00000}"/>
    <cellStyle name="Normal 8 5 4 2 3 2" xfId="50714" xr:uid="{00000000-0005-0000-0000-000036D00000}"/>
    <cellStyle name="Normal 8 5 4 2 3 3" xfId="34614" xr:uid="{00000000-0005-0000-0000-000037D00000}"/>
    <cellStyle name="Normal 8 5 4 2 3 4" xfId="25045" xr:uid="{00000000-0005-0000-0000-000038D00000}"/>
    <cellStyle name="Normal 8 5 4 2 4" xfId="6368" xr:uid="{00000000-0005-0000-0000-000039D00000}"/>
    <cellStyle name="Normal 8 5 4 2 4 2" xfId="54209" xr:uid="{00000000-0005-0000-0000-00003AD00000}"/>
    <cellStyle name="Normal 8 5 4 2 4 3" xfId="38109" xr:uid="{00000000-0005-0000-0000-00003BD00000}"/>
    <cellStyle name="Normal 8 5 4 2 4 4" xfId="18973" xr:uid="{00000000-0005-0000-0000-00003CD00000}"/>
    <cellStyle name="Normal 8 5 4 2 5" xfId="44642" xr:uid="{00000000-0005-0000-0000-00003DD00000}"/>
    <cellStyle name="Normal 8 5 4 2 6" xfId="28542" xr:uid="{00000000-0005-0000-0000-00003ED00000}"/>
    <cellStyle name="Normal 8 5 4 2 7" xfId="15478" xr:uid="{00000000-0005-0000-0000-00003FD00000}"/>
    <cellStyle name="Normal 8 5 4 3" xfId="1854" xr:uid="{00000000-0005-0000-0000-000040D00000}"/>
    <cellStyle name="Normal 8 5 4 3 2" xfId="8388" xr:uid="{00000000-0005-0000-0000-000041D00000}"/>
    <cellStyle name="Normal 8 5 4 3 2 2" xfId="40129" xr:uid="{00000000-0005-0000-0000-000042D00000}"/>
    <cellStyle name="Normal 8 5 4 3 2 2 2" xfId="56229" xr:uid="{00000000-0005-0000-0000-000043D00000}"/>
    <cellStyle name="Normal 8 5 4 3 2 3" xfId="46662" xr:uid="{00000000-0005-0000-0000-000044D00000}"/>
    <cellStyle name="Normal 8 5 4 3 2 4" xfId="30562" xr:uid="{00000000-0005-0000-0000-000045D00000}"/>
    <cellStyle name="Normal 8 5 4 3 2 5" xfId="20993" xr:uid="{00000000-0005-0000-0000-000046D00000}"/>
    <cellStyle name="Normal 8 5 4 3 3" xfId="11424" xr:uid="{00000000-0005-0000-0000-000047D00000}"/>
    <cellStyle name="Normal 8 5 4 3 3 2" xfId="49698" xr:uid="{00000000-0005-0000-0000-000048D00000}"/>
    <cellStyle name="Normal 8 5 4 3 3 3" xfId="33598" xr:uid="{00000000-0005-0000-0000-000049D00000}"/>
    <cellStyle name="Normal 8 5 4 3 3 4" xfId="24029" xr:uid="{00000000-0005-0000-0000-00004AD00000}"/>
    <cellStyle name="Normal 8 5 4 3 4" xfId="5352" xr:uid="{00000000-0005-0000-0000-00004BD00000}"/>
    <cellStyle name="Normal 8 5 4 3 4 2" xfId="53193" xr:uid="{00000000-0005-0000-0000-00004CD00000}"/>
    <cellStyle name="Normal 8 5 4 3 4 3" xfId="37093" xr:uid="{00000000-0005-0000-0000-00004DD00000}"/>
    <cellStyle name="Normal 8 5 4 3 4 4" xfId="17957" xr:uid="{00000000-0005-0000-0000-00004ED00000}"/>
    <cellStyle name="Normal 8 5 4 3 5" xfId="43626" xr:uid="{00000000-0005-0000-0000-00004FD00000}"/>
    <cellStyle name="Normal 8 5 4 3 6" xfId="27526" xr:uid="{00000000-0005-0000-0000-000050D00000}"/>
    <cellStyle name="Normal 8 5 4 3 7" xfId="14462" xr:uid="{00000000-0005-0000-0000-000051D00000}"/>
    <cellStyle name="Normal 8 5 4 4" xfId="7378" xr:uid="{00000000-0005-0000-0000-000052D00000}"/>
    <cellStyle name="Normal 8 5 4 4 2" xfId="39119" xr:uid="{00000000-0005-0000-0000-000053D00000}"/>
    <cellStyle name="Normal 8 5 4 4 2 2" xfId="55219" xr:uid="{00000000-0005-0000-0000-000054D00000}"/>
    <cellStyle name="Normal 8 5 4 4 3" xfId="45652" xr:uid="{00000000-0005-0000-0000-000055D00000}"/>
    <cellStyle name="Normal 8 5 4 4 4" xfId="29552" xr:uid="{00000000-0005-0000-0000-000056D00000}"/>
    <cellStyle name="Normal 8 5 4 4 5" xfId="19983" xr:uid="{00000000-0005-0000-0000-000057D00000}"/>
    <cellStyle name="Normal 8 5 4 5" xfId="10414" xr:uid="{00000000-0005-0000-0000-000058D00000}"/>
    <cellStyle name="Normal 8 5 4 5 2" xfId="48688" xr:uid="{00000000-0005-0000-0000-000059D00000}"/>
    <cellStyle name="Normal 8 5 4 5 3" xfId="32588" xr:uid="{00000000-0005-0000-0000-00005AD00000}"/>
    <cellStyle name="Normal 8 5 4 5 4" xfId="23019" xr:uid="{00000000-0005-0000-0000-00005BD00000}"/>
    <cellStyle name="Normal 8 5 4 6" xfId="4342" xr:uid="{00000000-0005-0000-0000-00005CD00000}"/>
    <cellStyle name="Normal 8 5 4 6 2" xfId="52183" xr:uid="{00000000-0005-0000-0000-00005DD00000}"/>
    <cellStyle name="Normal 8 5 4 6 3" xfId="36083" xr:uid="{00000000-0005-0000-0000-00005ED00000}"/>
    <cellStyle name="Normal 8 5 4 6 4" xfId="16947" xr:uid="{00000000-0005-0000-0000-00005FD00000}"/>
    <cellStyle name="Normal 8 5 4 7" xfId="42616" xr:uid="{00000000-0005-0000-0000-000060D00000}"/>
    <cellStyle name="Normal 8 5 4 8" xfId="26516" xr:uid="{00000000-0005-0000-0000-000061D00000}"/>
    <cellStyle name="Normal 8 5 4 9" xfId="13452" xr:uid="{00000000-0005-0000-0000-000062D00000}"/>
    <cellStyle name="Normal 8 5 5" xfId="2102" xr:uid="{00000000-0005-0000-0000-000063D00000}"/>
    <cellStyle name="Normal 8 5 5 2" xfId="8636" xr:uid="{00000000-0005-0000-0000-000064D00000}"/>
    <cellStyle name="Normal 8 5 5 2 2" xfId="40377" xr:uid="{00000000-0005-0000-0000-000065D00000}"/>
    <cellStyle name="Normal 8 5 5 2 2 2" xfId="56477" xr:uid="{00000000-0005-0000-0000-000066D00000}"/>
    <cellStyle name="Normal 8 5 5 2 3" xfId="46910" xr:uid="{00000000-0005-0000-0000-000067D00000}"/>
    <cellStyle name="Normal 8 5 5 2 4" xfId="30810" xr:uid="{00000000-0005-0000-0000-000068D00000}"/>
    <cellStyle name="Normal 8 5 5 2 5" xfId="21241" xr:uid="{00000000-0005-0000-0000-000069D00000}"/>
    <cellStyle name="Normal 8 5 5 3" xfId="11672" xr:uid="{00000000-0005-0000-0000-00006AD00000}"/>
    <cellStyle name="Normal 8 5 5 3 2" xfId="49946" xr:uid="{00000000-0005-0000-0000-00006BD00000}"/>
    <cellStyle name="Normal 8 5 5 3 3" xfId="33846" xr:uid="{00000000-0005-0000-0000-00006CD00000}"/>
    <cellStyle name="Normal 8 5 5 3 4" xfId="24277" xr:uid="{00000000-0005-0000-0000-00006DD00000}"/>
    <cellStyle name="Normal 8 5 5 4" xfId="5600" xr:uid="{00000000-0005-0000-0000-00006ED00000}"/>
    <cellStyle name="Normal 8 5 5 4 2" xfId="53441" xr:uid="{00000000-0005-0000-0000-00006FD00000}"/>
    <cellStyle name="Normal 8 5 5 4 3" xfId="37341" xr:uid="{00000000-0005-0000-0000-000070D00000}"/>
    <cellStyle name="Normal 8 5 5 4 4" xfId="18205" xr:uid="{00000000-0005-0000-0000-000071D00000}"/>
    <cellStyle name="Normal 8 5 5 5" xfId="43874" xr:uid="{00000000-0005-0000-0000-000072D00000}"/>
    <cellStyle name="Normal 8 5 5 6" xfId="27774" xr:uid="{00000000-0005-0000-0000-000073D00000}"/>
    <cellStyle name="Normal 8 5 5 7" xfId="14710" xr:uid="{00000000-0005-0000-0000-000074D00000}"/>
    <cellStyle name="Normal 8 5 6" xfId="1171" xr:uid="{00000000-0005-0000-0000-000075D00000}"/>
    <cellStyle name="Normal 8 5 6 2" xfId="7705" xr:uid="{00000000-0005-0000-0000-000076D00000}"/>
    <cellStyle name="Normal 8 5 6 2 2" xfId="39446" xr:uid="{00000000-0005-0000-0000-000077D00000}"/>
    <cellStyle name="Normal 8 5 6 2 2 2" xfId="55546" xr:uid="{00000000-0005-0000-0000-000078D00000}"/>
    <cellStyle name="Normal 8 5 6 2 3" xfId="45979" xr:uid="{00000000-0005-0000-0000-000079D00000}"/>
    <cellStyle name="Normal 8 5 6 2 4" xfId="29879" xr:uid="{00000000-0005-0000-0000-00007AD00000}"/>
    <cellStyle name="Normal 8 5 6 2 5" xfId="20310" xr:uid="{00000000-0005-0000-0000-00007BD00000}"/>
    <cellStyle name="Normal 8 5 6 3" xfId="10741" xr:uid="{00000000-0005-0000-0000-00007CD00000}"/>
    <cellStyle name="Normal 8 5 6 3 2" xfId="49015" xr:uid="{00000000-0005-0000-0000-00007DD00000}"/>
    <cellStyle name="Normal 8 5 6 3 3" xfId="32915" xr:uid="{00000000-0005-0000-0000-00007ED00000}"/>
    <cellStyle name="Normal 8 5 6 3 4" xfId="23346" xr:uid="{00000000-0005-0000-0000-00007FD00000}"/>
    <cellStyle name="Normal 8 5 6 4" xfId="4669" xr:uid="{00000000-0005-0000-0000-000080D00000}"/>
    <cellStyle name="Normal 8 5 6 4 2" xfId="52510" xr:uid="{00000000-0005-0000-0000-000081D00000}"/>
    <cellStyle name="Normal 8 5 6 4 3" xfId="36410" xr:uid="{00000000-0005-0000-0000-000082D00000}"/>
    <cellStyle name="Normal 8 5 6 4 4" xfId="17274" xr:uid="{00000000-0005-0000-0000-000083D00000}"/>
    <cellStyle name="Normal 8 5 6 5" xfId="42943" xr:uid="{00000000-0005-0000-0000-000084D00000}"/>
    <cellStyle name="Normal 8 5 6 6" xfId="26843" xr:uid="{00000000-0005-0000-0000-000085D00000}"/>
    <cellStyle name="Normal 8 5 6 7" xfId="13779" xr:uid="{00000000-0005-0000-0000-000086D00000}"/>
    <cellStyle name="Normal 8 5 7" xfId="3659" xr:uid="{00000000-0005-0000-0000-000087D00000}"/>
    <cellStyle name="Normal 8 5 7 2" xfId="35400" xr:uid="{00000000-0005-0000-0000-000088D00000}"/>
    <cellStyle name="Normal 8 5 7 2 2" xfId="51500" xr:uid="{00000000-0005-0000-0000-000089D00000}"/>
    <cellStyle name="Normal 8 5 7 3" xfId="41933" xr:uid="{00000000-0005-0000-0000-00008AD00000}"/>
    <cellStyle name="Normal 8 5 7 4" xfId="25833" xr:uid="{00000000-0005-0000-0000-00008BD00000}"/>
    <cellStyle name="Normal 8 5 7 5" xfId="16264" xr:uid="{00000000-0005-0000-0000-00008CD00000}"/>
    <cellStyle name="Normal 8 5 8" xfId="6695" xr:uid="{00000000-0005-0000-0000-00008DD00000}"/>
    <cellStyle name="Normal 8 5 8 2" xfId="38436" xr:uid="{00000000-0005-0000-0000-00008ED00000}"/>
    <cellStyle name="Normal 8 5 8 2 2" xfId="54536" xr:uid="{00000000-0005-0000-0000-00008FD00000}"/>
    <cellStyle name="Normal 8 5 8 3" xfId="44969" xr:uid="{00000000-0005-0000-0000-000090D00000}"/>
    <cellStyle name="Normal 8 5 8 4" xfId="28869" xr:uid="{00000000-0005-0000-0000-000091D00000}"/>
    <cellStyle name="Normal 8 5 8 5" xfId="19300" xr:uid="{00000000-0005-0000-0000-000092D00000}"/>
    <cellStyle name="Normal 8 5 9" xfId="9731" xr:uid="{00000000-0005-0000-0000-000093D00000}"/>
    <cellStyle name="Normal 8 5 9 2" xfId="48005" xr:uid="{00000000-0005-0000-0000-000094D00000}"/>
    <cellStyle name="Normal 8 5 9 3" xfId="31905" xr:uid="{00000000-0005-0000-0000-000095D00000}"/>
    <cellStyle name="Normal 8 5 9 4" xfId="22336" xr:uid="{00000000-0005-0000-0000-000096D00000}"/>
    <cellStyle name="Normal 8 6" xfId="154" xr:uid="{00000000-0005-0000-0000-000097D00000}"/>
    <cellStyle name="Normal 8 6 10" xfId="3216" xr:uid="{00000000-0005-0000-0000-000098D00000}"/>
    <cellStyle name="Normal 8 6 10 2" xfId="51058" xr:uid="{00000000-0005-0000-0000-000099D00000}"/>
    <cellStyle name="Normal 8 6 10 3" xfId="34958" xr:uid="{00000000-0005-0000-0000-00009AD00000}"/>
    <cellStyle name="Normal 8 6 10 4" xfId="15822" xr:uid="{00000000-0005-0000-0000-00009BD00000}"/>
    <cellStyle name="Normal 8 6 11" xfId="41491" xr:uid="{00000000-0005-0000-0000-00009CD00000}"/>
    <cellStyle name="Normal 8 6 12" xfId="25391" xr:uid="{00000000-0005-0000-0000-00009DD00000}"/>
    <cellStyle name="Normal 8 6 13" xfId="12786" xr:uid="{00000000-0005-0000-0000-00009ED00000}"/>
    <cellStyle name="Normal 8 6 2" xfId="331" xr:uid="{00000000-0005-0000-0000-00009FD00000}"/>
    <cellStyle name="Normal 8 6 2 10" xfId="13160" xr:uid="{00000000-0005-0000-0000-0000A0D00000}"/>
    <cellStyle name="Normal 8 6 2 2" xfId="2350" xr:uid="{00000000-0005-0000-0000-0000A1D00000}"/>
    <cellStyle name="Normal 8 6 2 2 2" xfId="8884" xr:uid="{00000000-0005-0000-0000-0000A2D00000}"/>
    <cellStyle name="Normal 8 6 2 2 2 2" xfId="40625" xr:uid="{00000000-0005-0000-0000-0000A3D00000}"/>
    <cellStyle name="Normal 8 6 2 2 2 2 2" xfId="56725" xr:uid="{00000000-0005-0000-0000-0000A4D00000}"/>
    <cellStyle name="Normal 8 6 2 2 2 3" xfId="47158" xr:uid="{00000000-0005-0000-0000-0000A5D00000}"/>
    <cellStyle name="Normal 8 6 2 2 2 4" xfId="31058" xr:uid="{00000000-0005-0000-0000-0000A6D00000}"/>
    <cellStyle name="Normal 8 6 2 2 2 5" xfId="21489" xr:uid="{00000000-0005-0000-0000-0000A7D00000}"/>
    <cellStyle name="Normal 8 6 2 2 3" xfId="11920" xr:uid="{00000000-0005-0000-0000-0000A8D00000}"/>
    <cellStyle name="Normal 8 6 2 2 3 2" xfId="50194" xr:uid="{00000000-0005-0000-0000-0000A9D00000}"/>
    <cellStyle name="Normal 8 6 2 2 3 3" xfId="34094" xr:uid="{00000000-0005-0000-0000-0000AAD00000}"/>
    <cellStyle name="Normal 8 6 2 2 3 4" xfId="24525" xr:uid="{00000000-0005-0000-0000-0000ABD00000}"/>
    <cellStyle name="Normal 8 6 2 2 4" xfId="5848" xr:uid="{00000000-0005-0000-0000-0000ACD00000}"/>
    <cellStyle name="Normal 8 6 2 2 4 2" xfId="53689" xr:uid="{00000000-0005-0000-0000-0000ADD00000}"/>
    <cellStyle name="Normal 8 6 2 2 4 3" xfId="37589" xr:uid="{00000000-0005-0000-0000-0000AED00000}"/>
    <cellStyle name="Normal 8 6 2 2 4 4" xfId="18453" xr:uid="{00000000-0005-0000-0000-0000AFD00000}"/>
    <cellStyle name="Normal 8 6 2 2 5" xfId="44122" xr:uid="{00000000-0005-0000-0000-0000B0D00000}"/>
    <cellStyle name="Normal 8 6 2 2 6" xfId="28022" xr:uid="{00000000-0005-0000-0000-0000B1D00000}"/>
    <cellStyle name="Normal 8 6 2 2 7" xfId="14958" xr:uid="{00000000-0005-0000-0000-0000B2D00000}"/>
    <cellStyle name="Normal 8 6 2 3" xfId="1562" xr:uid="{00000000-0005-0000-0000-0000B3D00000}"/>
    <cellStyle name="Normal 8 6 2 3 2" xfId="8096" xr:uid="{00000000-0005-0000-0000-0000B4D00000}"/>
    <cellStyle name="Normal 8 6 2 3 2 2" xfId="39837" xr:uid="{00000000-0005-0000-0000-0000B5D00000}"/>
    <cellStyle name="Normal 8 6 2 3 2 2 2" xfId="55937" xr:uid="{00000000-0005-0000-0000-0000B6D00000}"/>
    <cellStyle name="Normal 8 6 2 3 2 3" xfId="46370" xr:uid="{00000000-0005-0000-0000-0000B7D00000}"/>
    <cellStyle name="Normal 8 6 2 3 2 4" xfId="30270" xr:uid="{00000000-0005-0000-0000-0000B8D00000}"/>
    <cellStyle name="Normal 8 6 2 3 2 5" xfId="20701" xr:uid="{00000000-0005-0000-0000-0000B9D00000}"/>
    <cellStyle name="Normal 8 6 2 3 3" xfId="11132" xr:uid="{00000000-0005-0000-0000-0000BAD00000}"/>
    <cellStyle name="Normal 8 6 2 3 3 2" xfId="49406" xr:uid="{00000000-0005-0000-0000-0000BBD00000}"/>
    <cellStyle name="Normal 8 6 2 3 3 3" xfId="33306" xr:uid="{00000000-0005-0000-0000-0000BCD00000}"/>
    <cellStyle name="Normal 8 6 2 3 3 4" xfId="23737" xr:uid="{00000000-0005-0000-0000-0000BDD00000}"/>
    <cellStyle name="Normal 8 6 2 3 4" xfId="5060" xr:uid="{00000000-0005-0000-0000-0000BED00000}"/>
    <cellStyle name="Normal 8 6 2 3 4 2" xfId="52901" xr:uid="{00000000-0005-0000-0000-0000BFD00000}"/>
    <cellStyle name="Normal 8 6 2 3 4 3" xfId="36801" xr:uid="{00000000-0005-0000-0000-0000C0D00000}"/>
    <cellStyle name="Normal 8 6 2 3 4 4" xfId="17665" xr:uid="{00000000-0005-0000-0000-0000C1D00000}"/>
    <cellStyle name="Normal 8 6 2 3 5" xfId="43334" xr:uid="{00000000-0005-0000-0000-0000C2D00000}"/>
    <cellStyle name="Normal 8 6 2 3 6" xfId="27234" xr:uid="{00000000-0005-0000-0000-0000C3D00000}"/>
    <cellStyle name="Normal 8 6 2 3 7" xfId="14170" xr:uid="{00000000-0005-0000-0000-0000C4D00000}"/>
    <cellStyle name="Normal 8 6 2 4" xfId="4050" xr:uid="{00000000-0005-0000-0000-0000C5D00000}"/>
    <cellStyle name="Normal 8 6 2 4 2" xfId="35791" xr:uid="{00000000-0005-0000-0000-0000C6D00000}"/>
    <cellStyle name="Normal 8 6 2 4 2 2" xfId="51891" xr:uid="{00000000-0005-0000-0000-0000C7D00000}"/>
    <cellStyle name="Normal 8 6 2 4 3" xfId="42324" xr:uid="{00000000-0005-0000-0000-0000C8D00000}"/>
    <cellStyle name="Normal 8 6 2 4 4" xfId="26224" xr:uid="{00000000-0005-0000-0000-0000C9D00000}"/>
    <cellStyle name="Normal 8 6 2 4 5" xfId="16655" xr:uid="{00000000-0005-0000-0000-0000CAD00000}"/>
    <cellStyle name="Normal 8 6 2 5" xfId="7086" xr:uid="{00000000-0005-0000-0000-0000CBD00000}"/>
    <cellStyle name="Normal 8 6 2 5 2" xfId="38827" xr:uid="{00000000-0005-0000-0000-0000CCD00000}"/>
    <cellStyle name="Normal 8 6 2 5 2 2" xfId="54927" xr:uid="{00000000-0005-0000-0000-0000CDD00000}"/>
    <cellStyle name="Normal 8 6 2 5 3" xfId="45360" xr:uid="{00000000-0005-0000-0000-0000CED00000}"/>
    <cellStyle name="Normal 8 6 2 5 4" xfId="29260" xr:uid="{00000000-0005-0000-0000-0000CFD00000}"/>
    <cellStyle name="Normal 8 6 2 5 5" xfId="19691" xr:uid="{00000000-0005-0000-0000-0000D0D00000}"/>
    <cellStyle name="Normal 8 6 2 6" xfId="10122" xr:uid="{00000000-0005-0000-0000-0000D1D00000}"/>
    <cellStyle name="Normal 8 6 2 6 2" xfId="48396" xr:uid="{00000000-0005-0000-0000-0000D2D00000}"/>
    <cellStyle name="Normal 8 6 2 6 3" xfId="32296" xr:uid="{00000000-0005-0000-0000-0000D3D00000}"/>
    <cellStyle name="Normal 8 6 2 6 4" xfId="22727" xr:uid="{00000000-0005-0000-0000-0000D4D00000}"/>
    <cellStyle name="Normal 8 6 2 7" xfId="3454" xr:uid="{00000000-0005-0000-0000-0000D5D00000}"/>
    <cellStyle name="Normal 8 6 2 7 2" xfId="51295" xr:uid="{00000000-0005-0000-0000-0000D6D00000}"/>
    <cellStyle name="Normal 8 6 2 7 3" xfId="35195" xr:uid="{00000000-0005-0000-0000-0000D7D00000}"/>
    <cellStyle name="Normal 8 6 2 7 4" xfId="16059" xr:uid="{00000000-0005-0000-0000-0000D8D00000}"/>
    <cellStyle name="Normal 8 6 2 8" xfId="41728" xr:uid="{00000000-0005-0000-0000-0000D9D00000}"/>
    <cellStyle name="Normal 8 6 2 9" xfId="25628" xr:uid="{00000000-0005-0000-0000-0000DAD00000}"/>
    <cellStyle name="Normal 8 6 3" xfId="589" xr:uid="{00000000-0005-0000-0000-0000DBD00000}"/>
    <cellStyle name="Normal 8 6 3 2" xfId="2617" xr:uid="{00000000-0005-0000-0000-0000DCD00000}"/>
    <cellStyle name="Normal 8 6 3 2 2" xfId="9149" xr:uid="{00000000-0005-0000-0000-0000DDD00000}"/>
    <cellStyle name="Normal 8 6 3 2 2 2" xfId="40890" xr:uid="{00000000-0005-0000-0000-0000DED00000}"/>
    <cellStyle name="Normal 8 6 3 2 2 2 2" xfId="56990" xr:uid="{00000000-0005-0000-0000-0000DFD00000}"/>
    <cellStyle name="Normal 8 6 3 2 2 3" xfId="47423" xr:uid="{00000000-0005-0000-0000-0000E0D00000}"/>
    <cellStyle name="Normal 8 6 3 2 2 4" xfId="31323" xr:uid="{00000000-0005-0000-0000-0000E1D00000}"/>
    <cellStyle name="Normal 8 6 3 2 2 5" xfId="21754" xr:uid="{00000000-0005-0000-0000-0000E2D00000}"/>
    <cellStyle name="Normal 8 6 3 2 3" xfId="12185" xr:uid="{00000000-0005-0000-0000-0000E3D00000}"/>
    <cellStyle name="Normal 8 6 3 2 3 2" xfId="50459" xr:uid="{00000000-0005-0000-0000-0000E4D00000}"/>
    <cellStyle name="Normal 8 6 3 2 3 3" xfId="34359" xr:uid="{00000000-0005-0000-0000-0000E5D00000}"/>
    <cellStyle name="Normal 8 6 3 2 3 4" xfId="24790" xr:uid="{00000000-0005-0000-0000-0000E6D00000}"/>
    <cellStyle name="Normal 8 6 3 2 4" xfId="6113" xr:uid="{00000000-0005-0000-0000-0000E7D00000}"/>
    <cellStyle name="Normal 8 6 3 2 4 2" xfId="53954" xr:uid="{00000000-0005-0000-0000-0000E8D00000}"/>
    <cellStyle name="Normal 8 6 3 2 4 3" xfId="37854" xr:uid="{00000000-0005-0000-0000-0000E9D00000}"/>
    <cellStyle name="Normal 8 6 3 2 4 4" xfId="18718" xr:uid="{00000000-0005-0000-0000-0000EAD00000}"/>
    <cellStyle name="Normal 8 6 3 2 5" xfId="44387" xr:uid="{00000000-0005-0000-0000-0000EBD00000}"/>
    <cellStyle name="Normal 8 6 3 2 6" xfId="28287" xr:uid="{00000000-0005-0000-0000-0000ECD00000}"/>
    <cellStyle name="Normal 8 6 3 2 7" xfId="15223" xr:uid="{00000000-0005-0000-0000-0000EDD00000}"/>
    <cellStyle name="Normal 8 6 3 3" xfId="1385" xr:uid="{00000000-0005-0000-0000-0000EED00000}"/>
    <cellStyle name="Normal 8 6 3 3 2" xfId="7919" xr:uid="{00000000-0005-0000-0000-0000EFD00000}"/>
    <cellStyle name="Normal 8 6 3 3 2 2" xfId="39660" xr:uid="{00000000-0005-0000-0000-0000F0D00000}"/>
    <cellStyle name="Normal 8 6 3 3 2 2 2" xfId="55760" xr:uid="{00000000-0005-0000-0000-0000F1D00000}"/>
    <cellStyle name="Normal 8 6 3 3 2 3" xfId="46193" xr:uid="{00000000-0005-0000-0000-0000F2D00000}"/>
    <cellStyle name="Normal 8 6 3 3 2 4" xfId="30093" xr:uid="{00000000-0005-0000-0000-0000F3D00000}"/>
    <cellStyle name="Normal 8 6 3 3 2 5" xfId="20524" xr:uid="{00000000-0005-0000-0000-0000F4D00000}"/>
    <cellStyle name="Normal 8 6 3 3 3" xfId="10955" xr:uid="{00000000-0005-0000-0000-0000F5D00000}"/>
    <cellStyle name="Normal 8 6 3 3 3 2" xfId="49229" xr:uid="{00000000-0005-0000-0000-0000F6D00000}"/>
    <cellStyle name="Normal 8 6 3 3 3 3" xfId="33129" xr:uid="{00000000-0005-0000-0000-0000F7D00000}"/>
    <cellStyle name="Normal 8 6 3 3 3 4" xfId="23560" xr:uid="{00000000-0005-0000-0000-0000F8D00000}"/>
    <cellStyle name="Normal 8 6 3 3 4" xfId="4883" xr:uid="{00000000-0005-0000-0000-0000F9D00000}"/>
    <cellStyle name="Normal 8 6 3 3 4 2" xfId="52724" xr:uid="{00000000-0005-0000-0000-0000FAD00000}"/>
    <cellStyle name="Normal 8 6 3 3 4 3" xfId="36624" xr:uid="{00000000-0005-0000-0000-0000FBD00000}"/>
    <cellStyle name="Normal 8 6 3 3 4 4" xfId="17488" xr:uid="{00000000-0005-0000-0000-0000FCD00000}"/>
    <cellStyle name="Normal 8 6 3 3 5" xfId="43157" xr:uid="{00000000-0005-0000-0000-0000FDD00000}"/>
    <cellStyle name="Normal 8 6 3 3 6" xfId="27057" xr:uid="{00000000-0005-0000-0000-0000FED00000}"/>
    <cellStyle name="Normal 8 6 3 3 7" xfId="13993" xr:uid="{00000000-0005-0000-0000-0000FFD00000}"/>
    <cellStyle name="Normal 8 6 3 4" xfId="6909" xr:uid="{00000000-0005-0000-0000-000000D10000}"/>
    <cellStyle name="Normal 8 6 3 4 2" xfId="38650" xr:uid="{00000000-0005-0000-0000-000001D10000}"/>
    <cellStyle name="Normal 8 6 3 4 2 2" xfId="54750" xr:uid="{00000000-0005-0000-0000-000002D10000}"/>
    <cellStyle name="Normal 8 6 3 4 3" xfId="45183" xr:uid="{00000000-0005-0000-0000-000003D10000}"/>
    <cellStyle name="Normal 8 6 3 4 4" xfId="29083" xr:uid="{00000000-0005-0000-0000-000004D10000}"/>
    <cellStyle name="Normal 8 6 3 4 5" xfId="19514" xr:uid="{00000000-0005-0000-0000-000005D10000}"/>
    <cellStyle name="Normal 8 6 3 5" xfId="9945" xr:uid="{00000000-0005-0000-0000-000006D10000}"/>
    <cellStyle name="Normal 8 6 3 5 2" xfId="48219" xr:uid="{00000000-0005-0000-0000-000007D10000}"/>
    <cellStyle name="Normal 8 6 3 5 3" xfId="32119" xr:uid="{00000000-0005-0000-0000-000008D10000}"/>
    <cellStyle name="Normal 8 6 3 5 4" xfId="22550" xr:uid="{00000000-0005-0000-0000-000009D10000}"/>
    <cellStyle name="Normal 8 6 3 6" xfId="3873" xr:uid="{00000000-0005-0000-0000-00000AD10000}"/>
    <cellStyle name="Normal 8 6 3 6 2" xfId="51714" xr:uid="{00000000-0005-0000-0000-00000BD10000}"/>
    <cellStyle name="Normal 8 6 3 6 3" xfId="35614" xr:uid="{00000000-0005-0000-0000-00000CD10000}"/>
    <cellStyle name="Normal 8 6 3 6 4" xfId="16478" xr:uid="{00000000-0005-0000-0000-00000DD10000}"/>
    <cellStyle name="Normal 8 6 3 7" xfId="42147" xr:uid="{00000000-0005-0000-0000-00000ED10000}"/>
    <cellStyle name="Normal 8 6 3 8" xfId="26047" xr:uid="{00000000-0005-0000-0000-00000FD10000}"/>
    <cellStyle name="Normal 8 6 3 9" xfId="12983" xr:uid="{00000000-0005-0000-0000-000010D10000}"/>
    <cellStyle name="Normal 8 6 4" xfId="861" xr:uid="{00000000-0005-0000-0000-000011D10000}"/>
    <cellStyle name="Normal 8 6 4 2" xfId="2889" xr:uid="{00000000-0005-0000-0000-000012D10000}"/>
    <cellStyle name="Normal 8 6 4 2 2" xfId="9421" xr:uid="{00000000-0005-0000-0000-000013D10000}"/>
    <cellStyle name="Normal 8 6 4 2 2 2" xfId="41162" xr:uid="{00000000-0005-0000-0000-000014D10000}"/>
    <cellStyle name="Normal 8 6 4 2 2 2 2" xfId="57262" xr:uid="{00000000-0005-0000-0000-000015D10000}"/>
    <cellStyle name="Normal 8 6 4 2 2 3" xfId="47695" xr:uid="{00000000-0005-0000-0000-000016D10000}"/>
    <cellStyle name="Normal 8 6 4 2 2 4" xfId="31595" xr:uid="{00000000-0005-0000-0000-000017D10000}"/>
    <cellStyle name="Normal 8 6 4 2 2 5" xfId="22026" xr:uid="{00000000-0005-0000-0000-000018D10000}"/>
    <cellStyle name="Normal 8 6 4 2 3" xfId="12457" xr:uid="{00000000-0005-0000-0000-000019D10000}"/>
    <cellStyle name="Normal 8 6 4 2 3 2" xfId="50731" xr:uid="{00000000-0005-0000-0000-00001AD10000}"/>
    <cellStyle name="Normal 8 6 4 2 3 3" xfId="34631" xr:uid="{00000000-0005-0000-0000-00001BD10000}"/>
    <cellStyle name="Normal 8 6 4 2 3 4" xfId="25062" xr:uid="{00000000-0005-0000-0000-00001CD10000}"/>
    <cellStyle name="Normal 8 6 4 2 4" xfId="6385" xr:uid="{00000000-0005-0000-0000-00001DD10000}"/>
    <cellStyle name="Normal 8 6 4 2 4 2" xfId="54226" xr:uid="{00000000-0005-0000-0000-00001ED10000}"/>
    <cellStyle name="Normal 8 6 4 2 4 3" xfId="38126" xr:uid="{00000000-0005-0000-0000-00001FD10000}"/>
    <cellStyle name="Normal 8 6 4 2 4 4" xfId="18990" xr:uid="{00000000-0005-0000-0000-000020D10000}"/>
    <cellStyle name="Normal 8 6 4 2 5" xfId="44659" xr:uid="{00000000-0005-0000-0000-000021D10000}"/>
    <cellStyle name="Normal 8 6 4 2 6" xfId="28559" xr:uid="{00000000-0005-0000-0000-000022D10000}"/>
    <cellStyle name="Normal 8 6 4 2 7" xfId="15495" xr:uid="{00000000-0005-0000-0000-000023D10000}"/>
    <cellStyle name="Normal 8 6 4 3" xfId="1871" xr:uid="{00000000-0005-0000-0000-000024D10000}"/>
    <cellStyle name="Normal 8 6 4 3 2" xfId="8405" xr:uid="{00000000-0005-0000-0000-000025D10000}"/>
    <cellStyle name="Normal 8 6 4 3 2 2" xfId="40146" xr:uid="{00000000-0005-0000-0000-000026D10000}"/>
    <cellStyle name="Normal 8 6 4 3 2 2 2" xfId="56246" xr:uid="{00000000-0005-0000-0000-000027D10000}"/>
    <cellStyle name="Normal 8 6 4 3 2 3" xfId="46679" xr:uid="{00000000-0005-0000-0000-000028D10000}"/>
    <cellStyle name="Normal 8 6 4 3 2 4" xfId="30579" xr:uid="{00000000-0005-0000-0000-000029D10000}"/>
    <cellStyle name="Normal 8 6 4 3 2 5" xfId="21010" xr:uid="{00000000-0005-0000-0000-00002AD10000}"/>
    <cellStyle name="Normal 8 6 4 3 3" xfId="11441" xr:uid="{00000000-0005-0000-0000-00002BD10000}"/>
    <cellStyle name="Normal 8 6 4 3 3 2" xfId="49715" xr:uid="{00000000-0005-0000-0000-00002CD10000}"/>
    <cellStyle name="Normal 8 6 4 3 3 3" xfId="33615" xr:uid="{00000000-0005-0000-0000-00002DD10000}"/>
    <cellStyle name="Normal 8 6 4 3 3 4" xfId="24046" xr:uid="{00000000-0005-0000-0000-00002ED10000}"/>
    <cellStyle name="Normal 8 6 4 3 4" xfId="5369" xr:uid="{00000000-0005-0000-0000-00002FD10000}"/>
    <cellStyle name="Normal 8 6 4 3 4 2" xfId="53210" xr:uid="{00000000-0005-0000-0000-000030D10000}"/>
    <cellStyle name="Normal 8 6 4 3 4 3" xfId="37110" xr:uid="{00000000-0005-0000-0000-000031D10000}"/>
    <cellStyle name="Normal 8 6 4 3 4 4" xfId="17974" xr:uid="{00000000-0005-0000-0000-000032D10000}"/>
    <cellStyle name="Normal 8 6 4 3 5" xfId="43643" xr:uid="{00000000-0005-0000-0000-000033D10000}"/>
    <cellStyle name="Normal 8 6 4 3 6" xfId="27543" xr:uid="{00000000-0005-0000-0000-000034D10000}"/>
    <cellStyle name="Normal 8 6 4 3 7" xfId="14479" xr:uid="{00000000-0005-0000-0000-000035D10000}"/>
    <cellStyle name="Normal 8 6 4 4" xfId="7395" xr:uid="{00000000-0005-0000-0000-000036D10000}"/>
    <cellStyle name="Normal 8 6 4 4 2" xfId="39136" xr:uid="{00000000-0005-0000-0000-000037D10000}"/>
    <cellStyle name="Normal 8 6 4 4 2 2" xfId="55236" xr:uid="{00000000-0005-0000-0000-000038D10000}"/>
    <cellStyle name="Normal 8 6 4 4 3" xfId="45669" xr:uid="{00000000-0005-0000-0000-000039D10000}"/>
    <cellStyle name="Normal 8 6 4 4 4" xfId="29569" xr:uid="{00000000-0005-0000-0000-00003AD10000}"/>
    <cellStyle name="Normal 8 6 4 4 5" xfId="20000" xr:uid="{00000000-0005-0000-0000-00003BD10000}"/>
    <cellStyle name="Normal 8 6 4 5" xfId="10431" xr:uid="{00000000-0005-0000-0000-00003CD10000}"/>
    <cellStyle name="Normal 8 6 4 5 2" xfId="48705" xr:uid="{00000000-0005-0000-0000-00003DD10000}"/>
    <cellStyle name="Normal 8 6 4 5 3" xfId="32605" xr:uid="{00000000-0005-0000-0000-00003ED10000}"/>
    <cellStyle name="Normal 8 6 4 5 4" xfId="23036" xr:uid="{00000000-0005-0000-0000-00003FD10000}"/>
    <cellStyle name="Normal 8 6 4 6" xfId="4359" xr:uid="{00000000-0005-0000-0000-000040D10000}"/>
    <cellStyle name="Normal 8 6 4 6 2" xfId="52200" xr:uid="{00000000-0005-0000-0000-000041D10000}"/>
    <cellStyle name="Normal 8 6 4 6 3" xfId="36100" xr:uid="{00000000-0005-0000-0000-000042D10000}"/>
    <cellStyle name="Normal 8 6 4 6 4" xfId="16964" xr:uid="{00000000-0005-0000-0000-000043D10000}"/>
    <cellStyle name="Normal 8 6 4 7" xfId="42633" xr:uid="{00000000-0005-0000-0000-000044D10000}"/>
    <cellStyle name="Normal 8 6 4 8" xfId="26533" xr:uid="{00000000-0005-0000-0000-000045D10000}"/>
    <cellStyle name="Normal 8 6 4 9" xfId="13469" xr:uid="{00000000-0005-0000-0000-000046D10000}"/>
    <cellStyle name="Normal 8 6 5" xfId="2173" xr:uid="{00000000-0005-0000-0000-000047D10000}"/>
    <cellStyle name="Normal 8 6 5 2" xfId="8707" xr:uid="{00000000-0005-0000-0000-000048D10000}"/>
    <cellStyle name="Normal 8 6 5 2 2" xfId="40448" xr:uid="{00000000-0005-0000-0000-000049D10000}"/>
    <cellStyle name="Normal 8 6 5 2 2 2" xfId="56548" xr:uid="{00000000-0005-0000-0000-00004AD10000}"/>
    <cellStyle name="Normal 8 6 5 2 3" xfId="46981" xr:uid="{00000000-0005-0000-0000-00004BD10000}"/>
    <cellStyle name="Normal 8 6 5 2 4" xfId="30881" xr:uid="{00000000-0005-0000-0000-00004CD10000}"/>
    <cellStyle name="Normal 8 6 5 2 5" xfId="21312" xr:uid="{00000000-0005-0000-0000-00004DD10000}"/>
    <cellStyle name="Normal 8 6 5 3" xfId="11743" xr:uid="{00000000-0005-0000-0000-00004ED10000}"/>
    <cellStyle name="Normal 8 6 5 3 2" xfId="50017" xr:uid="{00000000-0005-0000-0000-00004FD10000}"/>
    <cellStyle name="Normal 8 6 5 3 3" xfId="33917" xr:uid="{00000000-0005-0000-0000-000050D10000}"/>
    <cellStyle name="Normal 8 6 5 3 4" xfId="24348" xr:uid="{00000000-0005-0000-0000-000051D10000}"/>
    <cellStyle name="Normal 8 6 5 4" xfId="5671" xr:uid="{00000000-0005-0000-0000-000052D10000}"/>
    <cellStyle name="Normal 8 6 5 4 2" xfId="53512" xr:uid="{00000000-0005-0000-0000-000053D10000}"/>
    <cellStyle name="Normal 8 6 5 4 3" xfId="37412" xr:uid="{00000000-0005-0000-0000-000054D10000}"/>
    <cellStyle name="Normal 8 6 5 4 4" xfId="18276" xr:uid="{00000000-0005-0000-0000-000055D10000}"/>
    <cellStyle name="Normal 8 6 5 5" xfId="43945" xr:uid="{00000000-0005-0000-0000-000056D10000}"/>
    <cellStyle name="Normal 8 6 5 6" xfId="27845" xr:uid="{00000000-0005-0000-0000-000057D10000}"/>
    <cellStyle name="Normal 8 6 5 7" xfId="14781" xr:uid="{00000000-0005-0000-0000-000058D10000}"/>
    <cellStyle name="Normal 8 6 6" xfId="1188" xr:uid="{00000000-0005-0000-0000-000059D10000}"/>
    <cellStyle name="Normal 8 6 6 2" xfId="7722" xr:uid="{00000000-0005-0000-0000-00005AD10000}"/>
    <cellStyle name="Normal 8 6 6 2 2" xfId="39463" xr:uid="{00000000-0005-0000-0000-00005BD10000}"/>
    <cellStyle name="Normal 8 6 6 2 2 2" xfId="55563" xr:uid="{00000000-0005-0000-0000-00005CD10000}"/>
    <cellStyle name="Normal 8 6 6 2 3" xfId="45996" xr:uid="{00000000-0005-0000-0000-00005DD10000}"/>
    <cellStyle name="Normal 8 6 6 2 4" xfId="29896" xr:uid="{00000000-0005-0000-0000-00005ED10000}"/>
    <cellStyle name="Normal 8 6 6 2 5" xfId="20327" xr:uid="{00000000-0005-0000-0000-00005FD10000}"/>
    <cellStyle name="Normal 8 6 6 3" xfId="10758" xr:uid="{00000000-0005-0000-0000-000060D10000}"/>
    <cellStyle name="Normal 8 6 6 3 2" xfId="49032" xr:uid="{00000000-0005-0000-0000-000061D10000}"/>
    <cellStyle name="Normal 8 6 6 3 3" xfId="32932" xr:uid="{00000000-0005-0000-0000-000062D10000}"/>
    <cellStyle name="Normal 8 6 6 3 4" xfId="23363" xr:uid="{00000000-0005-0000-0000-000063D10000}"/>
    <cellStyle name="Normal 8 6 6 4" xfId="4686" xr:uid="{00000000-0005-0000-0000-000064D10000}"/>
    <cellStyle name="Normal 8 6 6 4 2" xfId="52527" xr:uid="{00000000-0005-0000-0000-000065D10000}"/>
    <cellStyle name="Normal 8 6 6 4 3" xfId="36427" xr:uid="{00000000-0005-0000-0000-000066D10000}"/>
    <cellStyle name="Normal 8 6 6 4 4" xfId="17291" xr:uid="{00000000-0005-0000-0000-000067D10000}"/>
    <cellStyle name="Normal 8 6 6 5" xfId="42960" xr:uid="{00000000-0005-0000-0000-000068D10000}"/>
    <cellStyle name="Normal 8 6 6 6" xfId="26860" xr:uid="{00000000-0005-0000-0000-000069D10000}"/>
    <cellStyle name="Normal 8 6 6 7" xfId="13796" xr:uid="{00000000-0005-0000-0000-00006AD10000}"/>
    <cellStyle name="Normal 8 6 7" xfId="3676" xr:uid="{00000000-0005-0000-0000-00006BD10000}"/>
    <cellStyle name="Normal 8 6 7 2" xfId="35417" xr:uid="{00000000-0005-0000-0000-00006CD10000}"/>
    <cellStyle name="Normal 8 6 7 2 2" xfId="51517" xr:uid="{00000000-0005-0000-0000-00006DD10000}"/>
    <cellStyle name="Normal 8 6 7 3" xfId="41950" xr:uid="{00000000-0005-0000-0000-00006ED10000}"/>
    <cellStyle name="Normal 8 6 7 4" xfId="25850" xr:uid="{00000000-0005-0000-0000-00006FD10000}"/>
    <cellStyle name="Normal 8 6 7 5" xfId="16281" xr:uid="{00000000-0005-0000-0000-000070D10000}"/>
    <cellStyle name="Normal 8 6 8" xfId="6712" xr:uid="{00000000-0005-0000-0000-000071D10000}"/>
    <cellStyle name="Normal 8 6 8 2" xfId="38453" xr:uid="{00000000-0005-0000-0000-000072D10000}"/>
    <cellStyle name="Normal 8 6 8 2 2" xfId="54553" xr:uid="{00000000-0005-0000-0000-000073D10000}"/>
    <cellStyle name="Normal 8 6 8 3" xfId="44986" xr:uid="{00000000-0005-0000-0000-000074D10000}"/>
    <cellStyle name="Normal 8 6 8 4" xfId="28886" xr:uid="{00000000-0005-0000-0000-000075D10000}"/>
    <cellStyle name="Normal 8 6 8 5" xfId="19317" xr:uid="{00000000-0005-0000-0000-000076D10000}"/>
    <cellStyle name="Normal 8 6 9" xfId="9748" xr:uid="{00000000-0005-0000-0000-000077D10000}"/>
    <cellStyle name="Normal 8 6 9 2" xfId="48022" xr:uid="{00000000-0005-0000-0000-000078D10000}"/>
    <cellStyle name="Normal 8 6 9 3" xfId="31922" xr:uid="{00000000-0005-0000-0000-000079D10000}"/>
    <cellStyle name="Normal 8 6 9 4" xfId="22353" xr:uid="{00000000-0005-0000-0000-00007AD10000}"/>
    <cellStyle name="Normal 8 7" xfId="225" xr:uid="{00000000-0005-0000-0000-00007BD10000}"/>
    <cellStyle name="Normal 8 7 10" xfId="41508" xr:uid="{00000000-0005-0000-0000-00007CD10000}"/>
    <cellStyle name="Normal 8 7 11" xfId="25408" xr:uid="{00000000-0005-0000-0000-00007DD10000}"/>
    <cellStyle name="Normal 8 7 12" xfId="12803" xr:uid="{00000000-0005-0000-0000-00007ED10000}"/>
    <cellStyle name="Normal 8 7 2" xfId="606" xr:uid="{00000000-0005-0000-0000-00007FD10000}"/>
    <cellStyle name="Normal 8 7 2 10" xfId="13054" xr:uid="{00000000-0005-0000-0000-000080D10000}"/>
    <cellStyle name="Normal 8 7 2 2" xfId="2634" xr:uid="{00000000-0005-0000-0000-000081D10000}"/>
    <cellStyle name="Normal 8 7 2 2 2" xfId="9166" xr:uid="{00000000-0005-0000-0000-000082D10000}"/>
    <cellStyle name="Normal 8 7 2 2 2 2" xfId="40907" xr:uid="{00000000-0005-0000-0000-000083D10000}"/>
    <cellStyle name="Normal 8 7 2 2 2 2 2" xfId="57007" xr:uid="{00000000-0005-0000-0000-000084D10000}"/>
    <cellStyle name="Normal 8 7 2 2 2 3" xfId="47440" xr:uid="{00000000-0005-0000-0000-000085D10000}"/>
    <cellStyle name="Normal 8 7 2 2 2 4" xfId="31340" xr:uid="{00000000-0005-0000-0000-000086D10000}"/>
    <cellStyle name="Normal 8 7 2 2 2 5" xfId="21771" xr:uid="{00000000-0005-0000-0000-000087D10000}"/>
    <cellStyle name="Normal 8 7 2 2 3" xfId="12202" xr:uid="{00000000-0005-0000-0000-000088D10000}"/>
    <cellStyle name="Normal 8 7 2 2 3 2" xfId="50476" xr:uid="{00000000-0005-0000-0000-000089D10000}"/>
    <cellStyle name="Normal 8 7 2 2 3 3" xfId="34376" xr:uid="{00000000-0005-0000-0000-00008AD10000}"/>
    <cellStyle name="Normal 8 7 2 2 3 4" xfId="24807" xr:uid="{00000000-0005-0000-0000-00008BD10000}"/>
    <cellStyle name="Normal 8 7 2 2 4" xfId="6130" xr:uid="{00000000-0005-0000-0000-00008CD10000}"/>
    <cellStyle name="Normal 8 7 2 2 4 2" xfId="53971" xr:uid="{00000000-0005-0000-0000-00008DD10000}"/>
    <cellStyle name="Normal 8 7 2 2 4 3" xfId="37871" xr:uid="{00000000-0005-0000-0000-00008ED10000}"/>
    <cellStyle name="Normal 8 7 2 2 4 4" xfId="18735" xr:uid="{00000000-0005-0000-0000-00008FD10000}"/>
    <cellStyle name="Normal 8 7 2 2 5" xfId="44404" xr:uid="{00000000-0005-0000-0000-000090D10000}"/>
    <cellStyle name="Normal 8 7 2 2 6" xfId="28304" xr:uid="{00000000-0005-0000-0000-000091D10000}"/>
    <cellStyle name="Normal 8 7 2 2 7" xfId="15240" xr:uid="{00000000-0005-0000-0000-000092D10000}"/>
    <cellStyle name="Normal 8 7 2 3" xfId="1456" xr:uid="{00000000-0005-0000-0000-000093D10000}"/>
    <cellStyle name="Normal 8 7 2 3 2" xfId="7990" xr:uid="{00000000-0005-0000-0000-000094D10000}"/>
    <cellStyle name="Normal 8 7 2 3 2 2" xfId="39731" xr:uid="{00000000-0005-0000-0000-000095D10000}"/>
    <cellStyle name="Normal 8 7 2 3 2 2 2" xfId="55831" xr:uid="{00000000-0005-0000-0000-000096D10000}"/>
    <cellStyle name="Normal 8 7 2 3 2 3" xfId="46264" xr:uid="{00000000-0005-0000-0000-000097D10000}"/>
    <cellStyle name="Normal 8 7 2 3 2 4" xfId="30164" xr:uid="{00000000-0005-0000-0000-000098D10000}"/>
    <cellStyle name="Normal 8 7 2 3 2 5" xfId="20595" xr:uid="{00000000-0005-0000-0000-000099D10000}"/>
    <cellStyle name="Normal 8 7 2 3 3" xfId="11026" xr:uid="{00000000-0005-0000-0000-00009AD10000}"/>
    <cellStyle name="Normal 8 7 2 3 3 2" xfId="49300" xr:uid="{00000000-0005-0000-0000-00009BD10000}"/>
    <cellStyle name="Normal 8 7 2 3 3 3" xfId="33200" xr:uid="{00000000-0005-0000-0000-00009CD10000}"/>
    <cellStyle name="Normal 8 7 2 3 3 4" xfId="23631" xr:uid="{00000000-0005-0000-0000-00009DD10000}"/>
    <cellStyle name="Normal 8 7 2 3 4" xfId="4954" xr:uid="{00000000-0005-0000-0000-00009ED10000}"/>
    <cellStyle name="Normal 8 7 2 3 4 2" xfId="52795" xr:uid="{00000000-0005-0000-0000-00009FD10000}"/>
    <cellStyle name="Normal 8 7 2 3 4 3" xfId="36695" xr:uid="{00000000-0005-0000-0000-0000A0D10000}"/>
    <cellStyle name="Normal 8 7 2 3 4 4" xfId="17559" xr:uid="{00000000-0005-0000-0000-0000A1D10000}"/>
    <cellStyle name="Normal 8 7 2 3 5" xfId="43228" xr:uid="{00000000-0005-0000-0000-0000A2D10000}"/>
    <cellStyle name="Normal 8 7 2 3 6" xfId="27128" xr:uid="{00000000-0005-0000-0000-0000A3D10000}"/>
    <cellStyle name="Normal 8 7 2 3 7" xfId="14064" xr:uid="{00000000-0005-0000-0000-0000A4D10000}"/>
    <cellStyle name="Normal 8 7 2 4" xfId="3944" xr:uid="{00000000-0005-0000-0000-0000A5D10000}"/>
    <cellStyle name="Normal 8 7 2 4 2" xfId="35685" xr:uid="{00000000-0005-0000-0000-0000A6D10000}"/>
    <cellStyle name="Normal 8 7 2 4 2 2" xfId="51785" xr:uid="{00000000-0005-0000-0000-0000A7D10000}"/>
    <cellStyle name="Normal 8 7 2 4 3" xfId="42218" xr:uid="{00000000-0005-0000-0000-0000A8D10000}"/>
    <cellStyle name="Normal 8 7 2 4 4" xfId="26118" xr:uid="{00000000-0005-0000-0000-0000A9D10000}"/>
    <cellStyle name="Normal 8 7 2 4 5" xfId="16549" xr:uid="{00000000-0005-0000-0000-0000AAD10000}"/>
    <cellStyle name="Normal 8 7 2 5" xfId="6980" xr:uid="{00000000-0005-0000-0000-0000ABD10000}"/>
    <cellStyle name="Normal 8 7 2 5 2" xfId="38721" xr:uid="{00000000-0005-0000-0000-0000ACD10000}"/>
    <cellStyle name="Normal 8 7 2 5 2 2" xfId="54821" xr:uid="{00000000-0005-0000-0000-0000ADD10000}"/>
    <cellStyle name="Normal 8 7 2 5 3" xfId="45254" xr:uid="{00000000-0005-0000-0000-0000AED10000}"/>
    <cellStyle name="Normal 8 7 2 5 4" xfId="29154" xr:uid="{00000000-0005-0000-0000-0000AFD10000}"/>
    <cellStyle name="Normal 8 7 2 5 5" xfId="19585" xr:uid="{00000000-0005-0000-0000-0000B0D10000}"/>
    <cellStyle name="Normal 8 7 2 6" xfId="10016" xr:uid="{00000000-0005-0000-0000-0000B1D10000}"/>
    <cellStyle name="Normal 8 7 2 6 2" xfId="48290" xr:uid="{00000000-0005-0000-0000-0000B2D10000}"/>
    <cellStyle name="Normal 8 7 2 6 3" xfId="32190" xr:uid="{00000000-0005-0000-0000-0000B3D10000}"/>
    <cellStyle name="Normal 8 7 2 6 4" xfId="22621" xr:uid="{00000000-0005-0000-0000-0000B4D10000}"/>
    <cellStyle name="Normal 8 7 2 7" xfId="3471" xr:uid="{00000000-0005-0000-0000-0000B5D10000}"/>
    <cellStyle name="Normal 8 7 2 7 2" xfId="51312" xr:uid="{00000000-0005-0000-0000-0000B6D10000}"/>
    <cellStyle name="Normal 8 7 2 7 3" xfId="35212" xr:uid="{00000000-0005-0000-0000-0000B7D10000}"/>
    <cellStyle name="Normal 8 7 2 7 4" xfId="16076" xr:uid="{00000000-0005-0000-0000-0000B8D10000}"/>
    <cellStyle name="Normal 8 7 2 8" xfId="41745" xr:uid="{00000000-0005-0000-0000-0000B9D10000}"/>
    <cellStyle name="Normal 8 7 2 9" xfId="25645" xr:uid="{00000000-0005-0000-0000-0000BAD10000}"/>
    <cellStyle name="Normal 8 7 3" xfId="878" xr:uid="{00000000-0005-0000-0000-0000BBD10000}"/>
    <cellStyle name="Normal 8 7 3 2" xfId="2906" xr:uid="{00000000-0005-0000-0000-0000BCD10000}"/>
    <cellStyle name="Normal 8 7 3 2 2" xfId="9438" xr:uid="{00000000-0005-0000-0000-0000BDD10000}"/>
    <cellStyle name="Normal 8 7 3 2 2 2" xfId="41179" xr:uid="{00000000-0005-0000-0000-0000BED10000}"/>
    <cellStyle name="Normal 8 7 3 2 2 2 2" xfId="57279" xr:uid="{00000000-0005-0000-0000-0000BFD10000}"/>
    <cellStyle name="Normal 8 7 3 2 2 3" xfId="47712" xr:uid="{00000000-0005-0000-0000-0000C0D10000}"/>
    <cellStyle name="Normal 8 7 3 2 2 4" xfId="31612" xr:uid="{00000000-0005-0000-0000-0000C1D10000}"/>
    <cellStyle name="Normal 8 7 3 2 2 5" xfId="22043" xr:uid="{00000000-0005-0000-0000-0000C2D10000}"/>
    <cellStyle name="Normal 8 7 3 2 3" xfId="12474" xr:uid="{00000000-0005-0000-0000-0000C3D10000}"/>
    <cellStyle name="Normal 8 7 3 2 3 2" xfId="50748" xr:uid="{00000000-0005-0000-0000-0000C4D10000}"/>
    <cellStyle name="Normal 8 7 3 2 3 3" xfId="34648" xr:uid="{00000000-0005-0000-0000-0000C5D10000}"/>
    <cellStyle name="Normal 8 7 3 2 3 4" xfId="25079" xr:uid="{00000000-0005-0000-0000-0000C6D10000}"/>
    <cellStyle name="Normal 8 7 3 2 4" xfId="6402" xr:uid="{00000000-0005-0000-0000-0000C7D10000}"/>
    <cellStyle name="Normal 8 7 3 2 4 2" xfId="54243" xr:uid="{00000000-0005-0000-0000-0000C8D10000}"/>
    <cellStyle name="Normal 8 7 3 2 4 3" xfId="38143" xr:uid="{00000000-0005-0000-0000-0000C9D10000}"/>
    <cellStyle name="Normal 8 7 3 2 4 4" xfId="19007" xr:uid="{00000000-0005-0000-0000-0000CAD10000}"/>
    <cellStyle name="Normal 8 7 3 2 5" xfId="44676" xr:uid="{00000000-0005-0000-0000-0000CBD10000}"/>
    <cellStyle name="Normal 8 7 3 2 6" xfId="28576" xr:uid="{00000000-0005-0000-0000-0000CCD10000}"/>
    <cellStyle name="Normal 8 7 3 2 7" xfId="15512" xr:uid="{00000000-0005-0000-0000-0000CDD10000}"/>
    <cellStyle name="Normal 8 7 3 3" xfId="1888" xr:uid="{00000000-0005-0000-0000-0000CED10000}"/>
    <cellStyle name="Normal 8 7 3 3 2" xfId="8422" xr:uid="{00000000-0005-0000-0000-0000CFD10000}"/>
    <cellStyle name="Normal 8 7 3 3 2 2" xfId="40163" xr:uid="{00000000-0005-0000-0000-0000D0D10000}"/>
    <cellStyle name="Normal 8 7 3 3 2 2 2" xfId="56263" xr:uid="{00000000-0005-0000-0000-0000D1D10000}"/>
    <cellStyle name="Normal 8 7 3 3 2 3" xfId="46696" xr:uid="{00000000-0005-0000-0000-0000D2D10000}"/>
    <cellStyle name="Normal 8 7 3 3 2 4" xfId="30596" xr:uid="{00000000-0005-0000-0000-0000D3D10000}"/>
    <cellStyle name="Normal 8 7 3 3 2 5" xfId="21027" xr:uid="{00000000-0005-0000-0000-0000D4D10000}"/>
    <cellStyle name="Normal 8 7 3 3 3" xfId="11458" xr:uid="{00000000-0005-0000-0000-0000D5D10000}"/>
    <cellStyle name="Normal 8 7 3 3 3 2" xfId="49732" xr:uid="{00000000-0005-0000-0000-0000D6D10000}"/>
    <cellStyle name="Normal 8 7 3 3 3 3" xfId="33632" xr:uid="{00000000-0005-0000-0000-0000D7D10000}"/>
    <cellStyle name="Normal 8 7 3 3 3 4" xfId="24063" xr:uid="{00000000-0005-0000-0000-0000D8D10000}"/>
    <cellStyle name="Normal 8 7 3 3 4" xfId="5386" xr:uid="{00000000-0005-0000-0000-0000D9D10000}"/>
    <cellStyle name="Normal 8 7 3 3 4 2" xfId="53227" xr:uid="{00000000-0005-0000-0000-0000DAD10000}"/>
    <cellStyle name="Normal 8 7 3 3 4 3" xfId="37127" xr:uid="{00000000-0005-0000-0000-0000DBD10000}"/>
    <cellStyle name="Normal 8 7 3 3 4 4" xfId="17991" xr:uid="{00000000-0005-0000-0000-0000DCD10000}"/>
    <cellStyle name="Normal 8 7 3 3 5" xfId="43660" xr:uid="{00000000-0005-0000-0000-0000DDD10000}"/>
    <cellStyle name="Normal 8 7 3 3 6" xfId="27560" xr:uid="{00000000-0005-0000-0000-0000DED10000}"/>
    <cellStyle name="Normal 8 7 3 3 7" xfId="14496" xr:uid="{00000000-0005-0000-0000-0000DFD10000}"/>
    <cellStyle name="Normal 8 7 3 4" xfId="7412" xr:uid="{00000000-0005-0000-0000-0000E0D10000}"/>
    <cellStyle name="Normal 8 7 3 4 2" xfId="39153" xr:uid="{00000000-0005-0000-0000-0000E1D10000}"/>
    <cellStyle name="Normal 8 7 3 4 2 2" xfId="55253" xr:uid="{00000000-0005-0000-0000-0000E2D10000}"/>
    <cellStyle name="Normal 8 7 3 4 3" xfId="45686" xr:uid="{00000000-0005-0000-0000-0000E3D10000}"/>
    <cellStyle name="Normal 8 7 3 4 4" xfId="29586" xr:uid="{00000000-0005-0000-0000-0000E4D10000}"/>
    <cellStyle name="Normal 8 7 3 4 5" xfId="20017" xr:uid="{00000000-0005-0000-0000-0000E5D10000}"/>
    <cellStyle name="Normal 8 7 3 5" xfId="10448" xr:uid="{00000000-0005-0000-0000-0000E6D10000}"/>
    <cellStyle name="Normal 8 7 3 5 2" xfId="48722" xr:uid="{00000000-0005-0000-0000-0000E7D10000}"/>
    <cellStyle name="Normal 8 7 3 5 3" xfId="32622" xr:uid="{00000000-0005-0000-0000-0000E8D10000}"/>
    <cellStyle name="Normal 8 7 3 5 4" xfId="23053" xr:uid="{00000000-0005-0000-0000-0000E9D10000}"/>
    <cellStyle name="Normal 8 7 3 6" xfId="4376" xr:uid="{00000000-0005-0000-0000-0000EAD10000}"/>
    <cellStyle name="Normal 8 7 3 6 2" xfId="52217" xr:uid="{00000000-0005-0000-0000-0000EBD10000}"/>
    <cellStyle name="Normal 8 7 3 6 3" xfId="36117" xr:uid="{00000000-0005-0000-0000-0000ECD10000}"/>
    <cellStyle name="Normal 8 7 3 6 4" xfId="16981" xr:uid="{00000000-0005-0000-0000-0000EDD10000}"/>
    <cellStyle name="Normal 8 7 3 7" xfId="42650" xr:uid="{00000000-0005-0000-0000-0000EED10000}"/>
    <cellStyle name="Normal 8 7 3 8" xfId="26550" xr:uid="{00000000-0005-0000-0000-0000EFD10000}"/>
    <cellStyle name="Normal 8 7 3 9" xfId="13486" xr:uid="{00000000-0005-0000-0000-0000F0D10000}"/>
    <cellStyle name="Normal 8 7 4" xfId="2244" xr:uid="{00000000-0005-0000-0000-0000F1D10000}"/>
    <cellStyle name="Normal 8 7 4 2" xfId="8778" xr:uid="{00000000-0005-0000-0000-0000F2D10000}"/>
    <cellStyle name="Normal 8 7 4 2 2" xfId="40519" xr:uid="{00000000-0005-0000-0000-0000F3D10000}"/>
    <cellStyle name="Normal 8 7 4 2 2 2" xfId="56619" xr:uid="{00000000-0005-0000-0000-0000F4D10000}"/>
    <cellStyle name="Normal 8 7 4 2 3" xfId="47052" xr:uid="{00000000-0005-0000-0000-0000F5D10000}"/>
    <cellStyle name="Normal 8 7 4 2 4" xfId="30952" xr:uid="{00000000-0005-0000-0000-0000F6D10000}"/>
    <cellStyle name="Normal 8 7 4 2 5" xfId="21383" xr:uid="{00000000-0005-0000-0000-0000F7D10000}"/>
    <cellStyle name="Normal 8 7 4 3" xfId="11814" xr:uid="{00000000-0005-0000-0000-0000F8D10000}"/>
    <cellStyle name="Normal 8 7 4 3 2" xfId="50088" xr:uid="{00000000-0005-0000-0000-0000F9D10000}"/>
    <cellStyle name="Normal 8 7 4 3 3" xfId="33988" xr:uid="{00000000-0005-0000-0000-0000FAD10000}"/>
    <cellStyle name="Normal 8 7 4 3 4" xfId="24419" xr:uid="{00000000-0005-0000-0000-0000FBD10000}"/>
    <cellStyle name="Normal 8 7 4 4" xfId="5742" xr:uid="{00000000-0005-0000-0000-0000FCD10000}"/>
    <cellStyle name="Normal 8 7 4 4 2" xfId="53583" xr:uid="{00000000-0005-0000-0000-0000FDD10000}"/>
    <cellStyle name="Normal 8 7 4 4 3" xfId="37483" xr:uid="{00000000-0005-0000-0000-0000FED10000}"/>
    <cellStyle name="Normal 8 7 4 4 4" xfId="18347" xr:uid="{00000000-0005-0000-0000-0000FFD10000}"/>
    <cellStyle name="Normal 8 7 4 5" xfId="44016" xr:uid="{00000000-0005-0000-0000-000000D20000}"/>
    <cellStyle name="Normal 8 7 4 6" xfId="27916" xr:uid="{00000000-0005-0000-0000-000001D20000}"/>
    <cellStyle name="Normal 8 7 4 7" xfId="14852" xr:uid="{00000000-0005-0000-0000-000002D20000}"/>
    <cellStyle name="Normal 8 7 5" xfId="1205" xr:uid="{00000000-0005-0000-0000-000003D20000}"/>
    <cellStyle name="Normal 8 7 5 2" xfId="7739" xr:uid="{00000000-0005-0000-0000-000004D20000}"/>
    <cellStyle name="Normal 8 7 5 2 2" xfId="39480" xr:uid="{00000000-0005-0000-0000-000005D20000}"/>
    <cellStyle name="Normal 8 7 5 2 2 2" xfId="55580" xr:uid="{00000000-0005-0000-0000-000006D20000}"/>
    <cellStyle name="Normal 8 7 5 2 3" xfId="46013" xr:uid="{00000000-0005-0000-0000-000007D20000}"/>
    <cellStyle name="Normal 8 7 5 2 4" xfId="29913" xr:uid="{00000000-0005-0000-0000-000008D20000}"/>
    <cellStyle name="Normal 8 7 5 2 5" xfId="20344" xr:uid="{00000000-0005-0000-0000-000009D20000}"/>
    <cellStyle name="Normal 8 7 5 3" xfId="10775" xr:uid="{00000000-0005-0000-0000-00000AD20000}"/>
    <cellStyle name="Normal 8 7 5 3 2" xfId="49049" xr:uid="{00000000-0005-0000-0000-00000BD20000}"/>
    <cellStyle name="Normal 8 7 5 3 3" xfId="32949" xr:uid="{00000000-0005-0000-0000-00000CD20000}"/>
    <cellStyle name="Normal 8 7 5 3 4" xfId="23380" xr:uid="{00000000-0005-0000-0000-00000DD20000}"/>
    <cellStyle name="Normal 8 7 5 4" xfId="4703" xr:uid="{00000000-0005-0000-0000-00000ED20000}"/>
    <cellStyle name="Normal 8 7 5 4 2" xfId="52544" xr:uid="{00000000-0005-0000-0000-00000FD20000}"/>
    <cellStyle name="Normal 8 7 5 4 3" xfId="36444" xr:uid="{00000000-0005-0000-0000-000010D20000}"/>
    <cellStyle name="Normal 8 7 5 4 4" xfId="17308" xr:uid="{00000000-0005-0000-0000-000011D20000}"/>
    <cellStyle name="Normal 8 7 5 5" xfId="42977" xr:uid="{00000000-0005-0000-0000-000012D20000}"/>
    <cellStyle name="Normal 8 7 5 6" xfId="26877" xr:uid="{00000000-0005-0000-0000-000013D20000}"/>
    <cellStyle name="Normal 8 7 5 7" xfId="13813" xr:uid="{00000000-0005-0000-0000-000014D20000}"/>
    <cellStyle name="Normal 8 7 6" xfId="3693" xr:uid="{00000000-0005-0000-0000-000015D20000}"/>
    <cellStyle name="Normal 8 7 6 2" xfId="35434" xr:uid="{00000000-0005-0000-0000-000016D20000}"/>
    <cellStyle name="Normal 8 7 6 2 2" xfId="51534" xr:uid="{00000000-0005-0000-0000-000017D20000}"/>
    <cellStyle name="Normal 8 7 6 3" xfId="41967" xr:uid="{00000000-0005-0000-0000-000018D20000}"/>
    <cellStyle name="Normal 8 7 6 4" xfId="25867" xr:uid="{00000000-0005-0000-0000-000019D20000}"/>
    <cellStyle name="Normal 8 7 6 5" xfId="16298" xr:uid="{00000000-0005-0000-0000-00001AD20000}"/>
    <cellStyle name="Normal 8 7 7" xfId="6729" xr:uid="{00000000-0005-0000-0000-00001BD20000}"/>
    <cellStyle name="Normal 8 7 7 2" xfId="38470" xr:uid="{00000000-0005-0000-0000-00001CD20000}"/>
    <cellStyle name="Normal 8 7 7 2 2" xfId="54570" xr:uid="{00000000-0005-0000-0000-00001DD20000}"/>
    <cellStyle name="Normal 8 7 7 3" xfId="45003" xr:uid="{00000000-0005-0000-0000-00001ED20000}"/>
    <cellStyle name="Normal 8 7 7 4" xfId="28903" xr:uid="{00000000-0005-0000-0000-00001FD20000}"/>
    <cellStyle name="Normal 8 7 7 5" xfId="19334" xr:uid="{00000000-0005-0000-0000-000020D20000}"/>
    <cellStyle name="Normal 8 7 8" xfId="9765" xr:uid="{00000000-0005-0000-0000-000021D20000}"/>
    <cellStyle name="Normal 8 7 8 2" xfId="48039" xr:uid="{00000000-0005-0000-0000-000022D20000}"/>
    <cellStyle name="Normal 8 7 8 3" xfId="31939" xr:uid="{00000000-0005-0000-0000-000023D20000}"/>
    <cellStyle name="Normal 8 7 8 4" xfId="22370" xr:uid="{00000000-0005-0000-0000-000024D20000}"/>
    <cellStyle name="Normal 8 7 9" xfId="3233" xr:uid="{00000000-0005-0000-0000-000025D20000}"/>
    <cellStyle name="Normal 8 7 9 2" xfId="51075" xr:uid="{00000000-0005-0000-0000-000026D20000}"/>
    <cellStyle name="Normal 8 7 9 3" xfId="34975" xr:uid="{00000000-0005-0000-0000-000027D20000}"/>
    <cellStyle name="Normal 8 7 9 4" xfId="15839" xr:uid="{00000000-0005-0000-0000-000028D20000}"/>
    <cellStyle name="Normal 8 8" xfId="42" xr:uid="{00000000-0005-0000-0000-000029D20000}"/>
    <cellStyle name="Normal 8 8 10" xfId="41525" xr:uid="{00000000-0005-0000-0000-00002AD20000}"/>
    <cellStyle name="Normal 8 8 11" xfId="25425" xr:uid="{00000000-0005-0000-0000-00002BD20000}"/>
    <cellStyle name="Normal 8 8 12" xfId="12820" xr:uid="{00000000-0005-0000-0000-00002CD20000}"/>
    <cellStyle name="Normal 8 8 2" xfId="895" xr:uid="{00000000-0005-0000-0000-00002DD20000}"/>
    <cellStyle name="Normal 8 8 2 10" xfId="13503" xr:uid="{00000000-0005-0000-0000-00002ED20000}"/>
    <cellStyle name="Normal 8 8 2 2" xfId="2923" xr:uid="{00000000-0005-0000-0000-00002FD20000}"/>
    <cellStyle name="Normal 8 8 2 2 2" xfId="9455" xr:uid="{00000000-0005-0000-0000-000030D20000}"/>
    <cellStyle name="Normal 8 8 2 2 2 2" xfId="41196" xr:uid="{00000000-0005-0000-0000-000031D20000}"/>
    <cellStyle name="Normal 8 8 2 2 2 2 2" xfId="57296" xr:uid="{00000000-0005-0000-0000-000032D20000}"/>
    <cellStyle name="Normal 8 8 2 2 2 3" xfId="47729" xr:uid="{00000000-0005-0000-0000-000033D20000}"/>
    <cellStyle name="Normal 8 8 2 2 2 4" xfId="31629" xr:uid="{00000000-0005-0000-0000-000034D20000}"/>
    <cellStyle name="Normal 8 8 2 2 2 5" xfId="22060" xr:uid="{00000000-0005-0000-0000-000035D20000}"/>
    <cellStyle name="Normal 8 8 2 2 3" xfId="12491" xr:uid="{00000000-0005-0000-0000-000036D20000}"/>
    <cellStyle name="Normal 8 8 2 2 3 2" xfId="50765" xr:uid="{00000000-0005-0000-0000-000037D20000}"/>
    <cellStyle name="Normal 8 8 2 2 3 3" xfId="34665" xr:uid="{00000000-0005-0000-0000-000038D20000}"/>
    <cellStyle name="Normal 8 8 2 2 3 4" xfId="25096" xr:uid="{00000000-0005-0000-0000-000039D20000}"/>
    <cellStyle name="Normal 8 8 2 2 4" xfId="6419" xr:uid="{00000000-0005-0000-0000-00003AD20000}"/>
    <cellStyle name="Normal 8 8 2 2 4 2" xfId="54260" xr:uid="{00000000-0005-0000-0000-00003BD20000}"/>
    <cellStyle name="Normal 8 8 2 2 4 3" xfId="38160" xr:uid="{00000000-0005-0000-0000-00003CD20000}"/>
    <cellStyle name="Normal 8 8 2 2 4 4" xfId="19024" xr:uid="{00000000-0005-0000-0000-00003DD20000}"/>
    <cellStyle name="Normal 8 8 2 2 5" xfId="44693" xr:uid="{00000000-0005-0000-0000-00003ED20000}"/>
    <cellStyle name="Normal 8 8 2 2 6" xfId="28593" xr:uid="{00000000-0005-0000-0000-00003FD20000}"/>
    <cellStyle name="Normal 8 8 2 2 7" xfId="15529" xr:uid="{00000000-0005-0000-0000-000040D20000}"/>
    <cellStyle name="Normal 8 8 2 3" xfId="1905" xr:uid="{00000000-0005-0000-0000-000041D20000}"/>
    <cellStyle name="Normal 8 8 2 3 2" xfId="8439" xr:uid="{00000000-0005-0000-0000-000042D20000}"/>
    <cellStyle name="Normal 8 8 2 3 2 2" xfId="40180" xr:uid="{00000000-0005-0000-0000-000043D20000}"/>
    <cellStyle name="Normal 8 8 2 3 2 2 2" xfId="56280" xr:uid="{00000000-0005-0000-0000-000044D20000}"/>
    <cellStyle name="Normal 8 8 2 3 2 3" xfId="46713" xr:uid="{00000000-0005-0000-0000-000045D20000}"/>
    <cellStyle name="Normal 8 8 2 3 2 4" xfId="30613" xr:uid="{00000000-0005-0000-0000-000046D20000}"/>
    <cellStyle name="Normal 8 8 2 3 2 5" xfId="21044" xr:uid="{00000000-0005-0000-0000-000047D20000}"/>
    <cellStyle name="Normal 8 8 2 3 3" xfId="11475" xr:uid="{00000000-0005-0000-0000-000048D20000}"/>
    <cellStyle name="Normal 8 8 2 3 3 2" xfId="49749" xr:uid="{00000000-0005-0000-0000-000049D20000}"/>
    <cellStyle name="Normal 8 8 2 3 3 3" xfId="33649" xr:uid="{00000000-0005-0000-0000-00004AD20000}"/>
    <cellStyle name="Normal 8 8 2 3 3 4" xfId="24080" xr:uid="{00000000-0005-0000-0000-00004BD20000}"/>
    <cellStyle name="Normal 8 8 2 3 4" xfId="5403" xr:uid="{00000000-0005-0000-0000-00004CD20000}"/>
    <cellStyle name="Normal 8 8 2 3 4 2" xfId="53244" xr:uid="{00000000-0005-0000-0000-00004DD20000}"/>
    <cellStyle name="Normal 8 8 2 3 4 3" xfId="37144" xr:uid="{00000000-0005-0000-0000-00004ED20000}"/>
    <cellStyle name="Normal 8 8 2 3 4 4" xfId="18008" xr:uid="{00000000-0005-0000-0000-00004FD20000}"/>
    <cellStyle name="Normal 8 8 2 3 5" xfId="43677" xr:uid="{00000000-0005-0000-0000-000050D20000}"/>
    <cellStyle name="Normal 8 8 2 3 6" xfId="27577" xr:uid="{00000000-0005-0000-0000-000051D20000}"/>
    <cellStyle name="Normal 8 8 2 3 7" xfId="14513" xr:uid="{00000000-0005-0000-0000-000052D20000}"/>
    <cellStyle name="Normal 8 8 2 4" xfId="4393" xr:uid="{00000000-0005-0000-0000-000053D20000}"/>
    <cellStyle name="Normal 8 8 2 4 2" xfId="36134" xr:uid="{00000000-0005-0000-0000-000054D20000}"/>
    <cellStyle name="Normal 8 8 2 4 2 2" xfId="52234" xr:uid="{00000000-0005-0000-0000-000055D20000}"/>
    <cellStyle name="Normal 8 8 2 4 3" xfId="42667" xr:uid="{00000000-0005-0000-0000-000056D20000}"/>
    <cellStyle name="Normal 8 8 2 4 4" xfId="26567" xr:uid="{00000000-0005-0000-0000-000057D20000}"/>
    <cellStyle name="Normal 8 8 2 4 5" xfId="16998" xr:uid="{00000000-0005-0000-0000-000058D20000}"/>
    <cellStyle name="Normal 8 8 2 5" xfId="7429" xr:uid="{00000000-0005-0000-0000-000059D20000}"/>
    <cellStyle name="Normal 8 8 2 5 2" xfId="39170" xr:uid="{00000000-0005-0000-0000-00005AD20000}"/>
    <cellStyle name="Normal 8 8 2 5 2 2" xfId="55270" xr:uid="{00000000-0005-0000-0000-00005BD20000}"/>
    <cellStyle name="Normal 8 8 2 5 3" xfId="45703" xr:uid="{00000000-0005-0000-0000-00005CD20000}"/>
    <cellStyle name="Normal 8 8 2 5 4" xfId="29603" xr:uid="{00000000-0005-0000-0000-00005DD20000}"/>
    <cellStyle name="Normal 8 8 2 5 5" xfId="20034" xr:uid="{00000000-0005-0000-0000-00005ED20000}"/>
    <cellStyle name="Normal 8 8 2 6" xfId="10465" xr:uid="{00000000-0005-0000-0000-00005FD20000}"/>
    <cellStyle name="Normal 8 8 2 6 2" xfId="48739" xr:uid="{00000000-0005-0000-0000-000060D20000}"/>
    <cellStyle name="Normal 8 8 2 6 3" xfId="32639" xr:uid="{00000000-0005-0000-0000-000061D20000}"/>
    <cellStyle name="Normal 8 8 2 6 4" xfId="23070" xr:uid="{00000000-0005-0000-0000-000062D20000}"/>
    <cellStyle name="Normal 8 8 2 7" xfId="3488" xr:uid="{00000000-0005-0000-0000-000063D20000}"/>
    <cellStyle name="Normal 8 8 2 7 2" xfId="51329" xr:uid="{00000000-0005-0000-0000-000064D20000}"/>
    <cellStyle name="Normal 8 8 2 7 3" xfId="35229" xr:uid="{00000000-0005-0000-0000-000065D20000}"/>
    <cellStyle name="Normal 8 8 2 7 4" xfId="16093" xr:uid="{00000000-0005-0000-0000-000066D20000}"/>
    <cellStyle name="Normal 8 8 2 8" xfId="41762" xr:uid="{00000000-0005-0000-0000-000067D20000}"/>
    <cellStyle name="Normal 8 8 2 9" xfId="25662" xr:uid="{00000000-0005-0000-0000-000068D20000}"/>
    <cellStyle name="Normal 8 8 3" xfId="673" xr:uid="{00000000-0005-0000-0000-000069D20000}"/>
    <cellStyle name="Normal 8 8 3 2" xfId="2701" xr:uid="{00000000-0005-0000-0000-00006AD20000}"/>
    <cellStyle name="Normal 8 8 3 2 2" xfId="9233" xr:uid="{00000000-0005-0000-0000-00006BD20000}"/>
    <cellStyle name="Normal 8 8 3 2 2 2" xfId="40974" xr:uid="{00000000-0005-0000-0000-00006CD20000}"/>
    <cellStyle name="Normal 8 8 3 2 2 2 2" xfId="57074" xr:uid="{00000000-0005-0000-0000-00006DD20000}"/>
    <cellStyle name="Normal 8 8 3 2 2 3" xfId="47507" xr:uid="{00000000-0005-0000-0000-00006ED20000}"/>
    <cellStyle name="Normal 8 8 3 2 2 4" xfId="31407" xr:uid="{00000000-0005-0000-0000-00006FD20000}"/>
    <cellStyle name="Normal 8 8 3 2 2 5" xfId="21838" xr:uid="{00000000-0005-0000-0000-000070D20000}"/>
    <cellStyle name="Normal 8 8 3 2 3" xfId="12269" xr:uid="{00000000-0005-0000-0000-000071D20000}"/>
    <cellStyle name="Normal 8 8 3 2 3 2" xfId="50543" xr:uid="{00000000-0005-0000-0000-000072D20000}"/>
    <cellStyle name="Normal 8 8 3 2 3 3" xfId="34443" xr:uid="{00000000-0005-0000-0000-000073D20000}"/>
    <cellStyle name="Normal 8 8 3 2 3 4" xfId="24874" xr:uid="{00000000-0005-0000-0000-000074D20000}"/>
    <cellStyle name="Normal 8 8 3 2 4" xfId="6197" xr:uid="{00000000-0005-0000-0000-000075D20000}"/>
    <cellStyle name="Normal 8 8 3 2 4 2" xfId="54038" xr:uid="{00000000-0005-0000-0000-000076D20000}"/>
    <cellStyle name="Normal 8 8 3 2 4 3" xfId="37938" xr:uid="{00000000-0005-0000-0000-000077D20000}"/>
    <cellStyle name="Normal 8 8 3 2 4 4" xfId="18802" xr:uid="{00000000-0005-0000-0000-000078D20000}"/>
    <cellStyle name="Normal 8 8 3 2 5" xfId="44471" xr:uid="{00000000-0005-0000-0000-000079D20000}"/>
    <cellStyle name="Normal 8 8 3 2 6" xfId="28371" xr:uid="{00000000-0005-0000-0000-00007AD20000}"/>
    <cellStyle name="Normal 8 8 3 2 7" xfId="15307" xr:uid="{00000000-0005-0000-0000-00007BD20000}"/>
    <cellStyle name="Normal 8 8 3 3" xfId="1683" xr:uid="{00000000-0005-0000-0000-00007CD20000}"/>
    <cellStyle name="Normal 8 8 3 3 2" xfId="8217" xr:uid="{00000000-0005-0000-0000-00007DD20000}"/>
    <cellStyle name="Normal 8 8 3 3 2 2" xfId="39958" xr:uid="{00000000-0005-0000-0000-00007ED20000}"/>
    <cellStyle name="Normal 8 8 3 3 2 2 2" xfId="56058" xr:uid="{00000000-0005-0000-0000-00007FD20000}"/>
    <cellStyle name="Normal 8 8 3 3 2 3" xfId="46491" xr:uid="{00000000-0005-0000-0000-000080D20000}"/>
    <cellStyle name="Normal 8 8 3 3 2 4" xfId="30391" xr:uid="{00000000-0005-0000-0000-000081D20000}"/>
    <cellStyle name="Normal 8 8 3 3 2 5" xfId="20822" xr:uid="{00000000-0005-0000-0000-000082D20000}"/>
    <cellStyle name="Normal 8 8 3 3 3" xfId="11253" xr:uid="{00000000-0005-0000-0000-000083D20000}"/>
    <cellStyle name="Normal 8 8 3 3 3 2" xfId="49527" xr:uid="{00000000-0005-0000-0000-000084D20000}"/>
    <cellStyle name="Normal 8 8 3 3 3 3" xfId="33427" xr:uid="{00000000-0005-0000-0000-000085D20000}"/>
    <cellStyle name="Normal 8 8 3 3 3 4" xfId="23858" xr:uid="{00000000-0005-0000-0000-000086D20000}"/>
    <cellStyle name="Normal 8 8 3 3 4" xfId="5181" xr:uid="{00000000-0005-0000-0000-000087D20000}"/>
    <cellStyle name="Normal 8 8 3 3 4 2" xfId="53022" xr:uid="{00000000-0005-0000-0000-000088D20000}"/>
    <cellStyle name="Normal 8 8 3 3 4 3" xfId="36922" xr:uid="{00000000-0005-0000-0000-000089D20000}"/>
    <cellStyle name="Normal 8 8 3 3 4 4" xfId="17786" xr:uid="{00000000-0005-0000-0000-00008AD20000}"/>
    <cellStyle name="Normal 8 8 3 3 5" xfId="43455" xr:uid="{00000000-0005-0000-0000-00008BD20000}"/>
    <cellStyle name="Normal 8 8 3 3 6" xfId="27355" xr:uid="{00000000-0005-0000-0000-00008CD20000}"/>
    <cellStyle name="Normal 8 8 3 3 7" xfId="14291" xr:uid="{00000000-0005-0000-0000-00008DD20000}"/>
    <cellStyle name="Normal 8 8 3 4" xfId="7207" xr:uid="{00000000-0005-0000-0000-00008ED20000}"/>
    <cellStyle name="Normal 8 8 3 4 2" xfId="38948" xr:uid="{00000000-0005-0000-0000-00008FD20000}"/>
    <cellStyle name="Normal 8 8 3 4 2 2" xfId="55048" xr:uid="{00000000-0005-0000-0000-000090D20000}"/>
    <cellStyle name="Normal 8 8 3 4 3" xfId="45481" xr:uid="{00000000-0005-0000-0000-000091D20000}"/>
    <cellStyle name="Normal 8 8 3 4 4" xfId="29381" xr:uid="{00000000-0005-0000-0000-000092D20000}"/>
    <cellStyle name="Normal 8 8 3 4 5" xfId="19812" xr:uid="{00000000-0005-0000-0000-000093D20000}"/>
    <cellStyle name="Normal 8 8 3 5" xfId="10243" xr:uid="{00000000-0005-0000-0000-000094D20000}"/>
    <cellStyle name="Normal 8 8 3 5 2" xfId="48517" xr:uid="{00000000-0005-0000-0000-000095D20000}"/>
    <cellStyle name="Normal 8 8 3 5 3" xfId="32417" xr:uid="{00000000-0005-0000-0000-000096D20000}"/>
    <cellStyle name="Normal 8 8 3 5 4" xfId="22848" xr:uid="{00000000-0005-0000-0000-000097D20000}"/>
    <cellStyle name="Normal 8 8 3 6" xfId="4171" xr:uid="{00000000-0005-0000-0000-000098D20000}"/>
    <cellStyle name="Normal 8 8 3 6 2" xfId="52012" xr:uid="{00000000-0005-0000-0000-000099D20000}"/>
    <cellStyle name="Normal 8 8 3 6 3" xfId="35912" xr:uid="{00000000-0005-0000-0000-00009AD20000}"/>
    <cellStyle name="Normal 8 8 3 6 4" xfId="16776" xr:uid="{00000000-0005-0000-0000-00009BD20000}"/>
    <cellStyle name="Normal 8 8 3 7" xfId="42445" xr:uid="{00000000-0005-0000-0000-00009CD20000}"/>
    <cellStyle name="Normal 8 8 3 8" xfId="26345" xr:uid="{00000000-0005-0000-0000-00009DD20000}"/>
    <cellStyle name="Normal 8 8 3 9" xfId="13281" xr:uid="{00000000-0005-0000-0000-00009ED20000}"/>
    <cellStyle name="Normal 8 8 4" xfId="2473" xr:uid="{00000000-0005-0000-0000-00009FD20000}"/>
    <cellStyle name="Normal 8 8 4 2" xfId="9005" xr:uid="{00000000-0005-0000-0000-0000A0D20000}"/>
    <cellStyle name="Normal 8 8 4 2 2" xfId="40746" xr:uid="{00000000-0005-0000-0000-0000A1D20000}"/>
    <cellStyle name="Normal 8 8 4 2 2 2" xfId="56846" xr:uid="{00000000-0005-0000-0000-0000A2D20000}"/>
    <cellStyle name="Normal 8 8 4 2 3" xfId="47279" xr:uid="{00000000-0005-0000-0000-0000A3D20000}"/>
    <cellStyle name="Normal 8 8 4 2 4" xfId="31179" xr:uid="{00000000-0005-0000-0000-0000A4D20000}"/>
    <cellStyle name="Normal 8 8 4 2 5" xfId="21610" xr:uid="{00000000-0005-0000-0000-0000A5D20000}"/>
    <cellStyle name="Normal 8 8 4 3" xfId="12041" xr:uid="{00000000-0005-0000-0000-0000A6D20000}"/>
    <cellStyle name="Normal 8 8 4 3 2" xfId="50315" xr:uid="{00000000-0005-0000-0000-0000A7D20000}"/>
    <cellStyle name="Normal 8 8 4 3 3" xfId="34215" xr:uid="{00000000-0005-0000-0000-0000A8D20000}"/>
    <cellStyle name="Normal 8 8 4 3 4" xfId="24646" xr:uid="{00000000-0005-0000-0000-0000A9D20000}"/>
    <cellStyle name="Normal 8 8 4 4" xfId="5969" xr:uid="{00000000-0005-0000-0000-0000AAD20000}"/>
    <cellStyle name="Normal 8 8 4 4 2" xfId="53810" xr:uid="{00000000-0005-0000-0000-0000ABD20000}"/>
    <cellStyle name="Normal 8 8 4 4 3" xfId="37710" xr:uid="{00000000-0005-0000-0000-0000ACD20000}"/>
    <cellStyle name="Normal 8 8 4 4 4" xfId="18574" xr:uid="{00000000-0005-0000-0000-0000ADD20000}"/>
    <cellStyle name="Normal 8 8 4 5" xfId="44243" xr:uid="{00000000-0005-0000-0000-0000AED20000}"/>
    <cellStyle name="Normal 8 8 4 6" xfId="28143" xr:uid="{00000000-0005-0000-0000-0000AFD20000}"/>
    <cellStyle name="Normal 8 8 4 7" xfId="15079" xr:uid="{00000000-0005-0000-0000-0000B0D20000}"/>
    <cellStyle name="Normal 8 8 5" xfId="1222" xr:uid="{00000000-0005-0000-0000-0000B1D20000}"/>
    <cellStyle name="Normal 8 8 5 2" xfId="7756" xr:uid="{00000000-0005-0000-0000-0000B2D20000}"/>
    <cellStyle name="Normal 8 8 5 2 2" xfId="39497" xr:uid="{00000000-0005-0000-0000-0000B3D20000}"/>
    <cellStyle name="Normal 8 8 5 2 2 2" xfId="55597" xr:uid="{00000000-0005-0000-0000-0000B4D20000}"/>
    <cellStyle name="Normal 8 8 5 2 3" xfId="46030" xr:uid="{00000000-0005-0000-0000-0000B5D20000}"/>
    <cellStyle name="Normal 8 8 5 2 4" xfId="29930" xr:uid="{00000000-0005-0000-0000-0000B6D20000}"/>
    <cellStyle name="Normal 8 8 5 2 5" xfId="20361" xr:uid="{00000000-0005-0000-0000-0000B7D20000}"/>
    <cellStyle name="Normal 8 8 5 3" xfId="10792" xr:uid="{00000000-0005-0000-0000-0000B8D20000}"/>
    <cellStyle name="Normal 8 8 5 3 2" xfId="49066" xr:uid="{00000000-0005-0000-0000-0000B9D20000}"/>
    <cellStyle name="Normal 8 8 5 3 3" xfId="32966" xr:uid="{00000000-0005-0000-0000-0000BAD20000}"/>
    <cellStyle name="Normal 8 8 5 3 4" xfId="23397" xr:uid="{00000000-0005-0000-0000-0000BBD20000}"/>
    <cellStyle name="Normal 8 8 5 4" xfId="4720" xr:uid="{00000000-0005-0000-0000-0000BCD20000}"/>
    <cellStyle name="Normal 8 8 5 4 2" xfId="52561" xr:uid="{00000000-0005-0000-0000-0000BDD20000}"/>
    <cellStyle name="Normal 8 8 5 4 3" xfId="36461" xr:uid="{00000000-0005-0000-0000-0000BED20000}"/>
    <cellStyle name="Normal 8 8 5 4 4" xfId="17325" xr:uid="{00000000-0005-0000-0000-0000BFD20000}"/>
    <cellStyle name="Normal 8 8 5 5" xfId="42994" xr:uid="{00000000-0005-0000-0000-0000C0D20000}"/>
    <cellStyle name="Normal 8 8 5 6" xfId="26894" xr:uid="{00000000-0005-0000-0000-0000C1D20000}"/>
    <cellStyle name="Normal 8 8 5 7" xfId="13830" xr:uid="{00000000-0005-0000-0000-0000C2D20000}"/>
    <cellStyle name="Normal 8 8 6" xfId="3710" xr:uid="{00000000-0005-0000-0000-0000C3D20000}"/>
    <cellStyle name="Normal 8 8 6 2" xfId="35451" xr:uid="{00000000-0005-0000-0000-0000C4D20000}"/>
    <cellStyle name="Normal 8 8 6 2 2" xfId="51551" xr:uid="{00000000-0005-0000-0000-0000C5D20000}"/>
    <cellStyle name="Normal 8 8 6 3" xfId="41984" xr:uid="{00000000-0005-0000-0000-0000C6D20000}"/>
    <cellStyle name="Normal 8 8 6 4" xfId="25884" xr:uid="{00000000-0005-0000-0000-0000C7D20000}"/>
    <cellStyle name="Normal 8 8 6 5" xfId="16315" xr:uid="{00000000-0005-0000-0000-0000C8D20000}"/>
    <cellStyle name="Normal 8 8 7" xfId="6746" xr:uid="{00000000-0005-0000-0000-0000C9D20000}"/>
    <cellStyle name="Normal 8 8 7 2" xfId="38487" xr:uid="{00000000-0005-0000-0000-0000CAD20000}"/>
    <cellStyle name="Normal 8 8 7 2 2" xfId="54587" xr:uid="{00000000-0005-0000-0000-0000CBD20000}"/>
    <cellStyle name="Normal 8 8 7 3" xfId="45020" xr:uid="{00000000-0005-0000-0000-0000CCD20000}"/>
    <cellStyle name="Normal 8 8 7 4" xfId="28920" xr:uid="{00000000-0005-0000-0000-0000CDD20000}"/>
    <cellStyle name="Normal 8 8 7 5" xfId="19351" xr:uid="{00000000-0005-0000-0000-0000CED20000}"/>
    <cellStyle name="Normal 8 8 8" xfId="9782" xr:uid="{00000000-0005-0000-0000-0000CFD20000}"/>
    <cellStyle name="Normal 8 8 8 2" xfId="48056" xr:uid="{00000000-0005-0000-0000-0000D0D20000}"/>
    <cellStyle name="Normal 8 8 8 3" xfId="31956" xr:uid="{00000000-0005-0000-0000-0000D1D20000}"/>
    <cellStyle name="Normal 8 8 8 4" xfId="22387" xr:uid="{00000000-0005-0000-0000-0000D2D20000}"/>
    <cellStyle name="Normal 8 8 9" xfId="3250" xr:uid="{00000000-0005-0000-0000-0000D3D20000}"/>
    <cellStyle name="Normal 8 8 9 2" xfId="51092" xr:uid="{00000000-0005-0000-0000-0000D4D20000}"/>
    <cellStyle name="Normal 8 8 9 3" xfId="34992" xr:uid="{00000000-0005-0000-0000-0000D5D20000}"/>
    <cellStyle name="Normal 8 8 9 4" xfId="15856" xr:uid="{00000000-0005-0000-0000-0000D6D20000}"/>
    <cellStyle name="Normal 8 9" xfId="459" xr:uid="{00000000-0005-0000-0000-0000D7D20000}"/>
    <cellStyle name="Normal 8 9 10" xfId="41542" xr:uid="{00000000-0005-0000-0000-0000D8D20000}"/>
    <cellStyle name="Normal 8 9 11" xfId="25442" xr:uid="{00000000-0005-0000-0000-0000D9D20000}"/>
    <cellStyle name="Normal 8 9 12" xfId="12837" xr:uid="{00000000-0005-0000-0000-0000DAD20000}"/>
    <cellStyle name="Normal 8 9 2" xfId="912" xr:uid="{00000000-0005-0000-0000-0000DBD20000}"/>
    <cellStyle name="Normal 8 9 2 10" xfId="13520" xr:uid="{00000000-0005-0000-0000-0000DCD20000}"/>
    <cellStyle name="Normal 8 9 2 2" xfId="2940" xr:uid="{00000000-0005-0000-0000-0000DDD20000}"/>
    <cellStyle name="Normal 8 9 2 2 2" xfId="9472" xr:uid="{00000000-0005-0000-0000-0000DED20000}"/>
    <cellStyle name="Normal 8 9 2 2 2 2" xfId="41213" xr:uid="{00000000-0005-0000-0000-0000DFD20000}"/>
    <cellStyle name="Normal 8 9 2 2 2 2 2" xfId="57313" xr:uid="{00000000-0005-0000-0000-0000E0D20000}"/>
    <cellStyle name="Normal 8 9 2 2 2 3" xfId="47746" xr:uid="{00000000-0005-0000-0000-0000E1D20000}"/>
    <cellStyle name="Normal 8 9 2 2 2 4" xfId="31646" xr:uid="{00000000-0005-0000-0000-0000E2D20000}"/>
    <cellStyle name="Normal 8 9 2 2 2 5" xfId="22077" xr:uid="{00000000-0005-0000-0000-0000E3D20000}"/>
    <cellStyle name="Normal 8 9 2 2 3" xfId="12508" xr:uid="{00000000-0005-0000-0000-0000E4D20000}"/>
    <cellStyle name="Normal 8 9 2 2 3 2" xfId="50782" xr:uid="{00000000-0005-0000-0000-0000E5D20000}"/>
    <cellStyle name="Normal 8 9 2 2 3 3" xfId="34682" xr:uid="{00000000-0005-0000-0000-0000E6D20000}"/>
    <cellStyle name="Normal 8 9 2 2 3 4" xfId="25113" xr:uid="{00000000-0005-0000-0000-0000E7D20000}"/>
    <cellStyle name="Normal 8 9 2 2 4" xfId="6436" xr:uid="{00000000-0005-0000-0000-0000E8D20000}"/>
    <cellStyle name="Normal 8 9 2 2 4 2" xfId="54277" xr:uid="{00000000-0005-0000-0000-0000E9D20000}"/>
    <cellStyle name="Normal 8 9 2 2 4 3" xfId="38177" xr:uid="{00000000-0005-0000-0000-0000EAD20000}"/>
    <cellStyle name="Normal 8 9 2 2 4 4" xfId="19041" xr:uid="{00000000-0005-0000-0000-0000EBD20000}"/>
    <cellStyle name="Normal 8 9 2 2 5" xfId="44710" xr:uid="{00000000-0005-0000-0000-0000ECD20000}"/>
    <cellStyle name="Normal 8 9 2 2 6" xfId="28610" xr:uid="{00000000-0005-0000-0000-0000EDD20000}"/>
    <cellStyle name="Normal 8 9 2 2 7" xfId="15546" xr:uid="{00000000-0005-0000-0000-0000EED20000}"/>
    <cellStyle name="Normal 8 9 2 3" xfId="1922" xr:uid="{00000000-0005-0000-0000-0000EFD20000}"/>
    <cellStyle name="Normal 8 9 2 3 2" xfId="8456" xr:uid="{00000000-0005-0000-0000-0000F0D20000}"/>
    <cellStyle name="Normal 8 9 2 3 2 2" xfId="40197" xr:uid="{00000000-0005-0000-0000-0000F1D20000}"/>
    <cellStyle name="Normal 8 9 2 3 2 2 2" xfId="56297" xr:uid="{00000000-0005-0000-0000-0000F2D20000}"/>
    <cellStyle name="Normal 8 9 2 3 2 3" xfId="46730" xr:uid="{00000000-0005-0000-0000-0000F3D20000}"/>
    <cellStyle name="Normal 8 9 2 3 2 4" xfId="30630" xr:uid="{00000000-0005-0000-0000-0000F4D20000}"/>
    <cellStyle name="Normal 8 9 2 3 2 5" xfId="21061" xr:uid="{00000000-0005-0000-0000-0000F5D20000}"/>
    <cellStyle name="Normal 8 9 2 3 3" xfId="11492" xr:uid="{00000000-0005-0000-0000-0000F6D20000}"/>
    <cellStyle name="Normal 8 9 2 3 3 2" xfId="49766" xr:uid="{00000000-0005-0000-0000-0000F7D20000}"/>
    <cellStyle name="Normal 8 9 2 3 3 3" xfId="33666" xr:uid="{00000000-0005-0000-0000-0000F8D20000}"/>
    <cellStyle name="Normal 8 9 2 3 3 4" xfId="24097" xr:uid="{00000000-0005-0000-0000-0000F9D20000}"/>
    <cellStyle name="Normal 8 9 2 3 4" xfId="5420" xr:uid="{00000000-0005-0000-0000-0000FAD20000}"/>
    <cellStyle name="Normal 8 9 2 3 4 2" xfId="53261" xr:uid="{00000000-0005-0000-0000-0000FBD20000}"/>
    <cellStyle name="Normal 8 9 2 3 4 3" xfId="37161" xr:uid="{00000000-0005-0000-0000-0000FCD20000}"/>
    <cellStyle name="Normal 8 9 2 3 4 4" xfId="18025" xr:uid="{00000000-0005-0000-0000-0000FDD20000}"/>
    <cellStyle name="Normal 8 9 2 3 5" xfId="43694" xr:uid="{00000000-0005-0000-0000-0000FED20000}"/>
    <cellStyle name="Normal 8 9 2 3 6" xfId="27594" xr:uid="{00000000-0005-0000-0000-0000FFD20000}"/>
    <cellStyle name="Normal 8 9 2 3 7" xfId="14530" xr:uid="{00000000-0005-0000-0000-000000D30000}"/>
    <cellStyle name="Normal 8 9 2 4" xfId="4410" xr:uid="{00000000-0005-0000-0000-000001D30000}"/>
    <cellStyle name="Normal 8 9 2 4 2" xfId="36151" xr:uid="{00000000-0005-0000-0000-000002D30000}"/>
    <cellStyle name="Normal 8 9 2 4 2 2" xfId="52251" xr:uid="{00000000-0005-0000-0000-000003D30000}"/>
    <cellStyle name="Normal 8 9 2 4 3" xfId="42684" xr:uid="{00000000-0005-0000-0000-000004D30000}"/>
    <cellStyle name="Normal 8 9 2 4 4" xfId="26584" xr:uid="{00000000-0005-0000-0000-000005D30000}"/>
    <cellStyle name="Normal 8 9 2 4 5" xfId="17015" xr:uid="{00000000-0005-0000-0000-000006D30000}"/>
    <cellStyle name="Normal 8 9 2 5" xfId="7446" xr:uid="{00000000-0005-0000-0000-000007D30000}"/>
    <cellStyle name="Normal 8 9 2 5 2" xfId="39187" xr:uid="{00000000-0005-0000-0000-000008D30000}"/>
    <cellStyle name="Normal 8 9 2 5 2 2" xfId="55287" xr:uid="{00000000-0005-0000-0000-000009D30000}"/>
    <cellStyle name="Normal 8 9 2 5 3" xfId="45720" xr:uid="{00000000-0005-0000-0000-00000AD30000}"/>
    <cellStyle name="Normal 8 9 2 5 4" xfId="29620" xr:uid="{00000000-0005-0000-0000-00000BD30000}"/>
    <cellStyle name="Normal 8 9 2 5 5" xfId="20051" xr:uid="{00000000-0005-0000-0000-00000CD30000}"/>
    <cellStyle name="Normal 8 9 2 6" xfId="10482" xr:uid="{00000000-0005-0000-0000-00000DD30000}"/>
    <cellStyle name="Normal 8 9 2 6 2" xfId="48756" xr:uid="{00000000-0005-0000-0000-00000ED30000}"/>
    <cellStyle name="Normal 8 9 2 6 3" xfId="32656" xr:uid="{00000000-0005-0000-0000-00000FD30000}"/>
    <cellStyle name="Normal 8 9 2 6 4" xfId="23087" xr:uid="{00000000-0005-0000-0000-000010D30000}"/>
    <cellStyle name="Normal 8 9 2 7" xfId="3505" xr:uid="{00000000-0005-0000-0000-000011D30000}"/>
    <cellStyle name="Normal 8 9 2 7 2" xfId="51346" xr:uid="{00000000-0005-0000-0000-000012D30000}"/>
    <cellStyle name="Normal 8 9 2 7 3" xfId="35246" xr:uid="{00000000-0005-0000-0000-000013D30000}"/>
    <cellStyle name="Normal 8 9 2 7 4" xfId="16110" xr:uid="{00000000-0005-0000-0000-000014D30000}"/>
    <cellStyle name="Normal 8 9 2 8" xfId="41779" xr:uid="{00000000-0005-0000-0000-000015D30000}"/>
    <cellStyle name="Normal 8 9 2 9" xfId="25679" xr:uid="{00000000-0005-0000-0000-000016D30000}"/>
    <cellStyle name="Normal 8 9 3" xfId="690" xr:uid="{00000000-0005-0000-0000-000017D30000}"/>
    <cellStyle name="Normal 8 9 3 2" xfId="2718" xr:uid="{00000000-0005-0000-0000-000018D30000}"/>
    <cellStyle name="Normal 8 9 3 2 2" xfId="9250" xr:uid="{00000000-0005-0000-0000-000019D30000}"/>
    <cellStyle name="Normal 8 9 3 2 2 2" xfId="40991" xr:uid="{00000000-0005-0000-0000-00001AD30000}"/>
    <cellStyle name="Normal 8 9 3 2 2 2 2" xfId="57091" xr:uid="{00000000-0005-0000-0000-00001BD30000}"/>
    <cellStyle name="Normal 8 9 3 2 2 3" xfId="47524" xr:uid="{00000000-0005-0000-0000-00001CD30000}"/>
    <cellStyle name="Normal 8 9 3 2 2 4" xfId="31424" xr:uid="{00000000-0005-0000-0000-00001DD30000}"/>
    <cellStyle name="Normal 8 9 3 2 2 5" xfId="21855" xr:uid="{00000000-0005-0000-0000-00001ED30000}"/>
    <cellStyle name="Normal 8 9 3 2 3" xfId="12286" xr:uid="{00000000-0005-0000-0000-00001FD30000}"/>
    <cellStyle name="Normal 8 9 3 2 3 2" xfId="50560" xr:uid="{00000000-0005-0000-0000-000020D30000}"/>
    <cellStyle name="Normal 8 9 3 2 3 3" xfId="34460" xr:uid="{00000000-0005-0000-0000-000021D30000}"/>
    <cellStyle name="Normal 8 9 3 2 3 4" xfId="24891" xr:uid="{00000000-0005-0000-0000-000022D30000}"/>
    <cellStyle name="Normal 8 9 3 2 4" xfId="6214" xr:uid="{00000000-0005-0000-0000-000023D30000}"/>
    <cellStyle name="Normal 8 9 3 2 4 2" xfId="54055" xr:uid="{00000000-0005-0000-0000-000024D30000}"/>
    <cellStyle name="Normal 8 9 3 2 4 3" xfId="37955" xr:uid="{00000000-0005-0000-0000-000025D30000}"/>
    <cellStyle name="Normal 8 9 3 2 4 4" xfId="18819" xr:uid="{00000000-0005-0000-0000-000026D30000}"/>
    <cellStyle name="Normal 8 9 3 2 5" xfId="44488" xr:uid="{00000000-0005-0000-0000-000027D30000}"/>
    <cellStyle name="Normal 8 9 3 2 6" xfId="28388" xr:uid="{00000000-0005-0000-0000-000028D30000}"/>
    <cellStyle name="Normal 8 9 3 2 7" xfId="15324" xr:uid="{00000000-0005-0000-0000-000029D30000}"/>
    <cellStyle name="Normal 8 9 3 3" xfId="1700" xr:uid="{00000000-0005-0000-0000-00002AD30000}"/>
    <cellStyle name="Normal 8 9 3 3 2" xfId="8234" xr:uid="{00000000-0005-0000-0000-00002BD30000}"/>
    <cellStyle name="Normal 8 9 3 3 2 2" xfId="39975" xr:uid="{00000000-0005-0000-0000-00002CD30000}"/>
    <cellStyle name="Normal 8 9 3 3 2 2 2" xfId="56075" xr:uid="{00000000-0005-0000-0000-00002DD30000}"/>
    <cellStyle name="Normal 8 9 3 3 2 3" xfId="46508" xr:uid="{00000000-0005-0000-0000-00002ED30000}"/>
    <cellStyle name="Normal 8 9 3 3 2 4" xfId="30408" xr:uid="{00000000-0005-0000-0000-00002FD30000}"/>
    <cellStyle name="Normal 8 9 3 3 2 5" xfId="20839" xr:uid="{00000000-0005-0000-0000-000030D30000}"/>
    <cellStyle name="Normal 8 9 3 3 3" xfId="11270" xr:uid="{00000000-0005-0000-0000-000031D30000}"/>
    <cellStyle name="Normal 8 9 3 3 3 2" xfId="49544" xr:uid="{00000000-0005-0000-0000-000032D30000}"/>
    <cellStyle name="Normal 8 9 3 3 3 3" xfId="33444" xr:uid="{00000000-0005-0000-0000-000033D30000}"/>
    <cellStyle name="Normal 8 9 3 3 3 4" xfId="23875" xr:uid="{00000000-0005-0000-0000-000034D30000}"/>
    <cellStyle name="Normal 8 9 3 3 4" xfId="5198" xr:uid="{00000000-0005-0000-0000-000035D30000}"/>
    <cellStyle name="Normal 8 9 3 3 4 2" xfId="53039" xr:uid="{00000000-0005-0000-0000-000036D30000}"/>
    <cellStyle name="Normal 8 9 3 3 4 3" xfId="36939" xr:uid="{00000000-0005-0000-0000-000037D30000}"/>
    <cellStyle name="Normal 8 9 3 3 4 4" xfId="17803" xr:uid="{00000000-0005-0000-0000-000038D30000}"/>
    <cellStyle name="Normal 8 9 3 3 5" xfId="43472" xr:uid="{00000000-0005-0000-0000-000039D30000}"/>
    <cellStyle name="Normal 8 9 3 3 6" xfId="27372" xr:uid="{00000000-0005-0000-0000-00003AD30000}"/>
    <cellStyle name="Normal 8 9 3 3 7" xfId="14308" xr:uid="{00000000-0005-0000-0000-00003BD30000}"/>
    <cellStyle name="Normal 8 9 3 4" xfId="7224" xr:uid="{00000000-0005-0000-0000-00003CD30000}"/>
    <cellStyle name="Normal 8 9 3 4 2" xfId="38965" xr:uid="{00000000-0005-0000-0000-00003DD30000}"/>
    <cellStyle name="Normal 8 9 3 4 2 2" xfId="55065" xr:uid="{00000000-0005-0000-0000-00003ED30000}"/>
    <cellStyle name="Normal 8 9 3 4 3" xfId="45498" xr:uid="{00000000-0005-0000-0000-00003FD30000}"/>
    <cellStyle name="Normal 8 9 3 4 4" xfId="29398" xr:uid="{00000000-0005-0000-0000-000040D30000}"/>
    <cellStyle name="Normal 8 9 3 4 5" xfId="19829" xr:uid="{00000000-0005-0000-0000-000041D30000}"/>
    <cellStyle name="Normal 8 9 3 5" xfId="10260" xr:uid="{00000000-0005-0000-0000-000042D30000}"/>
    <cellStyle name="Normal 8 9 3 5 2" xfId="48534" xr:uid="{00000000-0005-0000-0000-000043D30000}"/>
    <cellStyle name="Normal 8 9 3 5 3" xfId="32434" xr:uid="{00000000-0005-0000-0000-000044D30000}"/>
    <cellStyle name="Normal 8 9 3 5 4" xfId="22865" xr:uid="{00000000-0005-0000-0000-000045D30000}"/>
    <cellStyle name="Normal 8 9 3 6" xfId="4188" xr:uid="{00000000-0005-0000-0000-000046D30000}"/>
    <cellStyle name="Normal 8 9 3 6 2" xfId="52029" xr:uid="{00000000-0005-0000-0000-000047D30000}"/>
    <cellStyle name="Normal 8 9 3 6 3" xfId="35929" xr:uid="{00000000-0005-0000-0000-000048D30000}"/>
    <cellStyle name="Normal 8 9 3 6 4" xfId="16793" xr:uid="{00000000-0005-0000-0000-000049D30000}"/>
    <cellStyle name="Normal 8 9 3 7" xfId="42462" xr:uid="{00000000-0005-0000-0000-00004AD30000}"/>
    <cellStyle name="Normal 8 9 3 8" xfId="26362" xr:uid="{00000000-0005-0000-0000-00004BD30000}"/>
    <cellStyle name="Normal 8 9 3 9" xfId="13298" xr:uid="{00000000-0005-0000-0000-00004CD30000}"/>
    <cellStyle name="Normal 8 9 4" xfId="2490" xr:uid="{00000000-0005-0000-0000-00004DD30000}"/>
    <cellStyle name="Normal 8 9 4 2" xfId="9022" xr:uid="{00000000-0005-0000-0000-00004ED30000}"/>
    <cellStyle name="Normal 8 9 4 2 2" xfId="40763" xr:uid="{00000000-0005-0000-0000-00004FD30000}"/>
    <cellStyle name="Normal 8 9 4 2 2 2" xfId="56863" xr:uid="{00000000-0005-0000-0000-000050D30000}"/>
    <cellStyle name="Normal 8 9 4 2 3" xfId="47296" xr:uid="{00000000-0005-0000-0000-000051D30000}"/>
    <cellStyle name="Normal 8 9 4 2 4" xfId="31196" xr:uid="{00000000-0005-0000-0000-000052D30000}"/>
    <cellStyle name="Normal 8 9 4 2 5" xfId="21627" xr:uid="{00000000-0005-0000-0000-000053D30000}"/>
    <cellStyle name="Normal 8 9 4 3" xfId="12058" xr:uid="{00000000-0005-0000-0000-000054D30000}"/>
    <cellStyle name="Normal 8 9 4 3 2" xfId="50332" xr:uid="{00000000-0005-0000-0000-000055D30000}"/>
    <cellStyle name="Normal 8 9 4 3 3" xfId="34232" xr:uid="{00000000-0005-0000-0000-000056D30000}"/>
    <cellStyle name="Normal 8 9 4 3 4" xfId="24663" xr:uid="{00000000-0005-0000-0000-000057D30000}"/>
    <cellStyle name="Normal 8 9 4 4" xfId="5986" xr:uid="{00000000-0005-0000-0000-000058D30000}"/>
    <cellStyle name="Normal 8 9 4 4 2" xfId="53827" xr:uid="{00000000-0005-0000-0000-000059D30000}"/>
    <cellStyle name="Normal 8 9 4 4 3" xfId="37727" xr:uid="{00000000-0005-0000-0000-00005AD30000}"/>
    <cellStyle name="Normal 8 9 4 4 4" xfId="18591" xr:uid="{00000000-0005-0000-0000-00005BD30000}"/>
    <cellStyle name="Normal 8 9 4 5" xfId="44260" xr:uid="{00000000-0005-0000-0000-00005CD30000}"/>
    <cellStyle name="Normal 8 9 4 6" xfId="28160" xr:uid="{00000000-0005-0000-0000-00005DD30000}"/>
    <cellStyle name="Normal 8 9 4 7" xfId="15096" xr:uid="{00000000-0005-0000-0000-00005ED30000}"/>
    <cellStyle name="Normal 8 9 5" xfId="1239" xr:uid="{00000000-0005-0000-0000-00005FD30000}"/>
    <cellStyle name="Normal 8 9 5 2" xfId="7773" xr:uid="{00000000-0005-0000-0000-000060D30000}"/>
    <cellStyle name="Normal 8 9 5 2 2" xfId="39514" xr:uid="{00000000-0005-0000-0000-000061D30000}"/>
    <cellStyle name="Normal 8 9 5 2 2 2" xfId="55614" xr:uid="{00000000-0005-0000-0000-000062D30000}"/>
    <cellStyle name="Normal 8 9 5 2 3" xfId="46047" xr:uid="{00000000-0005-0000-0000-000063D30000}"/>
    <cellStyle name="Normal 8 9 5 2 4" xfId="29947" xr:uid="{00000000-0005-0000-0000-000064D30000}"/>
    <cellStyle name="Normal 8 9 5 2 5" xfId="20378" xr:uid="{00000000-0005-0000-0000-000065D30000}"/>
    <cellStyle name="Normal 8 9 5 3" xfId="10809" xr:uid="{00000000-0005-0000-0000-000066D30000}"/>
    <cellStyle name="Normal 8 9 5 3 2" xfId="49083" xr:uid="{00000000-0005-0000-0000-000067D30000}"/>
    <cellStyle name="Normal 8 9 5 3 3" xfId="32983" xr:uid="{00000000-0005-0000-0000-000068D30000}"/>
    <cellStyle name="Normal 8 9 5 3 4" xfId="23414" xr:uid="{00000000-0005-0000-0000-000069D30000}"/>
    <cellStyle name="Normal 8 9 5 4" xfId="4737" xr:uid="{00000000-0005-0000-0000-00006AD30000}"/>
    <cellStyle name="Normal 8 9 5 4 2" xfId="52578" xr:uid="{00000000-0005-0000-0000-00006BD30000}"/>
    <cellStyle name="Normal 8 9 5 4 3" xfId="36478" xr:uid="{00000000-0005-0000-0000-00006CD30000}"/>
    <cellStyle name="Normal 8 9 5 4 4" xfId="17342" xr:uid="{00000000-0005-0000-0000-00006DD30000}"/>
    <cellStyle name="Normal 8 9 5 5" xfId="43011" xr:uid="{00000000-0005-0000-0000-00006ED30000}"/>
    <cellStyle name="Normal 8 9 5 6" xfId="26911" xr:uid="{00000000-0005-0000-0000-00006FD30000}"/>
    <cellStyle name="Normal 8 9 5 7" xfId="13847" xr:uid="{00000000-0005-0000-0000-000070D30000}"/>
    <cellStyle name="Normal 8 9 6" xfId="3727" xr:uid="{00000000-0005-0000-0000-000071D30000}"/>
    <cellStyle name="Normal 8 9 6 2" xfId="35468" xr:uid="{00000000-0005-0000-0000-000072D30000}"/>
    <cellStyle name="Normal 8 9 6 2 2" xfId="51568" xr:uid="{00000000-0005-0000-0000-000073D30000}"/>
    <cellStyle name="Normal 8 9 6 3" xfId="42001" xr:uid="{00000000-0005-0000-0000-000074D30000}"/>
    <cellStyle name="Normal 8 9 6 4" xfId="25901" xr:uid="{00000000-0005-0000-0000-000075D30000}"/>
    <cellStyle name="Normal 8 9 6 5" xfId="16332" xr:uid="{00000000-0005-0000-0000-000076D30000}"/>
    <cellStyle name="Normal 8 9 7" xfId="6763" xr:uid="{00000000-0005-0000-0000-000077D30000}"/>
    <cellStyle name="Normal 8 9 7 2" xfId="38504" xr:uid="{00000000-0005-0000-0000-000078D30000}"/>
    <cellStyle name="Normal 8 9 7 2 2" xfId="54604" xr:uid="{00000000-0005-0000-0000-000079D30000}"/>
    <cellStyle name="Normal 8 9 7 3" xfId="45037" xr:uid="{00000000-0005-0000-0000-00007AD30000}"/>
    <cellStyle name="Normal 8 9 7 4" xfId="28937" xr:uid="{00000000-0005-0000-0000-00007BD30000}"/>
    <cellStyle name="Normal 8 9 7 5" xfId="19368" xr:uid="{00000000-0005-0000-0000-00007CD30000}"/>
    <cellStyle name="Normal 8 9 8" xfId="9799" xr:uid="{00000000-0005-0000-0000-00007DD30000}"/>
    <cellStyle name="Normal 8 9 8 2" xfId="48073" xr:uid="{00000000-0005-0000-0000-00007ED30000}"/>
    <cellStyle name="Normal 8 9 8 3" xfId="31973" xr:uid="{00000000-0005-0000-0000-00007FD30000}"/>
    <cellStyle name="Normal 8 9 8 4" xfId="22404" xr:uid="{00000000-0005-0000-0000-000080D30000}"/>
    <cellStyle name="Normal 8 9 9" xfId="3267" xr:uid="{00000000-0005-0000-0000-000081D30000}"/>
    <cellStyle name="Normal 8 9 9 2" xfId="51109" xr:uid="{00000000-0005-0000-0000-000082D30000}"/>
    <cellStyle name="Normal 8 9 9 3" xfId="35009" xr:uid="{00000000-0005-0000-0000-000083D30000}"/>
    <cellStyle name="Normal 8 9 9 4" xfId="15873" xr:uid="{00000000-0005-0000-0000-000084D30000}"/>
    <cellStyle name="Normal 8_INL Feedstock" xfId="419" xr:uid="{00000000-0005-0000-0000-000085D30000}"/>
    <cellStyle name="Normal 9" xfId="16" xr:uid="{00000000-0005-0000-0000-000086D30000}"/>
    <cellStyle name="Normal 9 10" xfId="495" xr:uid="{00000000-0005-0000-0000-000087D30000}"/>
    <cellStyle name="Normal 9 10 10" xfId="41578" xr:uid="{00000000-0005-0000-0000-000088D30000}"/>
    <cellStyle name="Normal 9 10 11" xfId="25478" xr:uid="{00000000-0005-0000-0000-000089D30000}"/>
    <cellStyle name="Normal 9 10 12" xfId="12873" xr:uid="{00000000-0005-0000-0000-00008AD30000}"/>
    <cellStyle name="Normal 9 10 2" xfId="948" xr:uid="{00000000-0005-0000-0000-00008BD30000}"/>
    <cellStyle name="Normal 9 10 2 10" xfId="13556" xr:uid="{00000000-0005-0000-0000-00008CD30000}"/>
    <cellStyle name="Normal 9 10 2 2" xfId="2976" xr:uid="{00000000-0005-0000-0000-00008DD30000}"/>
    <cellStyle name="Normal 9 10 2 2 2" xfId="9508" xr:uid="{00000000-0005-0000-0000-00008ED30000}"/>
    <cellStyle name="Normal 9 10 2 2 2 2" xfId="41249" xr:uid="{00000000-0005-0000-0000-00008FD30000}"/>
    <cellStyle name="Normal 9 10 2 2 2 2 2" xfId="57349" xr:uid="{00000000-0005-0000-0000-000090D30000}"/>
    <cellStyle name="Normal 9 10 2 2 2 3" xfId="47782" xr:uid="{00000000-0005-0000-0000-000091D30000}"/>
    <cellStyle name="Normal 9 10 2 2 2 4" xfId="31682" xr:uid="{00000000-0005-0000-0000-000092D30000}"/>
    <cellStyle name="Normal 9 10 2 2 2 5" xfId="22113" xr:uid="{00000000-0005-0000-0000-000093D30000}"/>
    <cellStyle name="Normal 9 10 2 2 3" xfId="12544" xr:uid="{00000000-0005-0000-0000-000094D30000}"/>
    <cellStyle name="Normal 9 10 2 2 3 2" xfId="50818" xr:uid="{00000000-0005-0000-0000-000095D30000}"/>
    <cellStyle name="Normal 9 10 2 2 3 3" xfId="34718" xr:uid="{00000000-0005-0000-0000-000096D30000}"/>
    <cellStyle name="Normal 9 10 2 2 3 4" xfId="25149" xr:uid="{00000000-0005-0000-0000-000097D30000}"/>
    <cellStyle name="Normal 9 10 2 2 4" xfId="6472" xr:uid="{00000000-0005-0000-0000-000098D30000}"/>
    <cellStyle name="Normal 9 10 2 2 4 2" xfId="54313" xr:uid="{00000000-0005-0000-0000-000099D30000}"/>
    <cellStyle name="Normal 9 10 2 2 4 3" xfId="38213" xr:uid="{00000000-0005-0000-0000-00009AD30000}"/>
    <cellStyle name="Normal 9 10 2 2 4 4" xfId="19077" xr:uid="{00000000-0005-0000-0000-00009BD30000}"/>
    <cellStyle name="Normal 9 10 2 2 5" xfId="44746" xr:uid="{00000000-0005-0000-0000-00009CD30000}"/>
    <cellStyle name="Normal 9 10 2 2 6" xfId="28646" xr:uid="{00000000-0005-0000-0000-00009DD30000}"/>
    <cellStyle name="Normal 9 10 2 2 7" xfId="15582" xr:uid="{00000000-0005-0000-0000-00009ED30000}"/>
    <cellStyle name="Normal 9 10 2 3" xfId="1958" xr:uid="{00000000-0005-0000-0000-00009FD30000}"/>
    <cellStyle name="Normal 9 10 2 3 2" xfId="8492" xr:uid="{00000000-0005-0000-0000-0000A0D30000}"/>
    <cellStyle name="Normal 9 10 2 3 2 2" xfId="40233" xr:uid="{00000000-0005-0000-0000-0000A1D30000}"/>
    <cellStyle name="Normal 9 10 2 3 2 2 2" xfId="56333" xr:uid="{00000000-0005-0000-0000-0000A2D30000}"/>
    <cellStyle name="Normal 9 10 2 3 2 3" xfId="46766" xr:uid="{00000000-0005-0000-0000-0000A3D30000}"/>
    <cellStyle name="Normal 9 10 2 3 2 4" xfId="30666" xr:uid="{00000000-0005-0000-0000-0000A4D30000}"/>
    <cellStyle name="Normal 9 10 2 3 2 5" xfId="21097" xr:uid="{00000000-0005-0000-0000-0000A5D30000}"/>
    <cellStyle name="Normal 9 10 2 3 3" xfId="11528" xr:uid="{00000000-0005-0000-0000-0000A6D30000}"/>
    <cellStyle name="Normal 9 10 2 3 3 2" xfId="49802" xr:uid="{00000000-0005-0000-0000-0000A7D30000}"/>
    <cellStyle name="Normal 9 10 2 3 3 3" xfId="33702" xr:uid="{00000000-0005-0000-0000-0000A8D30000}"/>
    <cellStyle name="Normal 9 10 2 3 3 4" xfId="24133" xr:uid="{00000000-0005-0000-0000-0000A9D30000}"/>
    <cellStyle name="Normal 9 10 2 3 4" xfId="5456" xr:uid="{00000000-0005-0000-0000-0000AAD30000}"/>
    <cellStyle name="Normal 9 10 2 3 4 2" xfId="53297" xr:uid="{00000000-0005-0000-0000-0000ABD30000}"/>
    <cellStyle name="Normal 9 10 2 3 4 3" xfId="37197" xr:uid="{00000000-0005-0000-0000-0000ACD30000}"/>
    <cellStyle name="Normal 9 10 2 3 4 4" xfId="18061" xr:uid="{00000000-0005-0000-0000-0000ADD30000}"/>
    <cellStyle name="Normal 9 10 2 3 5" xfId="43730" xr:uid="{00000000-0005-0000-0000-0000AED30000}"/>
    <cellStyle name="Normal 9 10 2 3 6" xfId="27630" xr:uid="{00000000-0005-0000-0000-0000AFD30000}"/>
    <cellStyle name="Normal 9 10 2 3 7" xfId="14566" xr:uid="{00000000-0005-0000-0000-0000B0D30000}"/>
    <cellStyle name="Normal 9 10 2 4" xfId="4446" xr:uid="{00000000-0005-0000-0000-0000B1D30000}"/>
    <cellStyle name="Normal 9 10 2 4 2" xfId="36187" xr:uid="{00000000-0005-0000-0000-0000B2D30000}"/>
    <cellStyle name="Normal 9 10 2 4 2 2" xfId="52287" xr:uid="{00000000-0005-0000-0000-0000B3D30000}"/>
    <cellStyle name="Normal 9 10 2 4 3" xfId="42720" xr:uid="{00000000-0005-0000-0000-0000B4D30000}"/>
    <cellStyle name="Normal 9 10 2 4 4" xfId="26620" xr:uid="{00000000-0005-0000-0000-0000B5D30000}"/>
    <cellStyle name="Normal 9 10 2 4 5" xfId="17051" xr:uid="{00000000-0005-0000-0000-0000B6D30000}"/>
    <cellStyle name="Normal 9 10 2 5" xfId="7482" xr:uid="{00000000-0005-0000-0000-0000B7D30000}"/>
    <cellStyle name="Normal 9 10 2 5 2" xfId="39223" xr:uid="{00000000-0005-0000-0000-0000B8D30000}"/>
    <cellStyle name="Normal 9 10 2 5 2 2" xfId="55323" xr:uid="{00000000-0005-0000-0000-0000B9D30000}"/>
    <cellStyle name="Normal 9 10 2 5 3" xfId="45756" xr:uid="{00000000-0005-0000-0000-0000BAD30000}"/>
    <cellStyle name="Normal 9 10 2 5 4" xfId="29656" xr:uid="{00000000-0005-0000-0000-0000BBD30000}"/>
    <cellStyle name="Normal 9 10 2 5 5" xfId="20087" xr:uid="{00000000-0005-0000-0000-0000BCD30000}"/>
    <cellStyle name="Normal 9 10 2 6" xfId="10518" xr:uid="{00000000-0005-0000-0000-0000BDD30000}"/>
    <cellStyle name="Normal 9 10 2 6 2" xfId="48792" xr:uid="{00000000-0005-0000-0000-0000BED30000}"/>
    <cellStyle name="Normal 9 10 2 6 3" xfId="32692" xr:uid="{00000000-0005-0000-0000-0000BFD30000}"/>
    <cellStyle name="Normal 9 10 2 6 4" xfId="23123" xr:uid="{00000000-0005-0000-0000-0000C0D30000}"/>
    <cellStyle name="Normal 9 10 2 7" xfId="3541" xr:uid="{00000000-0005-0000-0000-0000C1D30000}"/>
    <cellStyle name="Normal 9 10 2 7 2" xfId="51382" xr:uid="{00000000-0005-0000-0000-0000C2D30000}"/>
    <cellStyle name="Normal 9 10 2 7 3" xfId="35282" xr:uid="{00000000-0005-0000-0000-0000C3D30000}"/>
    <cellStyle name="Normal 9 10 2 7 4" xfId="16146" xr:uid="{00000000-0005-0000-0000-0000C4D30000}"/>
    <cellStyle name="Normal 9 10 2 8" xfId="41815" xr:uid="{00000000-0005-0000-0000-0000C5D30000}"/>
    <cellStyle name="Normal 9 10 2 9" xfId="25715" xr:uid="{00000000-0005-0000-0000-0000C6D30000}"/>
    <cellStyle name="Normal 9 10 3" xfId="726" xr:uid="{00000000-0005-0000-0000-0000C7D30000}"/>
    <cellStyle name="Normal 9 10 3 2" xfId="2754" xr:uid="{00000000-0005-0000-0000-0000C8D30000}"/>
    <cellStyle name="Normal 9 10 3 2 2" xfId="9286" xr:uid="{00000000-0005-0000-0000-0000C9D30000}"/>
    <cellStyle name="Normal 9 10 3 2 2 2" xfId="41027" xr:uid="{00000000-0005-0000-0000-0000CAD30000}"/>
    <cellStyle name="Normal 9 10 3 2 2 2 2" xfId="57127" xr:uid="{00000000-0005-0000-0000-0000CBD30000}"/>
    <cellStyle name="Normal 9 10 3 2 2 3" xfId="47560" xr:uid="{00000000-0005-0000-0000-0000CCD30000}"/>
    <cellStyle name="Normal 9 10 3 2 2 4" xfId="31460" xr:uid="{00000000-0005-0000-0000-0000CDD30000}"/>
    <cellStyle name="Normal 9 10 3 2 2 5" xfId="21891" xr:uid="{00000000-0005-0000-0000-0000CED30000}"/>
    <cellStyle name="Normal 9 10 3 2 3" xfId="12322" xr:uid="{00000000-0005-0000-0000-0000CFD30000}"/>
    <cellStyle name="Normal 9 10 3 2 3 2" xfId="50596" xr:uid="{00000000-0005-0000-0000-0000D0D30000}"/>
    <cellStyle name="Normal 9 10 3 2 3 3" xfId="34496" xr:uid="{00000000-0005-0000-0000-0000D1D30000}"/>
    <cellStyle name="Normal 9 10 3 2 3 4" xfId="24927" xr:uid="{00000000-0005-0000-0000-0000D2D30000}"/>
    <cellStyle name="Normal 9 10 3 2 4" xfId="6250" xr:uid="{00000000-0005-0000-0000-0000D3D30000}"/>
    <cellStyle name="Normal 9 10 3 2 4 2" xfId="54091" xr:uid="{00000000-0005-0000-0000-0000D4D30000}"/>
    <cellStyle name="Normal 9 10 3 2 4 3" xfId="37991" xr:uid="{00000000-0005-0000-0000-0000D5D30000}"/>
    <cellStyle name="Normal 9 10 3 2 4 4" xfId="18855" xr:uid="{00000000-0005-0000-0000-0000D6D30000}"/>
    <cellStyle name="Normal 9 10 3 2 5" xfId="44524" xr:uid="{00000000-0005-0000-0000-0000D7D30000}"/>
    <cellStyle name="Normal 9 10 3 2 6" xfId="28424" xr:uid="{00000000-0005-0000-0000-0000D8D30000}"/>
    <cellStyle name="Normal 9 10 3 2 7" xfId="15360" xr:uid="{00000000-0005-0000-0000-0000D9D30000}"/>
    <cellStyle name="Normal 9 10 3 3" xfId="1736" xr:uid="{00000000-0005-0000-0000-0000DAD30000}"/>
    <cellStyle name="Normal 9 10 3 3 2" xfId="8270" xr:uid="{00000000-0005-0000-0000-0000DBD30000}"/>
    <cellStyle name="Normal 9 10 3 3 2 2" xfId="40011" xr:uid="{00000000-0005-0000-0000-0000DCD30000}"/>
    <cellStyle name="Normal 9 10 3 3 2 2 2" xfId="56111" xr:uid="{00000000-0005-0000-0000-0000DDD30000}"/>
    <cellStyle name="Normal 9 10 3 3 2 3" xfId="46544" xr:uid="{00000000-0005-0000-0000-0000DED30000}"/>
    <cellStyle name="Normal 9 10 3 3 2 4" xfId="30444" xr:uid="{00000000-0005-0000-0000-0000DFD30000}"/>
    <cellStyle name="Normal 9 10 3 3 2 5" xfId="20875" xr:uid="{00000000-0005-0000-0000-0000E0D30000}"/>
    <cellStyle name="Normal 9 10 3 3 3" xfId="11306" xr:uid="{00000000-0005-0000-0000-0000E1D30000}"/>
    <cellStyle name="Normal 9 10 3 3 3 2" xfId="49580" xr:uid="{00000000-0005-0000-0000-0000E2D30000}"/>
    <cellStyle name="Normal 9 10 3 3 3 3" xfId="33480" xr:uid="{00000000-0005-0000-0000-0000E3D30000}"/>
    <cellStyle name="Normal 9 10 3 3 3 4" xfId="23911" xr:uid="{00000000-0005-0000-0000-0000E4D30000}"/>
    <cellStyle name="Normal 9 10 3 3 4" xfId="5234" xr:uid="{00000000-0005-0000-0000-0000E5D30000}"/>
    <cellStyle name="Normal 9 10 3 3 4 2" xfId="53075" xr:uid="{00000000-0005-0000-0000-0000E6D30000}"/>
    <cellStyle name="Normal 9 10 3 3 4 3" xfId="36975" xr:uid="{00000000-0005-0000-0000-0000E7D30000}"/>
    <cellStyle name="Normal 9 10 3 3 4 4" xfId="17839" xr:uid="{00000000-0005-0000-0000-0000E8D30000}"/>
    <cellStyle name="Normal 9 10 3 3 5" xfId="43508" xr:uid="{00000000-0005-0000-0000-0000E9D30000}"/>
    <cellStyle name="Normal 9 10 3 3 6" xfId="27408" xr:uid="{00000000-0005-0000-0000-0000EAD30000}"/>
    <cellStyle name="Normal 9 10 3 3 7" xfId="14344" xr:uid="{00000000-0005-0000-0000-0000EBD30000}"/>
    <cellStyle name="Normal 9 10 3 4" xfId="7260" xr:uid="{00000000-0005-0000-0000-0000ECD30000}"/>
    <cellStyle name="Normal 9 10 3 4 2" xfId="39001" xr:uid="{00000000-0005-0000-0000-0000EDD30000}"/>
    <cellStyle name="Normal 9 10 3 4 2 2" xfId="55101" xr:uid="{00000000-0005-0000-0000-0000EED30000}"/>
    <cellStyle name="Normal 9 10 3 4 3" xfId="45534" xr:uid="{00000000-0005-0000-0000-0000EFD30000}"/>
    <cellStyle name="Normal 9 10 3 4 4" xfId="29434" xr:uid="{00000000-0005-0000-0000-0000F0D30000}"/>
    <cellStyle name="Normal 9 10 3 4 5" xfId="19865" xr:uid="{00000000-0005-0000-0000-0000F1D30000}"/>
    <cellStyle name="Normal 9 10 3 5" xfId="10296" xr:uid="{00000000-0005-0000-0000-0000F2D30000}"/>
    <cellStyle name="Normal 9 10 3 5 2" xfId="48570" xr:uid="{00000000-0005-0000-0000-0000F3D30000}"/>
    <cellStyle name="Normal 9 10 3 5 3" xfId="32470" xr:uid="{00000000-0005-0000-0000-0000F4D30000}"/>
    <cellStyle name="Normal 9 10 3 5 4" xfId="22901" xr:uid="{00000000-0005-0000-0000-0000F5D30000}"/>
    <cellStyle name="Normal 9 10 3 6" xfId="4224" xr:uid="{00000000-0005-0000-0000-0000F6D30000}"/>
    <cellStyle name="Normal 9 10 3 6 2" xfId="52065" xr:uid="{00000000-0005-0000-0000-0000F7D30000}"/>
    <cellStyle name="Normal 9 10 3 6 3" xfId="35965" xr:uid="{00000000-0005-0000-0000-0000F8D30000}"/>
    <cellStyle name="Normal 9 10 3 6 4" xfId="16829" xr:uid="{00000000-0005-0000-0000-0000F9D30000}"/>
    <cellStyle name="Normal 9 10 3 7" xfId="42498" xr:uid="{00000000-0005-0000-0000-0000FAD30000}"/>
    <cellStyle name="Normal 9 10 3 8" xfId="26398" xr:uid="{00000000-0005-0000-0000-0000FBD30000}"/>
    <cellStyle name="Normal 9 10 3 9" xfId="13334" xr:uid="{00000000-0005-0000-0000-0000FCD30000}"/>
    <cellStyle name="Normal 9 10 4" xfId="2526" xr:uid="{00000000-0005-0000-0000-0000FDD30000}"/>
    <cellStyle name="Normal 9 10 4 2" xfId="9058" xr:uid="{00000000-0005-0000-0000-0000FED30000}"/>
    <cellStyle name="Normal 9 10 4 2 2" xfId="40799" xr:uid="{00000000-0005-0000-0000-0000FFD30000}"/>
    <cellStyle name="Normal 9 10 4 2 2 2" xfId="56899" xr:uid="{00000000-0005-0000-0000-000000D40000}"/>
    <cellStyle name="Normal 9 10 4 2 3" xfId="47332" xr:uid="{00000000-0005-0000-0000-000001D40000}"/>
    <cellStyle name="Normal 9 10 4 2 4" xfId="31232" xr:uid="{00000000-0005-0000-0000-000002D40000}"/>
    <cellStyle name="Normal 9 10 4 2 5" xfId="21663" xr:uid="{00000000-0005-0000-0000-000003D40000}"/>
    <cellStyle name="Normal 9 10 4 3" xfId="12094" xr:uid="{00000000-0005-0000-0000-000004D40000}"/>
    <cellStyle name="Normal 9 10 4 3 2" xfId="50368" xr:uid="{00000000-0005-0000-0000-000005D40000}"/>
    <cellStyle name="Normal 9 10 4 3 3" xfId="34268" xr:uid="{00000000-0005-0000-0000-000006D40000}"/>
    <cellStyle name="Normal 9 10 4 3 4" xfId="24699" xr:uid="{00000000-0005-0000-0000-000007D40000}"/>
    <cellStyle name="Normal 9 10 4 4" xfId="6022" xr:uid="{00000000-0005-0000-0000-000008D40000}"/>
    <cellStyle name="Normal 9 10 4 4 2" xfId="53863" xr:uid="{00000000-0005-0000-0000-000009D40000}"/>
    <cellStyle name="Normal 9 10 4 4 3" xfId="37763" xr:uid="{00000000-0005-0000-0000-00000AD40000}"/>
    <cellStyle name="Normal 9 10 4 4 4" xfId="18627" xr:uid="{00000000-0005-0000-0000-00000BD40000}"/>
    <cellStyle name="Normal 9 10 4 5" xfId="44296" xr:uid="{00000000-0005-0000-0000-00000CD40000}"/>
    <cellStyle name="Normal 9 10 4 6" xfId="28196" xr:uid="{00000000-0005-0000-0000-00000DD40000}"/>
    <cellStyle name="Normal 9 10 4 7" xfId="15132" xr:uid="{00000000-0005-0000-0000-00000ED40000}"/>
    <cellStyle name="Normal 9 10 5" xfId="1275" xr:uid="{00000000-0005-0000-0000-00000FD40000}"/>
    <cellStyle name="Normal 9 10 5 2" xfId="7809" xr:uid="{00000000-0005-0000-0000-000010D40000}"/>
    <cellStyle name="Normal 9 10 5 2 2" xfId="39550" xr:uid="{00000000-0005-0000-0000-000011D40000}"/>
    <cellStyle name="Normal 9 10 5 2 2 2" xfId="55650" xr:uid="{00000000-0005-0000-0000-000012D40000}"/>
    <cellStyle name="Normal 9 10 5 2 3" xfId="46083" xr:uid="{00000000-0005-0000-0000-000013D40000}"/>
    <cellStyle name="Normal 9 10 5 2 4" xfId="29983" xr:uid="{00000000-0005-0000-0000-000014D40000}"/>
    <cellStyle name="Normal 9 10 5 2 5" xfId="20414" xr:uid="{00000000-0005-0000-0000-000015D40000}"/>
    <cellStyle name="Normal 9 10 5 3" xfId="10845" xr:uid="{00000000-0005-0000-0000-000016D40000}"/>
    <cellStyle name="Normal 9 10 5 3 2" xfId="49119" xr:uid="{00000000-0005-0000-0000-000017D40000}"/>
    <cellStyle name="Normal 9 10 5 3 3" xfId="33019" xr:uid="{00000000-0005-0000-0000-000018D40000}"/>
    <cellStyle name="Normal 9 10 5 3 4" xfId="23450" xr:uid="{00000000-0005-0000-0000-000019D40000}"/>
    <cellStyle name="Normal 9 10 5 4" xfId="4773" xr:uid="{00000000-0005-0000-0000-00001AD40000}"/>
    <cellStyle name="Normal 9 10 5 4 2" xfId="52614" xr:uid="{00000000-0005-0000-0000-00001BD40000}"/>
    <cellStyle name="Normal 9 10 5 4 3" xfId="36514" xr:uid="{00000000-0005-0000-0000-00001CD40000}"/>
    <cellStyle name="Normal 9 10 5 4 4" xfId="17378" xr:uid="{00000000-0005-0000-0000-00001DD40000}"/>
    <cellStyle name="Normal 9 10 5 5" xfId="43047" xr:uid="{00000000-0005-0000-0000-00001ED40000}"/>
    <cellStyle name="Normal 9 10 5 6" xfId="26947" xr:uid="{00000000-0005-0000-0000-00001FD40000}"/>
    <cellStyle name="Normal 9 10 5 7" xfId="13883" xr:uid="{00000000-0005-0000-0000-000020D40000}"/>
    <cellStyle name="Normal 9 10 6" xfId="3763" xr:uid="{00000000-0005-0000-0000-000021D40000}"/>
    <cellStyle name="Normal 9 10 6 2" xfId="35504" xr:uid="{00000000-0005-0000-0000-000022D40000}"/>
    <cellStyle name="Normal 9 10 6 2 2" xfId="51604" xr:uid="{00000000-0005-0000-0000-000023D40000}"/>
    <cellStyle name="Normal 9 10 6 3" xfId="42037" xr:uid="{00000000-0005-0000-0000-000024D40000}"/>
    <cellStyle name="Normal 9 10 6 4" xfId="25937" xr:uid="{00000000-0005-0000-0000-000025D40000}"/>
    <cellStyle name="Normal 9 10 6 5" xfId="16368" xr:uid="{00000000-0005-0000-0000-000026D40000}"/>
    <cellStyle name="Normal 9 10 7" xfId="6799" xr:uid="{00000000-0005-0000-0000-000027D40000}"/>
    <cellStyle name="Normal 9 10 7 2" xfId="38540" xr:uid="{00000000-0005-0000-0000-000028D40000}"/>
    <cellStyle name="Normal 9 10 7 2 2" xfId="54640" xr:uid="{00000000-0005-0000-0000-000029D40000}"/>
    <cellStyle name="Normal 9 10 7 3" xfId="45073" xr:uid="{00000000-0005-0000-0000-00002AD40000}"/>
    <cellStyle name="Normal 9 10 7 4" xfId="28973" xr:uid="{00000000-0005-0000-0000-00002BD40000}"/>
    <cellStyle name="Normal 9 10 7 5" xfId="19404" xr:uid="{00000000-0005-0000-0000-00002CD40000}"/>
    <cellStyle name="Normal 9 10 8" xfId="9835" xr:uid="{00000000-0005-0000-0000-00002DD40000}"/>
    <cellStyle name="Normal 9 10 8 2" xfId="48109" xr:uid="{00000000-0005-0000-0000-00002ED40000}"/>
    <cellStyle name="Normal 9 10 8 3" xfId="32009" xr:uid="{00000000-0005-0000-0000-00002FD40000}"/>
    <cellStyle name="Normal 9 10 8 4" xfId="22440" xr:uid="{00000000-0005-0000-0000-000030D40000}"/>
    <cellStyle name="Normal 9 10 9" xfId="3303" xr:uid="{00000000-0005-0000-0000-000031D40000}"/>
    <cellStyle name="Normal 9 10 9 2" xfId="51145" xr:uid="{00000000-0005-0000-0000-000032D40000}"/>
    <cellStyle name="Normal 9 10 9 3" xfId="35045" xr:uid="{00000000-0005-0000-0000-000033D40000}"/>
    <cellStyle name="Normal 9 10 9 4" xfId="15909" xr:uid="{00000000-0005-0000-0000-000034D40000}"/>
    <cellStyle name="Normal 9 11" xfId="438" xr:uid="{00000000-0005-0000-0000-000035D40000}"/>
    <cellStyle name="Normal 9 11 10" xfId="41425" xr:uid="{00000000-0005-0000-0000-000036D40000}"/>
    <cellStyle name="Normal 9 11 11" xfId="25325" xr:uid="{00000000-0005-0000-0000-000037D40000}"/>
    <cellStyle name="Normal 9 11 12" xfId="12720" xr:uid="{00000000-0005-0000-0000-000038D40000}"/>
    <cellStyle name="Normal 9 11 2" xfId="795" xr:uid="{00000000-0005-0000-0000-000039D40000}"/>
    <cellStyle name="Normal 9 11 2 10" xfId="13403" xr:uid="{00000000-0005-0000-0000-00003AD40000}"/>
    <cellStyle name="Normal 9 11 2 2" xfId="2823" xr:uid="{00000000-0005-0000-0000-00003BD40000}"/>
    <cellStyle name="Normal 9 11 2 2 2" xfId="9355" xr:uid="{00000000-0005-0000-0000-00003CD40000}"/>
    <cellStyle name="Normal 9 11 2 2 2 2" xfId="41096" xr:uid="{00000000-0005-0000-0000-00003DD40000}"/>
    <cellStyle name="Normal 9 11 2 2 2 2 2" xfId="57196" xr:uid="{00000000-0005-0000-0000-00003ED40000}"/>
    <cellStyle name="Normal 9 11 2 2 2 3" xfId="47629" xr:uid="{00000000-0005-0000-0000-00003FD40000}"/>
    <cellStyle name="Normal 9 11 2 2 2 4" xfId="31529" xr:uid="{00000000-0005-0000-0000-000040D40000}"/>
    <cellStyle name="Normal 9 11 2 2 2 5" xfId="21960" xr:uid="{00000000-0005-0000-0000-000041D40000}"/>
    <cellStyle name="Normal 9 11 2 2 3" xfId="12391" xr:uid="{00000000-0005-0000-0000-000042D40000}"/>
    <cellStyle name="Normal 9 11 2 2 3 2" xfId="50665" xr:uid="{00000000-0005-0000-0000-000043D40000}"/>
    <cellStyle name="Normal 9 11 2 2 3 3" xfId="34565" xr:uid="{00000000-0005-0000-0000-000044D40000}"/>
    <cellStyle name="Normal 9 11 2 2 3 4" xfId="24996" xr:uid="{00000000-0005-0000-0000-000045D40000}"/>
    <cellStyle name="Normal 9 11 2 2 4" xfId="6319" xr:uid="{00000000-0005-0000-0000-000046D40000}"/>
    <cellStyle name="Normal 9 11 2 2 4 2" xfId="54160" xr:uid="{00000000-0005-0000-0000-000047D40000}"/>
    <cellStyle name="Normal 9 11 2 2 4 3" xfId="38060" xr:uid="{00000000-0005-0000-0000-000048D40000}"/>
    <cellStyle name="Normal 9 11 2 2 4 4" xfId="18924" xr:uid="{00000000-0005-0000-0000-000049D40000}"/>
    <cellStyle name="Normal 9 11 2 2 5" xfId="44593" xr:uid="{00000000-0005-0000-0000-00004AD40000}"/>
    <cellStyle name="Normal 9 11 2 2 6" xfId="28493" xr:uid="{00000000-0005-0000-0000-00004BD40000}"/>
    <cellStyle name="Normal 9 11 2 2 7" xfId="15429" xr:uid="{00000000-0005-0000-0000-00004CD40000}"/>
    <cellStyle name="Normal 9 11 2 3" xfId="1805" xr:uid="{00000000-0005-0000-0000-00004DD40000}"/>
    <cellStyle name="Normal 9 11 2 3 2" xfId="8339" xr:uid="{00000000-0005-0000-0000-00004ED40000}"/>
    <cellStyle name="Normal 9 11 2 3 2 2" xfId="40080" xr:uid="{00000000-0005-0000-0000-00004FD40000}"/>
    <cellStyle name="Normal 9 11 2 3 2 2 2" xfId="56180" xr:uid="{00000000-0005-0000-0000-000050D40000}"/>
    <cellStyle name="Normal 9 11 2 3 2 3" xfId="46613" xr:uid="{00000000-0005-0000-0000-000051D40000}"/>
    <cellStyle name="Normal 9 11 2 3 2 4" xfId="30513" xr:uid="{00000000-0005-0000-0000-000052D40000}"/>
    <cellStyle name="Normal 9 11 2 3 2 5" xfId="20944" xr:uid="{00000000-0005-0000-0000-000053D40000}"/>
    <cellStyle name="Normal 9 11 2 3 3" xfId="11375" xr:uid="{00000000-0005-0000-0000-000054D40000}"/>
    <cellStyle name="Normal 9 11 2 3 3 2" xfId="49649" xr:uid="{00000000-0005-0000-0000-000055D40000}"/>
    <cellStyle name="Normal 9 11 2 3 3 3" xfId="33549" xr:uid="{00000000-0005-0000-0000-000056D40000}"/>
    <cellStyle name="Normal 9 11 2 3 3 4" xfId="23980" xr:uid="{00000000-0005-0000-0000-000057D40000}"/>
    <cellStyle name="Normal 9 11 2 3 4" xfId="5303" xr:uid="{00000000-0005-0000-0000-000058D40000}"/>
    <cellStyle name="Normal 9 11 2 3 4 2" xfId="53144" xr:uid="{00000000-0005-0000-0000-000059D40000}"/>
    <cellStyle name="Normal 9 11 2 3 4 3" xfId="37044" xr:uid="{00000000-0005-0000-0000-00005AD40000}"/>
    <cellStyle name="Normal 9 11 2 3 4 4" xfId="17908" xr:uid="{00000000-0005-0000-0000-00005BD40000}"/>
    <cellStyle name="Normal 9 11 2 3 5" xfId="43577" xr:uid="{00000000-0005-0000-0000-00005CD40000}"/>
    <cellStyle name="Normal 9 11 2 3 6" xfId="27477" xr:uid="{00000000-0005-0000-0000-00005DD40000}"/>
    <cellStyle name="Normal 9 11 2 3 7" xfId="14413" xr:uid="{00000000-0005-0000-0000-00005ED40000}"/>
    <cellStyle name="Normal 9 11 2 4" xfId="4293" xr:uid="{00000000-0005-0000-0000-00005FD40000}"/>
    <cellStyle name="Normal 9 11 2 4 2" xfId="36034" xr:uid="{00000000-0005-0000-0000-000060D40000}"/>
    <cellStyle name="Normal 9 11 2 4 2 2" xfId="52134" xr:uid="{00000000-0005-0000-0000-000061D40000}"/>
    <cellStyle name="Normal 9 11 2 4 3" xfId="42567" xr:uid="{00000000-0005-0000-0000-000062D40000}"/>
    <cellStyle name="Normal 9 11 2 4 4" xfId="26467" xr:uid="{00000000-0005-0000-0000-000063D40000}"/>
    <cellStyle name="Normal 9 11 2 4 5" xfId="16898" xr:uid="{00000000-0005-0000-0000-000064D40000}"/>
    <cellStyle name="Normal 9 11 2 5" xfId="7329" xr:uid="{00000000-0005-0000-0000-000065D40000}"/>
    <cellStyle name="Normal 9 11 2 5 2" xfId="39070" xr:uid="{00000000-0005-0000-0000-000066D40000}"/>
    <cellStyle name="Normal 9 11 2 5 2 2" xfId="55170" xr:uid="{00000000-0005-0000-0000-000067D40000}"/>
    <cellStyle name="Normal 9 11 2 5 3" xfId="45603" xr:uid="{00000000-0005-0000-0000-000068D40000}"/>
    <cellStyle name="Normal 9 11 2 5 4" xfId="29503" xr:uid="{00000000-0005-0000-0000-000069D40000}"/>
    <cellStyle name="Normal 9 11 2 5 5" xfId="19934" xr:uid="{00000000-0005-0000-0000-00006AD40000}"/>
    <cellStyle name="Normal 9 11 2 6" xfId="10365" xr:uid="{00000000-0005-0000-0000-00006BD40000}"/>
    <cellStyle name="Normal 9 11 2 6 2" xfId="48639" xr:uid="{00000000-0005-0000-0000-00006CD40000}"/>
    <cellStyle name="Normal 9 11 2 6 3" xfId="32539" xr:uid="{00000000-0005-0000-0000-00006DD40000}"/>
    <cellStyle name="Normal 9 11 2 6 4" xfId="22970" xr:uid="{00000000-0005-0000-0000-00006ED40000}"/>
    <cellStyle name="Normal 9 11 2 7" xfId="3388" xr:uid="{00000000-0005-0000-0000-00006FD40000}"/>
    <cellStyle name="Normal 9 11 2 7 2" xfId="51229" xr:uid="{00000000-0005-0000-0000-000070D40000}"/>
    <cellStyle name="Normal 9 11 2 7 3" xfId="35129" xr:uid="{00000000-0005-0000-0000-000071D40000}"/>
    <cellStyle name="Normal 9 11 2 7 4" xfId="15993" xr:uid="{00000000-0005-0000-0000-000072D40000}"/>
    <cellStyle name="Normal 9 11 2 8" xfId="41662" xr:uid="{00000000-0005-0000-0000-000073D40000}"/>
    <cellStyle name="Normal 9 11 2 9" xfId="25562" xr:uid="{00000000-0005-0000-0000-000074D40000}"/>
    <cellStyle name="Normal 9 11 3" xfId="653" xr:uid="{00000000-0005-0000-0000-000075D40000}"/>
    <cellStyle name="Normal 9 11 3 2" xfId="2681" xr:uid="{00000000-0005-0000-0000-000076D40000}"/>
    <cellStyle name="Normal 9 11 3 2 2" xfId="9213" xr:uid="{00000000-0005-0000-0000-000077D40000}"/>
    <cellStyle name="Normal 9 11 3 2 2 2" xfId="40954" xr:uid="{00000000-0005-0000-0000-000078D40000}"/>
    <cellStyle name="Normal 9 11 3 2 2 2 2" xfId="57054" xr:uid="{00000000-0005-0000-0000-000079D40000}"/>
    <cellStyle name="Normal 9 11 3 2 2 3" xfId="47487" xr:uid="{00000000-0005-0000-0000-00007AD40000}"/>
    <cellStyle name="Normal 9 11 3 2 2 4" xfId="31387" xr:uid="{00000000-0005-0000-0000-00007BD40000}"/>
    <cellStyle name="Normal 9 11 3 2 2 5" xfId="21818" xr:uid="{00000000-0005-0000-0000-00007CD40000}"/>
    <cellStyle name="Normal 9 11 3 2 3" xfId="12249" xr:uid="{00000000-0005-0000-0000-00007DD40000}"/>
    <cellStyle name="Normal 9 11 3 2 3 2" xfId="50523" xr:uid="{00000000-0005-0000-0000-00007ED40000}"/>
    <cellStyle name="Normal 9 11 3 2 3 3" xfId="34423" xr:uid="{00000000-0005-0000-0000-00007FD40000}"/>
    <cellStyle name="Normal 9 11 3 2 3 4" xfId="24854" xr:uid="{00000000-0005-0000-0000-000080D40000}"/>
    <cellStyle name="Normal 9 11 3 2 4" xfId="6177" xr:uid="{00000000-0005-0000-0000-000081D40000}"/>
    <cellStyle name="Normal 9 11 3 2 4 2" xfId="54018" xr:uid="{00000000-0005-0000-0000-000082D40000}"/>
    <cellStyle name="Normal 9 11 3 2 4 3" xfId="37918" xr:uid="{00000000-0005-0000-0000-000083D40000}"/>
    <cellStyle name="Normal 9 11 3 2 4 4" xfId="18782" xr:uid="{00000000-0005-0000-0000-000084D40000}"/>
    <cellStyle name="Normal 9 11 3 2 5" xfId="44451" xr:uid="{00000000-0005-0000-0000-000085D40000}"/>
    <cellStyle name="Normal 9 11 3 2 6" xfId="28351" xr:uid="{00000000-0005-0000-0000-000086D40000}"/>
    <cellStyle name="Normal 9 11 3 2 7" xfId="15287" xr:uid="{00000000-0005-0000-0000-000087D40000}"/>
    <cellStyle name="Normal 9 11 3 3" xfId="1663" xr:uid="{00000000-0005-0000-0000-000088D40000}"/>
    <cellStyle name="Normal 9 11 3 3 2" xfId="8197" xr:uid="{00000000-0005-0000-0000-000089D40000}"/>
    <cellStyle name="Normal 9 11 3 3 2 2" xfId="39938" xr:uid="{00000000-0005-0000-0000-00008AD40000}"/>
    <cellStyle name="Normal 9 11 3 3 2 2 2" xfId="56038" xr:uid="{00000000-0005-0000-0000-00008BD40000}"/>
    <cellStyle name="Normal 9 11 3 3 2 3" xfId="46471" xr:uid="{00000000-0005-0000-0000-00008CD40000}"/>
    <cellStyle name="Normal 9 11 3 3 2 4" xfId="30371" xr:uid="{00000000-0005-0000-0000-00008DD40000}"/>
    <cellStyle name="Normal 9 11 3 3 2 5" xfId="20802" xr:uid="{00000000-0005-0000-0000-00008ED40000}"/>
    <cellStyle name="Normal 9 11 3 3 3" xfId="11233" xr:uid="{00000000-0005-0000-0000-00008FD40000}"/>
    <cellStyle name="Normal 9 11 3 3 3 2" xfId="49507" xr:uid="{00000000-0005-0000-0000-000090D40000}"/>
    <cellStyle name="Normal 9 11 3 3 3 3" xfId="33407" xr:uid="{00000000-0005-0000-0000-000091D40000}"/>
    <cellStyle name="Normal 9 11 3 3 3 4" xfId="23838" xr:uid="{00000000-0005-0000-0000-000092D40000}"/>
    <cellStyle name="Normal 9 11 3 3 4" xfId="5161" xr:uid="{00000000-0005-0000-0000-000093D40000}"/>
    <cellStyle name="Normal 9 11 3 3 4 2" xfId="53002" xr:uid="{00000000-0005-0000-0000-000094D40000}"/>
    <cellStyle name="Normal 9 11 3 3 4 3" xfId="36902" xr:uid="{00000000-0005-0000-0000-000095D40000}"/>
    <cellStyle name="Normal 9 11 3 3 4 4" xfId="17766" xr:uid="{00000000-0005-0000-0000-000096D40000}"/>
    <cellStyle name="Normal 9 11 3 3 5" xfId="43435" xr:uid="{00000000-0005-0000-0000-000097D40000}"/>
    <cellStyle name="Normal 9 11 3 3 6" xfId="27335" xr:uid="{00000000-0005-0000-0000-000098D40000}"/>
    <cellStyle name="Normal 9 11 3 3 7" xfId="14271" xr:uid="{00000000-0005-0000-0000-000099D40000}"/>
    <cellStyle name="Normal 9 11 3 4" xfId="7187" xr:uid="{00000000-0005-0000-0000-00009AD40000}"/>
    <cellStyle name="Normal 9 11 3 4 2" xfId="38928" xr:uid="{00000000-0005-0000-0000-00009BD40000}"/>
    <cellStyle name="Normal 9 11 3 4 2 2" xfId="55028" xr:uid="{00000000-0005-0000-0000-00009CD40000}"/>
    <cellStyle name="Normal 9 11 3 4 3" xfId="45461" xr:uid="{00000000-0005-0000-0000-00009DD40000}"/>
    <cellStyle name="Normal 9 11 3 4 4" xfId="29361" xr:uid="{00000000-0005-0000-0000-00009ED40000}"/>
    <cellStyle name="Normal 9 11 3 4 5" xfId="19792" xr:uid="{00000000-0005-0000-0000-00009FD40000}"/>
    <cellStyle name="Normal 9 11 3 5" xfId="10223" xr:uid="{00000000-0005-0000-0000-0000A0D40000}"/>
    <cellStyle name="Normal 9 11 3 5 2" xfId="48497" xr:uid="{00000000-0005-0000-0000-0000A1D40000}"/>
    <cellStyle name="Normal 9 11 3 5 3" xfId="32397" xr:uid="{00000000-0005-0000-0000-0000A2D40000}"/>
    <cellStyle name="Normal 9 11 3 5 4" xfId="22828" xr:uid="{00000000-0005-0000-0000-0000A3D40000}"/>
    <cellStyle name="Normal 9 11 3 6" xfId="4151" xr:uid="{00000000-0005-0000-0000-0000A4D40000}"/>
    <cellStyle name="Normal 9 11 3 6 2" xfId="51992" xr:uid="{00000000-0005-0000-0000-0000A5D40000}"/>
    <cellStyle name="Normal 9 11 3 6 3" xfId="35892" xr:uid="{00000000-0005-0000-0000-0000A6D40000}"/>
    <cellStyle name="Normal 9 11 3 6 4" xfId="16756" xr:uid="{00000000-0005-0000-0000-0000A7D40000}"/>
    <cellStyle name="Normal 9 11 3 7" xfId="42425" xr:uid="{00000000-0005-0000-0000-0000A8D40000}"/>
    <cellStyle name="Normal 9 11 3 8" xfId="26325" xr:uid="{00000000-0005-0000-0000-0000A9D40000}"/>
    <cellStyle name="Normal 9 11 3 9" xfId="13261" xr:uid="{00000000-0005-0000-0000-0000AAD40000}"/>
    <cellStyle name="Normal 9 11 4" xfId="2453" xr:uid="{00000000-0005-0000-0000-0000ABD40000}"/>
    <cellStyle name="Normal 9 11 4 2" xfId="8985" xr:uid="{00000000-0005-0000-0000-0000ACD40000}"/>
    <cellStyle name="Normal 9 11 4 2 2" xfId="40726" xr:uid="{00000000-0005-0000-0000-0000ADD40000}"/>
    <cellStyle name="Normal 9 11 4 2 2 2" xfId="56826" xr:uid="{00000000-0005-0000-0000-0000AED40000}"/>
    <cellStyle name="Normal 9 11 4 2 3" xfId="47259" xr:uid="{00000000-0005-0000-0000-0000AFD40000}"/>
    <cellStyle name="Normal 9 11 4 2 4" xfId="31159" xr:uid="{00000000-0005-0000-0000-0000B0D40000}"/>
    <cellStyle name="Normal 9 11 4 2 5" xfId="21590" xr:uid="{00000000-0005-0000-0000-0000B1D40000}"/>
    <cellStyle name="Normal 9 11 4 3" xfId="12021" xr:uid="{00000000-0005-0000-0000-0000B2D40000}"/>
    <cellStyle name="Normal 9 11 4 3 2" xfId="50295" xr:uid="{00000000-0005-0000-0000-0000B3D40000}"/>
    <cellStyle name="Normal 9 11 4 3 3" xfId="34195" xr:uid="{00000000-0005-0000-0000-0000B4D40000}"/>
    <cellStyle name="Normal 9 11 4 3 4" xfId="24626" xr:uid="{00000000-0005-0000-0000-0000B5D40000}"/>
    <cellStyle name="Normal 9 11 4 4" xfId="5949" xr:uid="{00000000-0005-0000-0000-0000B6D40000}"/>
    <cellStyle name="Normal 9 11 4 4 2" xfId="53790" xr:uid="{00000000-0005-0000-0000-0000B7D40000}"/>
    <cellStyle name="Normal 9 11 4 4 3" xfId="37690" xr:uid="{00000000-0005-0000-0000-0000B8D40000}"/>
    <cellStyle name="Normal 9 11 4 4 4" xfId="18554" xr:uid="{00000000-0005-0000-0000-0000B9D40000}"/>
    <cellStyle name="Normal 9 11 4 5" xfId="44223" xr:uid="{00000000-0005-0000-0000-0000BAD40000}"/>
    <cellStyle name="Normal 9 11 4 6" xfId="28123" xr:uid="{00000000-0005-0000-0000-0000BBD40000}"/>
    <cellStyle name="Normal 9 11 4 7" xfId="15059" xr:uid="{00000000-0005-0000-0000-0000BCD40000}"/>
    <cellStyle name="Normal 9 11 5" xfId="1122" xr:uid="{00000000-0005-0000-0000-0000BDD40000}"/>
    <cellStyle name="Normal 9 11 5 2" xfId="7656" xr:uid="{00000000-0005-0000-0000-0000BED40000}"/>
    <cellStyle name="Normal 9 11 5 2 2" xfId="39397" xr:uid="{00000000-0005-0000-0000-0000BFD40000}"/>
    <cellStyle name="Normal 9 11 5 2 2 2" xfId="55497" xr:uid="{00000000-0005-0000-0000-0000C0D40000}"/>
    <cellStyle name="Normal 9 11 5 2 3" xfId="45930" xr:uid="{00000000-0005-0000-0000-0000C1D40000}"/>
    <cellStyle name="Normal 9 11 5 2 4" xfId="29830" xr:uid="{00000000-0005-0000-0000-0000C2D40000}"/>
    <cellStyle name="Normal 9 11 5 2 5" xfId="20261" xr:uid="{00000000-0005-0000-0000-0000C3D40000}"/>
    <cellStyle name="Normal 9 11 5 3" xfId="10692" xr:uid="{00000000-0005-0000-0000-0000C4D40000}"/>
    <cellStyle name="Normal 9 11 5 3 2" xfId="48966" xr:uid="{00000000-0005-0000-0000-0000C5D40000}"/>
    <cellStyle name="Normal 9 11 5 3 3" xfId="32866" xr:uid="{00000000-0005-0000-0000-0000C6D40000}"/>
    <cellStyle name="Normal 9 11 5 3 4" xfId="23297" xr:uid="{00000000-0005-0000-0000-0000C7D40000}"/>
    <cellStyle name="Normal 9 11 5 4" xfId="4620" xr:uid="{00000000-0005-0000-0000-0000C8D40000}"/>
    <cellStyle name="Normal 9 11 5 4 2" xfId="52461" xr:uid="{00000000-0005-0000-0000-0000C9D40000}"/>
    <cellStyle name="Normal 9 11 5 4 3" xfId="36361" xr:uid="{00000000-0005-0000-0000-0000CAD40000}"/>
    <cellStyle name="Normal 9 11 5 4 4" xfId="17225" xr:uid="{00000000-0005-0000-0000-0000CBD40000}"/>
    <cellStyle name="Normal 9 11 5 5" xfId="42894" xr:uid="{00000000-0005-0000-0000-0000CCD40000}"/>
    <cellStyle name="Normal 9 11 5 6" xfId="26794" xr:uid="{00000000-0005-0000-0000-0000CDD40000}"/>
    <cellStyle name="Normal 9 11 5 7" xfId="13730" xr:uid="{00000000-0005-0000-0000-0000CED40000}"/>
    <cellStyle name="Normal 9 11 6" xfId="3610" xr:uid="{00000000-0005-0000-0000-0000CFD40000}"/>
    <cellStyle name="Normal 9 11 6 2" xfId="35351" xr:uid="{00000000-0005-0000-0000-0000D0D40000}"/>
    <cellStyle name="Normal 9 11 6 2 2" xfId="51451" xr:uid="{00000000-0005-0000-0000-0000D1D40000}"/>
    <cellStyle name="Normal 9 11 6 3" xfId="41884" xr:uid="{00000000-0005-0000-0000-0000D2D40000}"/>
    <cellStyle name="Normal 9 11 6 4" xfId="25784" xr:uid="{00000000-0005-0000-0000-0000D3D40000}"/>
    <cellStyle name="Normal 9 11 6 5" xfId="16215" xr:uid="{00000000-0005-0000-0000-0000D4D40000}"/>
    <cellStyle name="Normal 9 11 7" xfId="6646" xr:uid="{00000000-0005-0000-0000-0000D5D40000}"/>
    <cellStyle name="Normal 9 11 7 2" xfId="38387" xr:uid="{00000000-0005-0000-0000-0000D6D40000}"/>
    <cellStyle name="Normal 9 11 7 2 2" xfId="54487" xr:uid="{00000000-0005-0000-0000-0000D7D40000}"/>
    <cellStyle name="Normal 9 11 7 3" xfId="44920" xr:uid="{00000000-0005-0000-0000-0000D8D40000}"/>
    <cellStyle name="Normal 9 11 7 4" xfId="28820" xr:uid="{00000000-0005-0000-0000-0000D9D40000}"/>
    <cellStyle name="Normal 9 11 7 5" xfId="19251" xr:uid="{00000000-0005-0000-0000-0000DAD40000}"/>
    <cellStyle name="Normal 9 11 8" xfId="9682" xr:uid="{00000000-0005-0000-0000-0000DBD40000}"/>
    <cellStyle name="Normal 9 11 8 2" xfId="47956" xr:uid="{00000000-0005-0000-0000-0000DCD40000}"/>
    <cellStyle name="Normal 9 11 8 3" xfId="31856" xr:uid="{00000000-0005-0000-0000-0000DDD40000}"/>
    <cellStyle name="Normal 9 11 8 4" xfId="22287" xr:uid="{00000000-0005-0000-0000-0000DED40000}"/>
    <cellStyle name="Normal 9 11 9" xfId="3150" xr:uid="{00000000-0005-0000-0000-0000DFD40000}"/>
    <cellStyle name="Normal 9 11 9 2" xfId="50992" xr:uid="{00000000-0005-0000-0000-0000E0D40000}"/>
    <cellStyle name="Normal 9 11 9 3" xfId="34892" xr:uid="{00000000-0005-0000-0000-0000E1D40000}"/>
    <cellStyle name="Normal 9 11 9 4" xfId="15756" xr:uid="{00000000-0005-0000-0000-0000E2D40000}"/>
    <cellStyle name="Normal 9 12" xfId="420" xr:uid="{00000000-0005-0000-0000-0000E3D40000}"/>
    <cellStyle name="Normal 9 12 10" xfId="41408" xr:uid="{00000000-0005-0000-0000-0000E4D40000}"/>
    <cellStyle name="Normal 9 12 11" xfId="25308" xr:uid="{00000000-0005-0000-0000-0000E5D40000}"/>
    <cellStyle name="Normal 9 12 12" xfId="12703" xr:uid="{00000000-0005-0000-0000-0000E6D40000}"/>
    <cellStyle name="Normal 9 12 2" xfId="778" xr:uid="{00000000-0005-0000-0000-0000E7D40000}"/>
    <cellStyle name="Normal 9 12 2 10" xfId="13386" xr:uid="{00000000-0005-0000-0000-0000E8D40000}"/>
    <cellStyle name="Normal 9 12 2 2" xfId="2806" xr:uid="{00000000-0005-0000-0000-0000E9D40000}"/>
    <cellStyle name="Normal 9 12 2 2 2" xfId="9338" xr:uid="{00000000-0005-0000-0000-0000EAD40000}"/>
    <cellStyle name="Normal 9 12 2 2 2 2" xfId="41079" xr:uid="{00000000-0005-0000-0000-0000EBD40000}"/>
    <cellStyle name="Normal 9 12 2 2 2 2 2" xfId="57179" xr:uid="{00000000-0005-0000-0000-0000ECD40000}"/>
    <cellStyle name="Normal 9 12 2 2 2 3" xfId="47612" xr:uid="{00000000-0005-0000-0000-0000EDD40000}"/>
    <cellStyle name="Normal 9 12 2 2 2 4" xfId="31512" xr:uid="{00000000-0005-0000-0000-0000EED40000}"/>
    <cellStyle name="Normal 9 12 2 2 2 5" xfId="21943" xr:uid="{00000000-0005-0000-0000-0000EFD40000}"/>
    <cellStyle name="Normal 9 12 2 2 3" xfId="12374" xr:uid="{00000000-0005-0000-0000-0000F0D40000}"/>
    <cellStyle name="Normal 9 12 2 2 3 2" xfId="50648" xr:uid="{00000000-0005-0000-0000-0000F1D40000}"/>
    <cellStyle name="Normal 9 12 2 2 3 3" xfId="34548" xr:uid="{00000000-0005-0000-0000-0000F2D40000}"/>
    <cellStyle name="Normal 9 12 2 2 3 4" xfId="24979" xr:uid="{00000000-0005-0000-0000-0000F3D40000}"/>
    <cellStyle name="Normal 9 12 2 2 4" xfId="6302" xr:uid="{00000000-0005-0000-0000-0000F4D40000}"/>
    <cellStyle name="Normal 9 12 2 2 4 2" xfId="54143" xr:uid="{00000000-0005-0000-0000-0000F5D40000}"/>
    <cellStyle name="Normal 9 12 2 2 4 3" xfId="38043" xr:uid="{00000000-0005-0000-0000-0000F6D40000}"/>
    <cellStyle name="Normal 9 12 2 2 4 4" xfId="18907" xr:uid="{00000000-0005-0000-0000-0000F7D40000}"/>
    <cellStyle name="Normal 9 12 2 2 5" xfId="44576" xr:uid="{00000000-0005-0000-0000-0000F8D40000}"/>
    <cellStyle name="Normal 9 12 2 2 6" xfId="28476" xr:uid="{00000000-0005-0000-0000-0000F9D40000}"/>
    <cellStyle name="Normal 9 12 2 2 7" xfId="15412" xr:uid="{00000000-0005-0000-0000-0000FAD40000}"/>
    <cellStyle name="Normal 9 12 2 3" xfId="1788" xr:uid="{00000000-0005-0000-0000-0000FBD40000}"/>
    <cellStyle name="Normal 9 12 2 3 2" xfId="8322" xr:uid="{00000000-0005-0000-0000-0000FCD40000}"/>
    <cellStyle name="Normal 9 12 2 3 2 2" xfId="40063" xr:uid="{00000000-0005-0000-0000-0000FDD40000}"/>
    <cellStyle name="Normal 9 12 2 3 2 2 2" xfId="56163" xr:uid="{00000000-0005-0000-0000-0000FED40000}"/>
    <cellStyle name="Normal 9 12 2 3 2 3" xfId="46596" xr:uid="{00000000-0005-0000-0000-0000FFD40000}"/>
    <cellStyle name="Normal 9 12 2 3 2 4" xfId="30496" xr:uid="{00000000-0005-0000-0000-000000D50000}"/>
    <cellStyle name="Normal 9 12 2 3 2 5" xfId="20927" xr:uid="{00000000-0005-0000-0000-000001D50000}"/>
    <cellStyle name="Normal 9 12 2 3 3" xfId="11358" xr:uid="{00000000-0005-0000-0000-000002D50000}"/>
    <cellStyle name="Normal 9 12 2 3 3 2" xfId="49632" xr:uid="{00000000-0005-0000-0000-000003D50000}"/>
    <cellStyle name="Normal 9 12 2 3 3 3" xfId="33532" xr:uid="{00000000-0005-0000-0000-000004D50000}"/>
    <cellStyle name="Normal 9 12 2 3 3 4" xfId="23963" xr:uid="{00000000-0005-0000-0000-000005D50000}"/>
    <cellStyle name="Normal 9 12 2 3 4" xfId="5286" xr:uid="{00000000-0005-0000-0000-000006D50000}"/>
    <cellStyle name="Normal 9 12 2 3 4 2" xfId="53127" xr:uid="{00000000-0005-0000-0000-000007D50000}"/>
    <cellStyle name="Normal 9 12 2 3 4 3" xfId="37027" xr:uid="{00000000-0005-0000-0000-000008D50000}"/>
    <cellStyle name="Normal 9 12 2 3 4 4" xfId="17891" xr:uid="{00000000-0005-0000-0000-000009D50000}"/>
    <cellStyle name="Normal 9 12 2 3 5" xfId="43560" xr:uid="{00000000-0005-0000-0000-00000AD50000}"/>
    <cellStyle name="Normal 9 12 2 3 6" xfId="27460" xr:uid="{00000000-0005-0000-0000-00000BD50000}"/>
    <cellStyle name="Normal 9 12 2 3 7" xfId="14396" xr:uid="{00000000-0005-0000-0000-00000CD50000}"/>
    <cellStyle name="Normal 9 12 2 4" xfId="4276" xr:uid="{00000000-0005-0000-0000-00000DD50000}"/>
    <cellStyle name="Normal 9 12 2 4 2" xfId="36017" xr:uid="{00000000-0005-0000-0000-00000ED50000}"/>
    <cellStyle name="Normal 9 12 2 4 2 2" xfId="52117" xr:uid="{00000000-0005-0000-0000-00000FD50000}"/>
    <cellStyle name="Normal 9 12 2 4 3" xfId="42550" xr:uid="{00000000-0005-0000-0000-000010D50000}"/>
    <cellStyle name="Normal 9 12 2 4 4" xfId="26450" xr:uid="{00000000-0005-0000-0000-000011D50000}"/>
    <cellStyle name="Normal 9 12 2 4 5" xfId="16881" xr:uid="{00000000-0005-0000-0000-000012D50000}"/>
    <cellStyle name="Normal 9 12 2 5" xfId="7312" xr:uid="{00000000-0005-0000-0000-000013D50000}"/>
    <cellStyle name="Normal 9 12 2 5 2" xfId="39053" xr:uid="{00000000-0005-0000-0000-000014D50000}"/>
    <cellStyle name="Normal 9 12 2 5 2 2" xfId="55153" xr:uid="{00000000-0005-0000-0000-000015D50000}"/>
    <cellStyle name="Normal 9 12 2 5 3" xfId="45586" xr:uid="{00000000-0005-0000-0000-000016D50000}"/>
    <cellStyle name="Normal 9 12 2 5 4" xfId="29486" xr:uid="{00000000-0005-0000-0000-000017D50000}"/>
    <cellStyle name="Normal 9 12 2 5 5" xfId="19917" xr:uid="{00000000-0005-0000-0000-000018D50000}"/>
    <cellStyle name="Normal 9 12 2 6" xfId="10348" xr:uid="{00000000-0005-0000-0000-000019D50000}"/>
    <cellStyle name="Normal 9 12 2 6 2" xfId="48622" xr:uid="{00000000-0005-0000-0000-00001AD50000}"/>
    <cellStyle name="Normal 9 12 2 6 3" xfId="32522" xr:uid="{00000000-0005-0000-0000-00001BD50000}"/>
    <cellStyle name="Normal 9 12 2 6 4" xfId="22953" xr:uid="{00000000-0005-0000-0000-00001CD50000}"/>
    <cellStyle name="Normal 9 12 2 7" xfId="3371" xr:uid="{00000000-0005-0000-0000-00001DD50000}"/>
    <cellStyle name="Normal 9 12 2 7 2" xfId="51212" xr:uid="{00000000-0005-0000-0000-00001ED50000}"/>
    <cellStyle name="Normal 9 12 2 7 3" xfId="35112" xr:uid="{00000000-0005-0000-0000-00001FD50000}"/>
    <cellStyle name="Normal 9 12 2 7 4" xfId="15976" xr:uid="{00000000-0005-0000-0000-000020D50000}"/>
    <cellStyle name="Normal 9 12 2 8" xfId="41645" xr:uid="{00000000-0005-0000-0000-000021D50000}"/>
    <cellStyle name="Normal 9 12 2 9" xfId="25545" xr:uid="{00000000-0005-0000-0000-000022D50000}"/>
    <cellStyle name="Normal 9 12 3" xfId="636" xr:uid="{00000000-0005-0000-0000-000023D50000}"/>
    <cellStyle name="Normal 9 12 3 2" xfId="2664" xr:uid="{00000000-0005-0000-0000-000024D50000}"/>
    <cellStyle name="Normal 9 12 3 2 2" xfId="9196" xr:uid="{00000000-0005-0000-0000-000025D50000}"/>
    <cellStyle name="Normal 9 12 3 2 2 2" xfId="40937" xr:uid="{00000000-0005-0000-0000-000026D50000}"/>
    <cellStyle name="Normal 9 12 3 2 2 2 2" xfId="57037" xr:uid="{00000000-0005-0000-0000-000027D50000}"/>
    <cellStyle name="Normal 9 12 3 2 2 3" xfId="47470" xr:uid="{00000000-0005-0000-0000-000028D50000}"/>
    <cellStyle name="Normal 9 12 3 2 2 4" xfId="31370" xr:uid="{00000000-0005-0000-0000-000029D50000}"/>
    <cellStyle name="Normal 9 12 3 2 2 5" xfId="21801" xr:uid="{00000000-0005-0000-0000-00002AD50000}"/>
    <cellStyle name="Normal 9 12 3 2 3" xfId="12232" xr:uid="{00000000-0005-0000-0000-00002BD50000}"/>
    <cellStyle name="Normal 9 12 3 2 3 2" xfId="50506" xr:uid="{00000000-0005-0000-0000-00002CD50000}"/>
    <cellStyle name="Normal 9 12 3 2 3 3" xfId="34406" xr:uid="{00000000-0005-0000-0000-00002DD50000}"/>
    <cellStyle name="Normal 9 12 3 2 3 4" xfId="24837" xr:uid="{00000000-0005-0000-0000-00002ED50000}"/>
    <cellStyle name="Normal 9 12 3 2 4" xfId="6160" xr:uid="{00000000-0005-0000-0000-00002FD50000}"/>
    <cellStyle name="Normal 9 12 3 2 4 2" xfId="54001" xr:uid="{00000000-0005-0000-0000-000030D50000}"/>
    <cellStyle name="Normal 9 12 3 2 4 3" xfId="37901" xr:uid="{00000000-0005-0000-0000-000031D50000}"/>
    <cellStyle name="Normal 9 12 3 2 4 4" xfId="18765" xr:uid="{00000000-0005-0000-0000-000032D50000}"/>
    <cellStyle name="Normal 9 12 3 2 5" xfId="44434" xr:uid="{00000000-0005-0000-0000-000033D50000}"/>
    <cellStyle name="Normal 9 12 3 2 6" xfId="28334" xr:uid="{00000000-0005-0000-0000-000034D50000}"/>
    <cellStyle name="Normal 9 12 3 2 7" xfId="15270" xr:uid="{00000000-0005-0000-0000-000035D50000}"/>
    <cellStyle name="Normal 9 12 3 3" xfId="1646" xr:uid="{00000000-0005-0000-0000-000036D50000}"/>
    <cellStyle name="Normal 9 12 3 3 2" xfId="8180" xr:uid="{00000000-0005-0000-0000-000037D50000}"/>
    <cellStyle name="Normal 9 12 3 3 2 2" xfId="39921" xr:uid="{00000000-0005-0000-0000-000038D50000}"/>
    <cellStyle name="Normal 9 12 3 3 2 2 2" xfId="56021" xr:uid="{00000000-0005-0000-0000-000039D50000}"/>
    <cellStyle name="Normal 9 12 3 3 2 3" xfId="46454" xr:uid="{00000000-0005-0000-0000-00003AD50000}"/>
    <cellStyle name="Normal 9 12 3 3 2 4" xfId="30354" xr:uid="{00000000-0005-0000-0000-00003BD50000}"/>
    <cellStyle name="Normal 9 12 3 3 2 5" xfId="20785" xr:uid="{00000000-0005-0000-0000-00003CD50000}"/>
    <cellStyle name="Normal 9 12 3 3 3" xfId="11216" xr:uid="{00000000-0005-0000-0000-00003DD50000}"/>
    <cellStyle name="Normal 9 12 3 3 3 2" xfId="49490" xr:uid="{00000000-0005-0000-0000-00003ED50000}"/>
    <cellStyle name="Normal 9 12 3 3 3 3" xfId="33390" xr:uid="{00000000-0005-0000-0000-00003FD50000}"/>
    <cellStyle name="Normal 9 12 3 3 3 4" xfId="23821" xr:uid="{00000000-0005-0000-0000-000040D50000}"/>
    <cellStyle name="Normal 9 12 3 3 4" xfId="5144" xr:uid="{00000000-0005-0000-0000-000041D50000}"/>
    <cellStyle name="Normal 9 12 3 3 4 2" xfId="52985" xr:uid="{00000000-0005-0000-0000-000042D50000}"/>
    <cellStyle name="Normal 9 12 3 3 4 3" xfId="36885" xr:uid="{00000000-0005-0000-0000-000043D50000}"/>
    <cellStyle name="Normal 9 12 3 3 4 4" xfId="17749" xr:uid="{00000000-0005-0000-0000-000044D50000}"/>
    <cellStyle name="Normal 9 12 3 3 5" xfId="43418" xr:uid="{00000000-0005-0000-0000-000045D50000}"/>
    <cellStyle name="Normal 9 12 3 3 6" xfId="27318" xr:uid="{00000000-0005-0000-0000-000046D50000}"/>
    <cellStyle name="Normal 9 12 3 3 7" xfId="14254" xr:uid="{00000000-0005-0000-0000-000047D50000}"/>
    <cellStyle name="Normal 9 12 3 4" xfId="7170" xr:uid="{00000000-0005-0000-0000-000048D50000}"/>
    <cellStyle name="Normal 9 12 3 4 2" xfId="38911" xr:uid="{00000000-0005-0000-0000-000049D50000}"/>
    <cellStyle name="Normal 9 12 3 4 2 2" xfId="55011" xr:uid="{00000000-0005-0000-0000-00004AD50000}"/>
    <cellStyle name="Normal 9 12 3 4 3" xfId="45444" xr:uid="{00000000-0005-0000-0000-00004BD50000}"/>
    <cellStyle name="Normal 9 12 3 4 4" xfId="29344" xr:uid="{00000000-0005-0000-0000-00004CD50000}"/>
    <cellStyle name="Normal 9 12 3 4 5" xfId="19775" xr:uid="{00000000-0005-0000-0000-00004DD50000}"/>
    <cellStyle name="Normal 9 12 3 5" xfId="10206" xr:uid="{00000000-0005-0000-0000-00004ED50000}"/>
    <cellStyle name="Normal 9 12 3 5 2" xfId="48480" xr:uid="{00000000-0005-0000-0000-00004FD50000}"/>
    <cellStyle name="Normal 9 12 3 5 3" xfId="32380" xr:uid="{00000000-0005-0000-0000-000050D50000}"/>
    <cellStyle name="Normal 9 12 3 5 4" xfId="22811" xr:uid="{00000000-0005-0000-0000-000051D50000}"/>
    <cellStyle name="Normal 9 12 3 6" xfId="4134" xr:uid="{00000000-0005-0000-0000-000052D50000}"/>
    <cellStyle name="Normal 9 12 3 6 2" xfId="51975" xr:uid="{00000000-0005-0000-0000-000053D50000}"/>
    <cellStyle name="Normal 9 12 3 6 3" xfId="35875" xr:uid="{00000000-0005-0000-0000-000054D50000}"/>
    <cellStyle name="Normal 9 12 3 6 4" xfId="16739" xr:uid="{00000000-0005-0000-0000-000055D50000}"/>
    <cellStyle name="Normal 9 12 3 7" xfId="42408" xr:uid="{00000000-0005-0000-0000-000056D50000}"/>
    <cellStyle name="Normal 9 12 3 8" xfId="26308" xr:uid="{00000000-0005-0000-0000-000057D50000}"/>
    <cellStyle name="Normal 9 12 3 9" xfId="13244" xr:uid="{00000000-0005-0000-0000-000058D50000}"/>
    <cellStyle name="Normal 9 12 4" xfId="2436" xr:uid="{00000000-0005-0000-0000-000059D50000}"/>
    <cellStyle name="Normal 9 12 4 2" xfId="8968" xr:uid="{00000000-0005-0000-0000-00005AD50000}"/>
    <cellStyle name="Normal 9 12 4 2 2" xfId="40709" xr:uid="{00000000-0005-0000-0000-00005BD50000}"/>
    <cellStyle name="Normal 9 12 4 2 2 2" xfId="56809" xr:uid="{00000000-0005-0000-0000-00005CD50000}"/>
    <cellStyle name="Normal 9 12 4 2 3" xfId="47242" xr:uid="{00000000-0005-0000-0000-00005DD50000}"/>
    <cellStyle name="Normal 9 12 4 2 4" xfId="31142" xr:uid="{00000000-0005-0000-0000-00005ED50000}"/>
    <cellStyle name="Normal 9 12 4 2 5" xfId="21573" xr:uid="{00000000-0005-0000-0000-00005FD50000}"/>
    <cellStyle name="Normal 9 12 4 3" xfId="12004" xr:uid="{00000000-0005-0000-0000-000060D50000}"/>
    <cellStyle name="Normal 9 12 4 3 2" xfId="50278" xr:uid="{00000000-0005-0000-0000-000061D50000}"/>
    <cellStyle name="Normal 9 12 4 3 3" xfId="34178" xr:uid="{00000000-0005-0000-0000-000062D50000}"/>
    <cellStyle name="Normal 9 12 4 3 4" xfId="24609" xr:uid="{00000000-0005-0000-0000-000063D50000}"/>
    <cellStyle name="Normal 9 12 4 4" xfId="5932" xr:uid="{00000000-0005-0000-0000-000064D50000}"/>
    <cellStyle name="Normal 9 12 4 4 2" xfId="53773" xr:uid="{00000000-0005-0000-0000-000065D50000}"/>
    <cellStyle name="Normal 9 12 4 4 3" xfId="37673" xr:uid="{00000000-0005-0000-0000-000066D50000}"/>
    <cellStyle name="Normal 9 12 4 4 4" xfId="18537" xr:uid="{00000000-0005-0000-0000-000067D50000}"/>
    <cellStyle name="Normal 9 12 4 5" xfId="44206" xr:uid="{00000000-0005-0000-0000-000068D50000}"/>
    <cellStyle name="Normal 9 12 4 6" xfId="28106" xr:uid="{00000000-0005-0000-0000-000069D50000}"/>
    <cellStyle name="Normal 9 12 4 7" xfId="15042" xr:uid="{00000000-0005-0000-0000-00006AD50000}"/>
    <cellStyle name="Normal 9 12 5" xfId="1105" xr:uid="{00000000-0005-0000-0000-00006BD50000}"/>
    <cellStyle name="Normal 9 12 5 2" xfId="7639" xr:uid="{00000000-0005-0000-0000-00006CD50000}"/>
    <cellStyle name="Normal 9 12 5 2 2" xfId="39380" xr:uid="{00000000-0005-0000-0000-00006DD50000}"/>
    <cellStyle name="Normal 9 12 5 2 2 2" xfId="55480" xr:uid="{00000000-0005-0000-0000-00006ED50000}"/>
    <cellStyle name="Normal 9 12 5 2 3" xfId="45913" xr:uid="{00000000-0005-0000-0000-00006FD50000}"/>
    <cellStyle name="Normal 9 12 5 2 4" xfId="29813" xr:uid="{00000000-0005-0000-0000-000070D50000}"/>
    <cellStyle name="Normal 9 12 5 2 5" xfId="20244" xr:uid="{00000000-0005-0000-0000-000071D50000}"/>
    <cellStyle name="Normal 9 12 5 3" xfId="10675" xr:uid="{00000000-0005-0000-0000-000072D50000}"/>
    <cellStyle name="Normal 9 12 5 3 2" xfId="48949" xr:uid="{00000000-0005-0000-0000-000073D50000}"/>
    <cellStyle name="Normal 9 12 5 3 3" xfId="32849" xr:uid="{00000000-0005-0000-0000-000074D50000}"/>
    <cellStyle name="Normal 9 12 5 3 4" xfId="23280" xr:uid="{00000000-0005-0000-0000-000075D50000}"/>
    <cellStyle name="Normal 9 12 5 4" xfId="4603" xr:uid="{00000000-0005-0000-0000-000076D50000}"/>
    <cellStyle name="Normal 9 12 5 4 2" xfId="52444" xr:uid="{00000000-0005-0000-0000-000077D50000}"/>
    <cellStyle name="Normal 9 12 5 4 3" xfId="36344" xr:uid="{00000000-0005-0000-0000-000078D50000}"/>
    <cellStyle name="Normal 9 12 5 4 4" xfId="17208" xr:uid="{00000000-0005-0000-0000-000079D50000}"/>
    <cellStyle name="Normal 9 12 5 5" xfId="42877" xr:uid="{00000000-0005-0000-0000-00007AD50000}"/>
    <cellStyle name="Normal 9 12 5 6" xfId="26777" xr:uid="{00000000-0005-0000-0000-00007BD50000}"/>
    <cellStyle name="Normal 9 12 5 7" xfId="13713" xr:uid="{00000000-0005-0000-0000-00007CD50000}"/>
    <cellStyle name="Normal 9 12 6" xfId="3593" xr:uid="{00000000-0005-0000-0000-00007DD50000}"/>
    <cellStyle name="Normal 9 12 6 2" xfId="35334" xr:uid="{00000000-0005-0000-0000-00007ED50000}"/>
    <cellStyle name="Normal 9 12 6 2 2" xfId="51434" xr:uid="{00000000-0005-0000-0000-00007FD50000}"/>
    <cellStyle name="Normal 9 12 6 3" xfId="41867" xr:uid="{00000000-0005-0000-0000-000080D50000}"/>
    <cellStyle name="Normal 9 12 6 4" xfId="25767" xr:uid="{00000000-0005-0000-0000-000081D50000}"/>
    <cellStyle name="Normal 9 12 6 5" xfId="16198" xr:uid="{00000000-0005-0000-0000-000082D50000}"/>
    <cellStyle name="Normal 9 12 7" xfId="6629" xr:uid="{00000000-0005-0000-0000-000083D50000}"/>
    <cellStyle name="Normal 9 12 7 2" xfId="38370" xr:uid="{00000000-0005-0000-0000-000084D50000}"/>
    <cellStyle name="Normal 9 12 7 2 2" xfId="54470" xr:uid="{00000000-0005-0000-0000-000085D50000}"/>
    <cellStyle name="Normal 9 12 7 3" xfId="44903" xr:uid="{00000000-0005-0000-0000-000086D50000}"/>
    <cellStyle name="Normal 9 12 7 4" xfId="28803" xr:uid="{00000000-0005-0000-0000-000087D50000}"/>
    <cellStyle name="Normal 9 12 7 5" xfId="19234" xr:uid="{00000000-0005-0000-0000-000088D50000}"/>
    <cellStyle name="Normal 9 12 8" xfId="9665" xr:uid="{00000000-0005-0000-0000-000089D50000}"/>
    <cellStyle name="Normal 9 12 8 2" xfId="47939" xr:uid="{00000000-0005-0000-0000-00008AD50000}"/>
    <cellStyle name="Normal 9 12 8 3" xfId="31839" xr:uid="{00000000-0005-0000-0000-00008BD50000}"/>
    <cellStyle name="Normal 9 12 8 4" xfId="22270" xr:uid="{00000000-0005-0000-0000-00008CD50000}"/>
    <cellStyle name="Normal 9 12 9" xfId="3133" xr:uid="{00000000-0005-0000-0000-00008DD50000}"/>
    <cellStyle name="Normal 9 12 9 2" xfId="50975" xr:uid="{00000000-0005-0000-0000-00008ED50000}"/>
    <cellStyle name="Normal 9 12 9 3" xfId="34875" xr:uid="{00000000-0005-0000-0000-00008FD50000}"/>
    <cellStyle name="Normal 9 12 9 4" xfId="15739" xr:uid="{00000000-0005-0000-0000-000090D50000}"/>
    <cellStyle name="Normal 9 13" xfId="501" xr:uid="{00000000-0005-0000-0000-000091D50000}"/>
    <cellStyle name="Normal 9 13 10" xfId="25484" xr:uid="{00000000-0005-0000-0000-000092D50000}"/>
    <cellStyle name="Normal 9 13 11" xfId="12878" xr:uid="{00000000-0005-0000-0000-000093D50000}"/>
    <cellStyle name="Normal 9 13 2" xfId="953" xr:uid="{00000000-0005-0000-0000-000094D50000}"/>
    <cellStyle name="Normal 9 13 2 2" xfId="2981" xr:uid="{00000000-0005-0000-0000-000095D50000}"/>
    <cellStyle name="Normal 9 13 2 2 2" xfId="9513" xr:uid="{00000000-0005-0000-0000-000096D50000}"/>
    <cellStyle name="Normal 9 13 2 2 2 2" xfId="41254" xr:uid="{00000000-0005-0000-0000-000097D50000}"/>
    <cellStyle name="Normal 9 13 2 2 2 2 2" xfId="57354" xr:uid="{00000000-0005-0000-0000-000098D50000}"/>
    <cellStyle name="Normal 9 13 2 2 2 3" xfId="47787" xr:uid="{00000000-0005-0000-0000-000099D50000}"/>
    <cellStyle name="Normal 9 13 2 2 2 4" xfId="31687" xr:uid="{00000000-0005-0000-0000-00009AD50000}"/>
    <cellStyle name="Normal 9 13 2 2 2 5" xfId="22118" xr:uid="{00000000-0005-0000-0000-00009BD50000}"/>
    <cellStyle name="Normal 9 13 2 2 3" xfId="12549" xr:uid="{00000000-0005-0000-0000-00009CD50000}"/>
    <cellStyle name="Normal 9 13 2 2 3 2" xfId="50823" xr:uid="{00000000-0005-0000-0000-00009DD50000}"/>
    <cellStyle name="Normal 9 13 2 2 3 3" xfId="34723" xr:uid="{00000000-0005-0000-0000-00009ED50000}"/>
    <cellStyle name="Normal 9 13 2 2 3 4" xfId="25154" xr:uid="{00000000-0005-0000-0000-00009FD50000}"/>
    <cellStyle name="Normal 9 13 2 2 4" xfId="6477" xr:uid="{00000000-0005-0000-0000-0000A0D50000}"/>
    <cellStyle name="Normal 9 13 2 2 4 2" xfId="54318" xr:uid="{00000000-0005-0000-0000-0000A1D50000}"/>
    <cellStyle name="Normal 9 13 2 2 4 3" xfId="38218" xr:uid="{00000000-0005-0000-0000-0000A2D50000}"/>
    <cellStyle name="Normal 9 13 2 2 4 4" xfId="19082" xr:uid="{00000000-0005-0000-0000-0000A3D50000}"/>
    <cellStyle name="Normal 9 13 2 2 5" xfId="44751" xr:uid="{00000000-0005-0000-0000-0000A4D50000}"/>
    <cellStyle name="Normal 9 13 2 2 6" xfId="28651" xr:uid="{00000000-0005-0000-0000-0000A5D50000}"/>
    <cellStyle name="Normal 9 13 2 2 7" xfId="15587" xr:uid="{00000000-0005-0000-0000-0000A6D50000}"/>
    <cellStyle name="Normal 9 13 2 3" xfId="1963" xr:uid="{00000000-0005-0000-0000-0000A7D50000}"/>
    <cellStyle name="Normal 9 13 2 3 2" xfId="8497" xr:uid="{00000000-0005-0000-0000-0000A8D50000}"/>
    <cellStyle name="Normal 9 13 2 3 2 2" xfId="40238" xr:uid="{00000000-0005-0000-0000-0000A9D50000}"/>
    <cellStyle name="Normal 9 13 2 3 2 2 2" xfId="56338" xr:uid="{00000000-0005-0000-0000-0000AAD50000}"/>
    <cellStyle name="Normal 9 13 2 3 2 3" xfId="46771" xr:uid="{00000000-0005-0000-0000-0000ABD50000}"/>
    <cellStyle name="Normal 9 13 2 3 2 4" xfId="30671" xr:uid="{00000000-0005-0000-0000-0000ACD50000}"/>
    <cellStyle name="Normal 9 13 2 3 2 5" xfId="21102" xr:uid="{00000000-0005-0000-0000-0000ADD50000}"/>
    <cellStyle name="Normal 9 13 2 3 3" xfId="11533" xr:uid="{00000000-0005-0000-0000-0000AED50000}"/>
    <cellStyle name="Normal 9 13 2 3 3 2" xfId="49807" xr:uid="{00000000-0005-0000-0000-0000AFD50000}"/>
    <cellStyle name="Normal 9 13 2 3 3 3" xfId="33707" xr:uid="{00000000-0005-0000-0000-0000B0D50000}"/>
    <cellStyle name="Normal 9 13 2 3 3 4" xfId="24138" xr:uid="{00000000-0005-0000-0000-0000B1D50000}"/>
    <cellStyle name="Normal 9 13 2 3 4" xfId="5461" xr:uid="{00000000-0005-0000-0000-0000B2D50000}"/>
    <cellStyle name="Normal 9 13 2 3 4 2" xfId="53302" xr:uid="{00000000-0005-0000-0000-0000B3D50000}"/>
    <cellStyle name="Normal 9 13 2 3 4 3" xfId="37202" xr:uid="{00000000-0005-0000-0000-0000B4D50000}"/>
    <cellStyle name="Normal 9 13 2 3 4 4" xfId="18066" xr:uid="{00000000-0005-0000-0000-0000B5D50000}"/>
    <cellStyle name="Normal 9 13 2 3 5" xfId="43735" xr:uid="{00000000-0005-0000-0000-0000B6D50000}"/>
    <cellStyle name="Normal 9 13 2 3 6" xfId="27635" xr:uid="{00000000-0005-0000-0000-0000B7D50000}"/>
    <cellStyle name="Normal 9 13 2 3 7" xfId="14571" xr:uid="{00000000-0005-0000-0000-0000B8D50000}"/>
    <cellStyle name="Normal 9 13 2 4" xfId="7487" xr:uid="{00000000-0005-0000-0000-0000B9D50000}"/>
    <cellStyle name="Normal 9 13 2 4 2" xfId="39228" xr:uid="{00000000-0005-0000-0000-0000BAD50000}"/>
    <cellStyle name="Normal 9 13 2 4 2 2" xfId="55328" xr:uid="{00000000-0005-0000-0000-0000BBD50000}"/>
    <cellStyle name="Normal 9 13 2 4 3" xfId="45761" xr:uid="{00000000-0005-0000-0000-0000BCD50000}"/>
    <cellStyle name="Normal 9 13 2 4 4" xfId="29661" xr:uid="{00000000-0005-0000-0000-0000BDD50000}"/>
    <cellStyle name="Normal 9 13 2 4 5" xfId="20092" xr:uid="{00000000-0005-0000-0000-0000BED50000}"/>
    <cellStyle name="Normal 9 13 2 5" xfId="10523" xr:uid="{00000000-0005-0000-0000-0000BFD50000}"/>
    <cellStyle name="Normal 9 13 2 5 2" xfId="48797" xr:uid="{00000000-0005-0000-0000-0000C0D50000}"/>
    <cellStyle name="Normal 9 13 2 5 3" xfId="32697" xr:uid="{00000000-0005-0000-0000-0000C1D50000}"/>
    <cellStyle name="Normal 9 13 2 5 4" xfId="23128" xr:uid="{00000000-0005-0000-0000-0000C2D50000}"/>
    <cellStyle name="Normal 9 13 2 6" xfId="4451" xr:uid="{00000000-0005-0000-0000-0000C3D50000}"/>
    <cellStyle name="Normal 9 13 2 6 2" xfId="52292" xr:uid="{00000000-0005-0000-0000-0000C4D50000}"/>
    <cellStyle name="Normal 9 13 2 6 3" xfId="36192" xr:uid="{00000000-0005-0000-0000-0000C5D50000}"/>
    <cellStyle name="Normal 9 13 2 6 4" xfId="17056" xr:uid="{00000000-0005-0000-0000-0000C6D50000}"/>
    <cellStyle name="Normal 9 13 2 7" xfId="42725" xr:uid="{00000000-0005-0000-0000-0000C7D50000}"/>
    <cellStyle name="Normal 9 13 2 8" xfId="26625" xr:uid="{00000000-0005-0000-0000-0000C8D50000}"/>
    <cellStyle name="Normal 9 13 2 9" xfId="13561" xr:uid="{00000000-0005-0000-0000-0000C9D50000}"/>
    <cellStyle name="Normal 9 13 3" xfId="2531" xr:uid="{00000000-0005-0000-0000-0000CAD50000}"/>
    <cellStyle name="Normal 9 13 3 2" xfId="9063" xr:uid="{00000000-0005-0000-0000-0000CBD50000}"/>
    <cellStyle name="Normal 9 13 3 2 2" xfId="40804" xr:uid="{00000000-0005-0000-0000-0000CCD50000}"/>
    <cellStyle name="Normal 9 13 3 2 2 2" xfId="56904" xr:uid="{00000000-0005-0000-0000-0000CDD50000}"/>
    <cellStyle name="Normal 9 13 3 2 3" xfId="47337" xr:uid="{00000000-0005-0000-0000-0000CED50000}"/>
    <cellStyle name="Normal 9 13 3 2 4" xfId="31237" xr:uid="{00000000-0005-0000-0000-0000CFD50000}"/>
    <cellStyle name="Normal 9 13 3 2 5" xfId="21668" xr:uid="{00000000-0005-0000-0000-0000D0D50000}"/>
    <cellStyle name="Normal 9 13 3 3" xfId="12099" xr:uid="{00000000-0005-0000-0000-0000D1D50000}"/>
    <cellStyle name="Normal 9 13 3 3 2" xfId="50373" xr:uid="{00000000-0005-0000-0000-0000D2D50000}"/>
    <cellStyle name="Normal 9 13 3 3 3" xfId="34273" xr:uid="{00000000-0005-0000-0000-0000D3D50000}"/>
    <cellStyle name="Normal 9 13 3 3 4" xfId="24704" xr:uid="{00000000-0005-0000-0000-0000D4D50000}"/>
    <cellStyle name="Normal 9 13 3 4" xfId="6027" xr:uid="{00000000-0005-0000-0000-0000D5D50000}"/>
    <cellStyle name="Normal 9 13 3 4 2" xfId="53868" xr:uid="{00000000-0005-0000-0000-0000D6D50000}"/>
    <cellStyle name="Normal 9 13 3 4 3" xfId="37768" xr:uid="{00000000-0005-0000-0000-0000D7D50000}"/>
    <cellStyle name="Normal 9 13 3 4 4" xfId="18632" xr:uid="{00000000-0005-0000-0000-0000D8D50000}"/>
    <cellStyle name="Normal 9 13 3 5" xfId="44301" xr:uid="{00000000-0005-0000-0000-0000D9D50000}"/>
    <cellStyle name="Normal 9 13 3 6" xfId="28201" xr:uid="{00000000-0005-0000-0000-0000DAD50000}"/>
    <cellStyle name="Normal 9 13 3 7" xfId="15137" xr:uid="{00000000-0005-0000-0000-0000DBD50000}"/>
    <cellStyle name="Normal 9 13 4" xfId="1280" xr:uid="{00000000-0005-0000-0000-0000DCD50000}"/>
    <cellStyle name="Normal 9 13 4 2" xfId="7814" xr:uid="{00000000-0005-0000-0000-0000DDD50000}"/>
    <cellStyle name="Normal 9 13 4 2 2" xfId="39555" xr:uid="{00000000-0005-0000-0000-0000DED50000}"/>
    <cellStyle name="Normal 9 13 4 2 2 2" xfId="55655" xr:uid="{00000000-0005-0000-0000-0000DFD50000}"/>
    <cellStyle name="Normal 9 13 4 2 3" xfId="46088" xr:uid="{00000000-0005-0000-0000-0000E0D50000}"/>
    <cellStyle name="Normal 9 13 4 2 4" xfId="29988" xr:uid="{00000000-0005-0000-0000-0000E1D50000}"/>
    <cellStyle name="Normal 9 13 4 2 5" xfId="20419" xr:uid="{00000000-0005-0000-0000-0000E2D50000}"/>
    <cellStyle name="Normal 9 13 4 3" xfId="10850" xr:uid="{00000000-0005-0000-0000-0000E3D50000}"/>
    <cellStyle name="Normal 9 13 4 3 2" xfId="49124" xr:uid="{00000000-0005-0000-0000-0000E4D50000}"/>
    <cellStyle name="Normal 9 13 4 3 3" xfId="33024" xr:uid="{00000000-0005-0000-0000-0000E5D50000}"/>
    <cellStyle name="Normal 9 13 4 3 4" xfId="23455" xr:uid="{00000000-0005-0000-0000-0000E6D50000}"/>
    <cellStyle name="Normal 9 13 4 4" xfId="4778" xr:uid="{00000000-0005-0000-0000-0000E7D50000}"/>
    <cellStyle name="Normal 9 13 4 4 2" xfId="52619" xr:uid="{00000000-0005-0000-0000-0000E8D50000}"/>
    <cellStyle name="Normal 9 13 4 4 3" xfId="36519" xr:uid="{00000000-0005-0000-0000-0000E9D50000}"/>
    <cellStyle name="Normal 9 13 4 4 4" xfId="17383" xr:uid="{00000000-0005-0000-0000-0000EAD50000}"/>
    <cellStyle name="Normal 9 13 4 5" xfId="43052" xr:uid="{00000000-0005-0000-0000-0000EBD50000}"/>
    <cellStyle name="Normal 9 13 4 6" xfId="26952" xr:uid="{00000000-0005-0000-0000-0000ECD50000}"/>
    <cellStyle name="Normal 9 13 4 7" xfId="13888" xr:uid="{00000000-0005-0000-0000-0000EDD50000}"/>
    <cellStyle name="Normal 9 13 5" xfId="3768" xr:uid="{00000000-0005-0000-0000-0000EED50000}"/>
    <cellStyle name="Normal 9 13 5 2" xfId="35509" xr:uid="{00000000-0005-0000-0000-0000EFD50000}"/>
    <cellStyle name="Normal 9 13 5 2 2" xfId="51609" xr:uid="{00000000-0005-0000-0000-0000F0D50000}"/>
    <cellStyle name="Normal 9 13 5 3" xfId="42042" xr:uid="{00000000-0005-0000-0000-0000F1D50000}"/>
    <cellStyle name="Normal 9 13 5 4" xfId="25942" xr:uid="{00000000-0005-0000-0000-0000F2D50000}"/>
    <cellStyle name="Normal 9 13 5 5" xfId="16373" xr:uid="{00000000-0005-0000-0000-0000F3D50000}"/>
    <cellStyle name="Normal 9 13 6" xfId="6804" xr:uid="{00000000-0005-0000-0000-0000F4D50000}"/>
    <cellStyle name="Normal 9 13 6 2" xfId="38545" xr:uid="{00000000-0005-0000-0000-0000F5D50000}"/>
    <cellStyle name="Normal 9 13 6 2 2" xfId="54645" xr:uid="{00000000-0005-0000-0000-0000F6D50000}"/>
    <cellStyle name="Normal 9 13 6 3" xfId="45078" xr:uid="{00000000-0005-0000-0000-0000F7D50000}"/>
    <cellStyle name="Normal 9 13 6 4" xfId="28978" xr:uid="{00000000-0005-0000-0000-0000F8D50000}"/>
    <cellStyle name="Normal 9 13 6 5" xfId="19409" xr:uid="{00000000-0005-0000-0000-0000F9D50000}"/>
    <cellStyle name="Normal 9 13 7" xfId="9840" xr:uid="{00000000-0005-0000-0000-0000FAD50000}"/>
    <cellStyle name="Normal 9 13 7 2" xfId="48114" xr:uid="{00000000-0005-0000-0000-0000FBD50000}"/>
    <cellStyle name="Normal 9 13 7 3" xfId="32014" xr:uid="{00000000-0005-0000-0000-0000FCD50000}"/>
    <cellStyle name="Normal 9 13 7 4" xfId="22445" xr:uid="{00000000-0005-0000-0000-0000FDD50000}"/>
    <cellStyle name="Normal 9 13 8" xfId="3310" xr:uid="{00000000-0005-0000-0000-0000FED50000}"/>
    <cellStyle name="Normal 9 13 8 2" xfId="51151" xr:uid="{00000000-0005-0000-0000-0000FFD50000}"/>
    <cellStyle name="Normal 9 13 8 3" xfId="35051" xr:uid="{00000000-0005-0000-0000-000000D60000}"/>
    <cellStyle name="Normal 9 13 8 4" xfId="15915" xr:uid="{00000000-0005-0000-0000-000001D60000}"/>
    <cellStyle name="Normal 9 13 9" xfId="41584" xr:uid="{00000000-0005-0000-0000-000002D60000}"/>
    <cellStyle name="Normal 9 14" xfId="731" xr:uid="{00000000-0005-0000-0000-000003D60000}"/>
    <cellStyle name="Normal 9 14 10" xfId="13339" xr:uid="{00000000-0005-0000-0000-000004D60000}"/>
    <cellStyle name="Normal 9 14 2" xfId="2759" xr:uid="{00000000-0005-0000-0000-000005D60000}"/>
    <cellStyle name="Normal 9 14 2 2" xfId="9291" xr:uid="{00000000-0005-0000-0000-000006D60000}"/>
    <cellStyle name="Normal 9 14 2 2 2" xfId="41032" xr:uid="{00000000-0005-0000-0000-000007D60000}"/>
    <cellStyle name="Normal 9 14 2 2 2 2" xfId="57132" xr:uid="{00000000-0005-0000-0000-000008D60000}"/>
    <cellStyle name="Normal 9 14 2 2 3" xfId="47565" xr:uid="{00000000-0005-0000-0000-000009D60000}"/>
    <cellStyle name="Normal 9 14 2 2 4" xfId="31465" xr:uid="{00000000-0005-0000-0000-00000AD60000}"/>
    <cellStyle name="Normal 9 14 2 2 5" xfId="21896" xr:uid="{00000000-0005-0000-0000-00000BD60000}"/>
    <cellStyle name="Normal 9 14 2 3" xfId="12327" xr:uid="{00000000-0005-0000-0000-00000CD60000}"/>
    <cellStyle name="Normal 9 14 2 3 2" xfId="50601" xr:uid="{00000000-0005-0000-0000-00000DD60000}"/>
    <cellStyle name="Normal 9 14 2 3 3" xfId="34501" xr:uid="{00000000-0005-0000-0000-00000ED60000}"/>
    <cellStyle name="Normal 9 14 2 3 4" xfId="24932" xr:uid="{00000000-0005-0000-0000-00000FD60000}"/>
    <cellStyle name="Normal 9 14 2 4" xfId="6255" xr:uid="{00000000-0005-0000-0000-000010D60000}"/>
    <cellStyle name="Normal 9 14 2 4 2" xfId="54096" xr:uid="{00000000-0005-0000-0000-000011D60000}"/>
    <cellStyle name="Normal 9 14 2 4 3" xfId="37996" xr:uid="{00000000-0005-0000-0000-000012D60000}"/>
    <cellStyle name="Normal 9 14 2 4 4" xfId="18860" xr:uid="{00000000-0005-0000-0000-000013D60000}"/>
    <cellStyle name="Normal 9 14 2 5" xfId="44529" xr:uid="{00000000-0005-0000-0000-000014D60000}"/>
    <cellStyle name="Normal 9 14 2 6" xfId="28429" xr:uid="{00000000-0005-0000-0000-000015D60000}"/>
    <cellStyle name="Normal 9 14 2 7" xfId="15365" xr:uid="{00000000-0005-0000-0000-000016D60000}"/>
    <cellStyle name="Normal 9 14 3" xfId="1741" xr:uid="{00000000-0005-0000-0000-000017D60000}"/>
    <cellStyle name="Normal 9 14 3 2" xfId="8275" xr:uid="{00000000-0005-0000-0000-000018D60000}"/>
    <cellStyle name="Normal 9 14 3 2 2" xfId="40016" xr:uid="{00000000-0005-0000-0000-000019D60000}"/>
    <cellStyle name="Normal 9 14 3 2 2 2" xfId="56116" xr:uid="{00000000-0005-0000-0000-00001AD60000}"/>
    <cellStyle name="Normal 9 14 3 2 3" xfId="46549" xr:uid="{00000000-0005-0000-0000-00001BD60000}"/>
    <cellStyle name="Normal 9 14 3 2 4" xfId="30449" xr:uid="{00000000-0005-0000-0000-00001CD60000}"/>
    <cellStyle name="Normal 9 14 3 2 5" xfId="20880" xr:uid="{00000000-0005-0000-0000-00001DD60000}"/>
    <cellStyle name="Normal 9 14 3 3" xfId="11311" xr:uid="{00000000-0005-0000-0000-00001ED60000}"/>
    <cellStyle name="Normal 9 14 3 3 2" xfId="49585" xr:uid="{00000000-0005-0000-0000-00001FD60000}"/>
    <cellStyle name="Normal 9 14 3 3 3" xfId="33485" xr:uid="{00000000-0005-0000-0000-000020D60000}"/>
    <cellStyle name="Normal 9 14 3 3 4" xfId="23916" xr:uid="{00000000-0005-0000-0000-000021D60000}"/>
    <cellStyle name="Normal 9 14 3 4" xfId="5239" xr:uid="{00000000-0005-0000-0000-000022D60000}"/>
    <cellStyle name="Normal 9 14 3 4 2" xfId="53080" xr:uid="{00000000-0005-0000-0000-000023D60000}"/>
    <cellStyle name="Normal 9 14 3 4 3" xfId="36980" xr:uid="{00000000-0005-0000-0000-000024D60000}"/>
    <cellStyle name="Normal 9 14 3 4 4" xfId="17844" xr:uid="{00000000-0005-0000-0000-000025D60000}"/>
    <cellStyle name="Normal 9 14 3 5" xfId="43513" xr:uid="{00000000-0005-0000-0000-000026D60000}"/>
    <cellStyle name="Normal 9 14 3 6" xfId="27413" xr:uid="{00000000-0005-0000-0000-000027D60000}"/>
    <cellStyle name="Normal 9 14 3 7" xfId="14349" xr:uid="{00000000-0005-0000-0000-000028D60000}"/>
    <cellStyle name="Normal 9 14 4" xfId="4229" xr:uid="{00000000-0005-0000-0000-000029D60000}"/>
    <cellStyle name="Normal 9 14 4 2" xfId="35970" xr:uid="{00000000-0005-0000-0000-00002AD60000}"/>
    <cellStyle name="Normal 9 14 4 2 2" xfId="52070" xr:uid="{00000000-0005-0000-0000-00002BD60000}"/>
    <cellStyle name="Normal 9 14 4 3" xfId="42503" xr:uid="{00000000-0005-0000-0000-00002CD60000}"/>
    <cellStyle name="Normal 9 14 4 4" xfId="26403" xr:uid="{00000000-0005-0000-0000-00002DD60000}"/>
    <cellStyle name="Normal 9 14 4 5" xfId="16834" xr:uid="{00000000-0005-0000-0000-00002ED60000}"/>
    <cellStyle name="Normal 9 14 5" xfId="7265" xr:uid="{00000000-0005-0000-0000-00002FD60000}"/>
    <cellStyle name="Normal 9 14 5 2" xfId="39006" xr:uid="{00000000-0005-0000-0000-000030D60000}"/>
    <cellStyle name="Normal 9 14 5 2 2" xfId="55106" xr:uid="{00000000-0005-0000-0000-000031D60000}"/>
    <cellStyle name="Normal 9 14 5 3" xfId="45539" xr:uid="{00000000-0005-0000-0000-000032D60000}"/>
    <cellStyle name="Normal 9 14 5 4" xfId="29439" xr:uid="{00000000-0005-0000-0000-000033D60000}"/>
    <cellStyle name="Normal 9 14 5 5" xfId="19870" xr:uid="{00000000-0005-0000-0000-000034D60000}"/>
    <cellStyle name="Normal 9 14 6" xfId="10301" xr:uid="{00000000-0005-0000-0000-000035D60000}"/>
    <cellStyle name="Normal 9 14 6 2" xfId="48575" xr:uid="{00000000-0005-0000-0000-000036D60000}"/>
    <cellStyle name="Normal 9 14 6 3" xfId="32475" xr:uid="{00000000-0005-0000-0000-000037D60000}"/>
    <cellStyle name="Normal 9 14 6 4" xfId="22906" xr:uid="{00000000-0005-0000-0000-000038D60000}"/>
    <cellStyle name="Normal 9 14 7" xfId="3324" xr:uid="{00000000-0005-0000-0000-000039D60000}"/>
    <cellStyle name="Normal 9 14 7 2" xfId="51165" xr:uid="{00000000-0005-0000-0000-00003AD60000}"/>
    <cellStyle name="Normal 9 14 7 3" xfId="35065" xr:uid="{00000000-0005-0000-0000-00003BD60000}"/>
    <cellStyle name="Normal 9 14 7 4" xfId="15929" xr:uid="{00000000-0005-0000-0000-00003CD60000}"/>
    <cellStyle name="Normal 9 14 8" xfId="41598" xr:uid="{00000000-0005-0000-0000-00003DD60000}"/>
    <cellStyle name="Normal 9 14 9" xfId="25498" xr:uid="{00000000-0005-0000-0000-00003ED60000}"/>
    <cellStyle name="Normal 9 15" xfId="2068" xr:uid="{00000000-0005-0000-0000-00003FD60000}"/>
    <cellStyle name="Normal 9 15 2" xfId="8602" xr:uid="{00000000-0005-0000-0000-000040D60000}"/>
    <cellStyle name="Normal 9 15 2 2" xfId="40343" xr:uid="{00000000-0005-0000-0000-000041D60000}"/>
    <cellStyle name="Normal 9 15 2 2 2" xfId="56443" xr:uid="{00000000-0005-0000-0000-000042D60000}"/>
    <cellStyle name="Normal 9 15 2 3" xfId="46876" xr:uid="{00000000-0005-0000-0000-000043D60000}"/>
    <cellStyle name="Normal 9 15 2 4" xfId="30776" xr:uid="{00000000-0005-0000-0000-000044D60000}"/>
    <cellStyle name="Normal 9 15 2 5" xfId="21207" xr:uid="{00000000-0005-0000-0000-000045D60000}"/>
    <cellStyle name="Normal 9 15 3" xfId="11638" xr:uid="{00000000-0005-0000-0000-000046D60000}"/>
    <cellStyle name="Normal 9 15 3 2" xfId="49912" xr:uid="{00000000-0005-0000-0000-000047D60000}"/>
    <cellStyle name="Normal 9 15 3 3" xfId="33812" xr:uid="{00000000-0005-0000-0000-000048D60000}"/>
    <cellStyle name="Normal 9 15 3 4" xfId="24243" xr:uid="{00000000-0005-0000-0000-000049D60000}"/>
    <cellStyle name="Normal 9 15 4" xfId="5566" xr:uid="{00000000-0005-0000-0000-00004AD60000}"/>
    <cellStyle name="Normal 9 15 4 2" xfId="53407" xr:uid="{00000000-0005-0000-0000-00004BD60000}"/>
    <cellStyle name="Normal 9 15 4 3" xfId="37307" xr:uid="{00000000-0005-0000-0000-00004CD60000}"/>
    <cellStyle name="Normal 9 15 4 4" xfId="18171" xr:uid="{00000000-0005-0000-0000-00004DD60000}"/>
    <cellStyle name="Normal 9 15 5" xfId="43840" xr:uid="{00000000-0005-0000-0000-00004ED60000}"/>
    <cellStyle name="Normal 9 15 6" xfId="27740" xr:uid="{00000000-0005-0000-0000-00004FD60000}"/>
    <cellStyle name="Normal 9 15 7" xfId="14676" xr:uid="{00000000-0005-0000-0000-000050D60000}"/>
    <cellStyle name="Normal 9 16" xfId="1058" xr:uid="{00000000-0005-0000-0000-000051D60000}"/>
    <cellStyle name="Normal 9 16 2" xfId="7592" xr:uid="{00000000-0005-0000-0000-000052D60000}"/>
    <cellStyle name="Normal 9 16 2 2" xfId="39333" xr:uid="{00000000-0005-0000-0000-000053D60000}"/>
    <cellStyle name="Normal 9 16 2 2 2" xfId="55433" xr:uid="{00000000-0005-0000-0000-000054D60000}"/>
    <cellStyle name="Normal 9 16 2 3" xfId="45866" xr:uid="{00000000-0005-0000-0000-000055D60000}"/>
    <cellStyle name="Normal 9 16 2 4" xfId="29766" xr:uid="{00000000-0005-0000-0000-000056D60000}"/>
    <cellStyle name="Normal 9 16 2 5" xfId="20197" xr:uid="{00000000-0005-0000-0000-000057D60000}"/>
    <cellStyle name="Normal 9 16 3" xfId="10628" xr:uid="{00000000-0005-0000-0000-000058D60000}"/>
    <cellStyle name="Normal 9 16 3 2" xfId="48902" xr:uid="{00000000-0005-0000-0000-000059D60000}"/>
    <cellStyle name="Normal 9 16 3 3" xfId="32802" xr:uid="{00000000-0005-0000-0000-00005AD60000}"/>
    <cellStyle name="Normal 9 16 3 4" xfId="23233" xr:uid="{00000000-0005-0000-0000-00005BD60000}"/>
    <cellStyle name="Normal 9 16 4" xfId="4556" xr:uid="{00000000-0005-0000-0000-00005CD60000}"/>
    <cellStyle name="Normal 9 16 4 2" xfId="52397" xr:uid="{00000000-0005-0000-0000-00005DD60000}"/>
    <cellStyle name="Normal 9 16 4 3" xfId="36297" xr:uid="{00000000-0005-0000-0000-00005ED60000}"/>
    <cellStyle name="Normal 9 16 4 4" xfId="17161" xr:uid="{00000000-0005-0000-0000-00005FD60000}"/>
    <cellStyle name="Normal 9 16 5" xfId="42830" xr:uid="{00000000-0005-0000-0000-000060D60000}"/>
    <cellStyle name="Normal 9 16 6" xfId="26730" xr:uid="{00000000-0005-0000-0000-000061D60000}"/>
    <cellStyle name="Normal 9 16 7" xfId="13666" xr:uid="{00000000-0005-0000-0000-000062D60000}"/>
    <cellStyle name="Normal 9 17" xfId="3546" xr:uid="{00000000-0005-0000-0000-000063D60000}"/>
    <cellStyle name="Normal 9 17 2" xfId="35287" xr:uid="{00000000-0005-0000-0000-000064D60000}"/>
    <cellStyle name="Normal 9 17 2 2" xfId="51387" xr:uid="{00000000-0005-0000-0000-000065D60000}"/>
    <cellStyle name="Normal 9 17 3" xfId="41820" xr:uid="{00000000-0005-0000-0000-000066D60000}"/>
    <cellStyle name="Normal 9 17 4" xfId="25720" xr:uid="{00000000-0005-0000-0000-000067D60000}"/>
    <cellStyle name="Normal 9 17 5" xfId="16151" xr:uid="{00000000-0005-0000-0000-000068D60000}"/>
    <cellStyle name="Normal 9 18" xfId="6582" xr:uid="{00000000-0005-0000-0000-000069D60000}"/>
    <cellStyle name="Normal 9 18 2" xfId="38323" xr:uid="{00000000-0005-0000-0000-00006AD60000}"/>
    <cellStyle name="Normal 9 18 2 2" xfId="54423" xr:uid="{00000000-0005-0000-0000-00006BD60000}"/>
    <cellStyle name="Normal 9 18 3" xfId="44856" xr:uid="{00000000-0005-0000-0000-00006CD60000}"/>
    <cellStyle name="Normal 9 18 4" xfId="28756" xr:uid="{00000000-0005-0000-0000-00006DD60000}"/>
    <cellStyle name="Normal 9 18 5" xfId="19187" xr:uid="{00000000-0005-0000-0000-00006ED60000}"/>
    <cellStyle name="Normal 9 19" xfId="9618" xr:uid="{00000000-0005-0000-0000-00006FD60000}"/>
    <cellStyle name="Normal 9 19 2" xfId="47892" xr:uid="{00000000-0005-0000-0000-000070D60000}"/>
    <cellStyle name="Normal 9 19 3" xfId="31792" xr:uid="{00000000-0005-0000-0000-000071D60000}"/>
    <cellStyle name="Normal 9 19 4" xfId="22223" xr:uid="{00000000-0005-0000-0000-000072D60000}"/>
    <cellStyle name="Normal 9 2" xfId="63" xr:uid="{00000000-0005-0000-0000-000073D60000}"/>
    <cellStyle name="Normal 9 2 10" xfId="3564" xr:uid="{00000000-0005-0000-0000-000074D60000}"/>
    <cellStyle name="Normal 9 2 10 2" xfId="35305" xr:uid="{00000000-0005-0000-0000-000075D60000}"/>
    <cellStyle name="Normal 9 2 10 2 2" xfId="51405" xr:uid="{00000000-0005-0000-0000-000076D60000}"/>
    <cellStyle name="Normal 9 2 10 3" xfId="41838" xr:uid="{00000000-0005-0000-0000-000077D60000}"/>
    <cellStyle name="Normal 9 2 10 4" xfId="25738" xr:uid="{00000000-0005-0000-0000-000078D60000}"/>
    <cellStyle name="Normal 9 2 10 5" xfId="16169" xr:uid="{00000000-0005-0000-0000-000079D60000}"/>
    <cellStyle name="Normal 9 2 11" xfId="6600" xr:uid="{00000000-0005-0000-0000-00007AD60000}"/>
    <cellStyle name="Normal 9 2 11 2" xfId="38341" xr:uid="{00000000-0005-0000-0000-00007BD60000}"/>
    <cellStyle name="Normal 9 2 11 2 2" xfId="54441" xr:uid="{00000000-0005-0000-0000-00007CD60000}"/>
    <cellStyle name="Normal 9 2 11 3" xfId="44874" xr:uid="{00000000-0005-0000-0000-00007DD60000}"/>
    <cellStyle name="Normal 9 2 11 4" xfId="28774" xr:uid="{00000000-0005-0000-0000-00007ED60000}"/>
    <cellStyle name="Normal 9 2 11 5" xfId="19205" xr:uid="{00000000-0005-0000-0000-00007FD60000}"/>
    <cellStyle name="Normal 9 2 12" xfId="9636" xr:uid="{00000000-0005-0000-0000-000080D60000}"/>
    <cellStyle name="Normal 9 2 12 2" xfId="47910" xr:uid="{00000000-0005-0000-0000-000081D60000}"/>
    <cellStyle name="Normal 9 2 12 3" xfId="31810" xr:uid="{00000000-0005-0000-0000-000082D60000}"/>
    <cellStyle name="Normal 9 2 12 4" xfId="22241" xr:uid="{00000000-0005-0000-0000-000083D60000}"/>
    <cellStyle name="Normal 9 2 13" xfId="3104" xr:uid="{00000000-0005-0000-0000-000084D60000}"/>
    <cellStyle name="Normal 9 2 13 2" xfId="50946" xr:uid="{00000000-0005-0000-0000-000085D60000}"/>
    <cellStyle name="Normal 9 2 13 3" xfId="34846" xr:uid="{00000000-0005-0000-0000-000086D60000}"/>
    <cellStyle name="Normal 9 2 13 4" xfId="15710" xr:uid="{00000000-0005-0000-0000-000087D60000}"/>
    <cellStyle name="Normal 9 2 14" xfId="41379" xr:uid="{00000000-0005-0000-0000-000088D60000}"/>
    <cellStyle name="Normal 9 2 15" xfId="25279" xr:uid="{00000000-0005-0000-0000-000089D60000}"/>
    <cellStyle name="Normal 9 2 16" xfId="12674" xr:uid="{00000000-0005-0000-0000-00008AD60000}"/>
    <cellStyle name="Normal 9 2 2" xfId="134" xr:uid="{00000000-0005-0000-0000-00008BD60000}"/>
    <cellStyle name="Normal 9 2 2 10" xfId="9699" xr:uid="{00000000-0005-0000-0000-00008CD60000}"/>
    <cellStyle name="Normal 9 2 2 10 2" xfId="47973" xr:uid="{00000000-0005-0000-0000-00008DD60000}"/>
    <cellStyle name="Normal 9 2 2 10 3" xfId="31873" xr:uid="{00000000-0005-0000-0000-00008ED60000}"/>
    <cellStyle name="Normal 9 2 2 10 4" xfId="22304" xr:uid="{00000000-0005-0000-0000-00008FD60000}"/>
    <cellStyle name="Normal 9 2 2 11" xfId="3167" xr:uid="{00000000-0005-0000-0000-000090D60000}"/>
    <cellStyle name="Normal 9 2 2 11 2" xfId="51009" xr:uid="{00000000-0005-0000-0000-000091D60000}"/>
    <cellStyle name="Normal 9 2 2 11 3" xfId="34909" xr:uid="{00000000-0005-0000-0000-000092D60000}"/>
    <cellStyle name="Normal 9 2 2 11 4" xfId="15773" xr:uid="{00000000-0005-0000-0000-000093D60000}"/>
    <cellStyle name="Normal 9 2 2 12" xfId="41442" xr:uid="{00000000-0005-0000-0000-000094D60000}"/>
    <cellStyle name="Normal 9 2 2 13" xfId="25342" xr:uid="{00000000-0005-0000-0000-000095D60000}"/>
    <cellStyle name="Normal 9 2 2 14" xfId="12737" xr:uid="{00000000-0005-0000-0000-000096D60000}"/>
    <cellStyle name="Normal 9 2 2 2" xfId="209" xr:uid="{00000000-0005-0000-0000-000097D60000}"/>
    <cellStyle name="Normal 9 2 2 2 10" xfId="41679" xr:uid="{00000000-0005-0000-0000-000098D60000}"/>
    <cellStyle name="Normal 9 2 2 2 11" xfId="25579" xr:uid="{00000000-0005-0000-0000-000099D60000}"/>
    <cellStyle name="Normal 9 2 2 2 12" xfId="13038" xr:uid="{00000000-0005-0000-0000-00009AD60000}"/>
    <cellStyle name="Normal 9 2 2 2 2" xfId="386" xr:uid="{00000000-0005-0000-0000-00009BD60000}"/>
    <cellStyle name="Normal 9 2 2 2 2 2" xfId="2405" xr:uid="{00000000-0005-0000-0000-00009CD60000}"/>
    <cellStyle name="Normal 9 2 2 2 2 2 2" xfId="8939" xr:uid="{00000000-0005-0000-0000-00009DD60000}"/>
    <cellStyle name="Normal 9 2 2 2 2 2 2 2" xfId="40680" xr:uid="{00000000-0005-0000-0000-00009ED60000}"/>
    <cellStyle name="Normal 9 2 2 2 2 2 2 2 2" xfId="56780" xr:uid="{00000000-0005-0000-0000-00009FD60000}"/>
    <cellStyle name="Normal 9 2 2 2 2 2 2 3" xfId="47213" xr:uid="{00000000-0005-0000-0000-0000A0D60000}"/>
    <cellStyle name="Normal 9 2 2 2 2 2 2 4" xfId="31113" xr:uid="{00000000-0005-0000-0000-0000A1D60000}"/>
    <cellStyle name="Normal 9 2 2 2 2 2 2 5" xfId="21544" xr:uid="{00000000-0005-0000-0000-0000A2D60000}"/>
    <cellStyle name="Normal 9 2 2 2 2 2 3" xfId="11975" xr:uid="{00000000-0005-0000-0000-0000A3D60000}"/>
    <cellStyle name="Normal 9 2 2 2 2 2 3 2" xfId="50249" xr:uid="{00000000-0005-0000-0000-0000A4D60000}"/>
    <cellStyle name="Normal 9 2 2 2 2 2 3 3" xfId="34149" xr:uid="{00000000-0005-0000-0000-0000A5D60000}"/>
    <cellStyle name="Normal 9 2 2 2 2 2 3 4" xfId="24580" xr:uid="{00000000-0005-0000-0000-0000A6D60000}"/>
    <cellStyle name="Normal 9 2 2 2 2 2 4" xfId="5903" xr:uid="{00000000-0005-0000-0000-0000A7D60000}"/>
    <cellStyle name="Normal 9 2 2 2 2 2 4 2" xfId="53744" xr:uid="{00000000-0005-0000-0000-0000A8D60000}"/>
    <cellStyle name="Normal 9 2 2 2 2 2 4 3" xfId="37644" xr:uid="{00000000-0005-0000-0000-0000A9D60000}"/>
    <cellStyle name="Normal 9 2 2 2 2 2 4 4" xfId="18508" xr:uid="{00000000-0005-0000-0000-0000AAD60000}"/>
    <cellStyle name="Normal 9 2 2 2 2 2 5" xfId="44177" xr:uid="{00000000-0005-0000-0000-0000ABD60000}"/>
    <cellStyle name="Normal 9 2 2 2 2 2 6" xfId="28077" xr:uid="{00000000-0005-0000-0000-0000ACD60000}"/>
    <cellStyle name="Normal 9 2 2 2 2 2 7" xfId="15013" xr:uid="{00000000-0005-0000-0000-0000ADD60000}"/>
    <cellStyle name="Normal 9 2 2 2 2 3" xfId="1617" xr:uid="{00000000-0005-0000-0000-0000AED60000}"/>
    <cellStyle name="Normal 9 2 2 2 2 3 2" xfId="8151" xr:uid="{00000000-0005-0000-0000-0000AFD60000}"/>
    <cellStyle name="Normal 9 2 2 2 2 3 2 2" xfId="39892" xr:uid="{00000000-0005-0000-0000-0000B0D60000}"/>
    <cellStyle name="Normal 9 2 2 2 2 3 2 2 2" xfId="55992" xr:uid="{00000000-0005-0000-0000-0000B1D60000}"/>
    <cellStyle name="Normal 9 2 2 2 2 3 2 3" xfId="46425" xr:uid="{00000000-0005-0000-0000-0000B2D60000}"/>
    <cellStyle name="Normal 9 2 2 2 2 3 2 4" xfId="30325" xr:uid="{00000000-0005-0000-0000-0000B3D60000}"/>
    <cellStyle name="Normal 9 2 2 2 2 3 2 5" xfId="20756" xr:uid="{00000000-0005-0000-0000-0000B4D60000}"/>
    <cellStyle name="Normal 9 2 2 2 2 3 3" xfId="11187" xr:uid="{00000000-0005-0000-0000-0000B5D60000}"/>
    <cellStyle name="Normal 9 2 2 2 2 3 3 2" xfId="49461" xr:uid="{00000000-0005-0000-0000-0000B6D60000}"/>
    <cellStyle name="Normal 9 2 2 2 2 3 3 3" xfId="33361" xr:uid="{00000000-0005-0000-0000-0000B7D60000}"/>
    <cellStyle name="Normal 9 2 2 2 2 3 3 4" xfId="23792" xr:uid="{00000000-0005-0000-0000-0000B8D60000}"/>
    <cellStyle name="Normal 9 2 2 2 2 3 4" xfId="5115" xr:uid="{00000000-0005-0000-0000-0000B9D60000}"/>
    <cellStyle name="Normal 9 2 2 2 2 3 4 2" xfId="52956" xr:uid="{00000000-0005-0000-0000-0000BAD60000}"/>
    <cellStyle name="Normal 9 2 2 2 2 3 4 3" xfId="36856" xr:uid="{00000000-0005-0000-0000-0000BBD60000}"/>
    <cellStyle name="Normal 9 2 2 2 2 3 4 4" xfId="17720" xr:uid="{00000000-0005-0000-0000-0000BCD60000}"/>
    <cellStyle name="Normal 9 2 2 2 2 3 5" xfId="43389" xr:uid="{00000000-0005-0000-0000-0000BDD60000}"/>
    <cellStyle name="Normal 9 2 2 2 2 3 6" xfId="27289" xr:uid="{00000000-0005-0000-0000-0000BED60000}"/>
    <cellStyle name="Normal 9 2 2 2 2 3 7" xfId="14225" xr:uid="{00000000-0005-0000-0000-0000BFD60000}"/>
    <cellStyle name="Normal 9 2 2 2 2 4" xfId="7141" xr:uid="{00000000-0005-0000-0000-0000C0D60000}"/>
    <cellStyle name="Normal 9 2 2 2 2 4 2" xfId="38882" xr:uid="{00000000-0005-0000-0000-0000C1D60000}"/>
    <cellStyle name="Normal 9 2 2 2 2 4 2 2" xfId="54982" xr:uid="{00000000-0005-0000-0000-0000C2D60000}"/>
    <cellStyle name="Normal 9 2 2 2 2 4 3" xfId="45415" xr:uid="{00000000-0005-0000-0000-0000C3D60000}"/>
    <cellStyle name="Normal 9 2 2 2 2 4 4" xfId="29315" xr:uid="{00000000-0005-0000-0000-0000C4D60000}"/>
    <cellStyle name="Normal 9 2 2 2 2 4 5" xfId="19746" xr:uid="{00000000-0005-0000-0000-0000C5D60000}"/>
    <cellStyle name="Normal 9 2 2 2 2 5" xfId="10177" xr:uid="{00000000-0005-0000-0000-0000C6D60000}"/>
    <cellStyle name="Normal 9 2 2 2 2 5 2" xfId="48451" xr:uid="{00000000-0005-0000-0000-0000C7D60000}"/>
    <cellStyle name="Normal 9 2 2 2 2 5 3" xfId="32351" xr:uid="{00000000-0005-0000-0000-0000C8D60000}"/>
    <cellStyle name="Normal 9 2 2 2 2 5 4" xfId="22782" xr:uid="{00000000-0005-0000-0000-0000C9D60000}"/>
    <cellStyle name="Normal 9 2 2 2 2 6" xfId="4105" xr:uid="{00000000-0005-0000-0000-0000CAD60000}"/>
    <cellStyle name="Normal 9 2 2 2 2 6 2" xfId="51946" xr:uid="{00000000-0005-0000-0000-0000CBD60000}"/>
    <cellStyle name="Normal 9 2 2 2 2 6 3" xfId="35846" xr:uid="{00000000-0005-0000-0000-0000CCD60000}"/>
    <cellStyle name="Normal 9 2 2 2 2 6 4" xfId="16710" xr:uid="{00000000-0005-0000-0000-0000CDD60000}"/>
    <cellStyle name="Normal 9 2 2 2 2 7" xfId="42379" xr:uid="{00000000-0005-0000-0000-0000CED60000}"/>
    <cellStyle name="Normal 9 2 2 2 2 8" xfId="26279" xr:uid="{00000000-0005-0000-0000-0000CFD60000}"/>
    <cellStyle name="Normal 9 2 2 2 2 9" xfId="13215" xr:uid="{00000000-0005-0000-0000-0000D0D60000}"/>
    <cellStyle name="Normal 9 2 2 2 3" xfId="1024" xr:uid="{00000000-0005-0000-0000-0000D1D60000}"/>
    <cellStyle name="Normal 9 2 2 2 3 2" xfId="3052" xr:uid="{00000000-0005-0000-0000-0000D2D60000}"/>
    <cellStyle name="Normal 9 2 2 2 3 2 2" xfId="9584" xr:uid="{00000000-0005-0000-0000-0000D3D60000}"/>
    <cellStyle name="Normal 9 2 2 2 3 2 2 2" xfId="41325" xr:uid="{00000000-0005-0000-0000-0000D4D60000}"/>
    <cellStyle name="Normal 9 2 2 2 3 2 2 2 2" xfId="57425" xr:uid="{00000000-0005-0000-0000-0000D5D60000}"/>
    <cellStyle name="Normal 9 2 2 2 3 2 2 3" xfId="47858" xr:uid="{00000000-0005-0000-0000-0000D6D60000}"/>
    <cellStyle name="Normal 9 2 2 2 3 2 2 4" xfId="31758" xr:uid="{00000000-0005-0000-0000-0000D7D60000}"/>
    <cellStyle name="Normal 9 2 2 2 3 2 2 5" xfId="22189" xr:uid="{00000000-0005-0000-0000-0000D8D60000}"/>
    <cellStyle name="Normal 9 2 2 2 3 2 3" xfId="12620" xr:uid="{00000000-0005-0000-0000-0000D9D60000}"/>
    <cellStyle name="Normal 9 2 2 2 3 2 3 2" xfId="50894" xr:uid="{00000000-0005-0000-0000-0000DAD60000}"/>
    <cellStyle name="Normal 9 2 2 2 3 2 3 3" xfId="34794" xr:uid="{00000000-0005-0000-0000-0000DBD60000}"/>
    <cellStyle name="Normal 9 2 2 2 3 2 3 4" xfId="25225" xr:uid="{00000000-0005-0000-0000-0000DCD60000}"/>
    <cellStyle name="Normal 9 2 2 2 3 2 4" xfId="6548" xr:uid="{00000000-0005-0000-0000-0000DDD60000}"/>
    <cellStyle name="Normal 9 2 2 2 3 2 4 2" xfId="54389" xr:uid="{00000000-0005-0000-0000-0000DED60000}"/>
    <cellStyle name="Normal 9 2 2 2 3 2 4 3" xfId="38289" xr:uid="{00000000-0005-0000-0000-0000DFD60000}"/>
    <cellStyle name="Normal 9 2 2 2 3 2 4 4" xfId="19153" xr:uid="{00000000-0005-0000-0000-0000E0D60000}"/>
    <cellStyle name="Normal 9 2 2 2 3 2 5" xfId="44822" xr:uid="{00000000-0005-0000-0000-0000E1D60000}"/>
    <cellStyle name="Normal 9 2 2 2 3 2 6" xfId="28722" xr:uid="{00000000-0005-0000-0000-0000E2D60000}"/>
    <cellStyle name="Normal 9 2 2 2 3 2 7" xfId="15658" xr:uid="{00000000-0005-0000-0000-0000E3D60000}"/>
    <cellStyle name="Normal 9 2 2 2 3 3" xfId="2034" xr:uid="{00000000-0005-0000-0000-0000E4D60000}"/>
    <cellStyle name="Normal 9 2 2 2 3 3 2" xfId="8568" xr:uid="{00000000-0005-0000-0000-0000E5D60000}"/>
    <cellStyle name="Normal 9 2 2 2 3 3 2 2" xfId="40309" xr:uid="{00000000-0005-0000-0000-0000E6D60000}"/>
    <cellStyle name="Normal 9 2 2 2 3 3 2 2 2" xfId="56409" xr:uid="{00000000-0005-0000-0000-0000E7D60000}"/>
    <cellStyle name="Normal 9 2 2 2 3 3 2 3" xfId="46842" xr:uid="{00000000-0005-0000-0000-0000E8D60000}"/>
    <cellStyle name="Normal 9 2 2 2 3 3 2 4" xfId="30742" xr:uid="{00000000-0005-0000-0000-0000E9D60000}"/>
    <cellStyle name="Normal 9 2 2 2 3 3 2 5" xfId="21173" xr:uid="{00000000-0005-0000-0000-0000EAD60000}"/>
    <cellStyle name="Normal 9 2 2 2 3 3 3" xfId="11604" xr:uid="{00000000-0005-0000-0000-0000EBD60000}"/>
    <cellStyle name="Normal 9 2 2 2 3 3 3 2" xfId="49878" xr:uid="{00000000-0005-0000-0000-0000ECD60000}"/>
    <cellStyle name="Normal 9 2 2 2 3 3 3 3" xfId="33778" xr:uid="{00000000-0005-0000-0000-0000EDD60000}"/>
    <cellStyle name="Normal 9 2 2 2 3 3 3 4" xfId="24209" xr:uid="{00000000-0005-0000-0000-0000EED60000}"/>
    <cellStyle name="Normal 9 2 2 2 3 3 4" xfId="5532" xr:uid="{00000000-0005-0000-0000-0000EFD60000}"/>
    <cellStyle name="Normal 9 2 2 2 3 3 4 2" xfId="53373" xr:uid="{00000000-0005-0000-0000-0000F0D60000}"/>
    <cellStyle name="Normal 9 2 2 2 3 3 4 3" xfId="37273" xr:uid="{00000000-0005-0000-0000-0000F1D60000}"/>
    <cellStyle name="Normal 9 2 2 2 3 3 4 4" xfId="18137" xr:uid="{00000000-0005-0000-0000-0000F2D60000}"/>
    <cellStyle name="Normal 9 2 2 2 3 3 5" xfId="43806" xr:uid="{00000000-0005-0000-0000-0000F3D60000}"/>
    <cellStyle name="Normal 9 2 2 2 3 3 6" xfId="27706" xr:uid="{00000000-0005-0000-0000-0000F4D60000}"/>
    <cellStyle name="Normal 9 2 2 2 3 3 7" xfId="14642" xr:uid="{00000000-0005-0000-0000-0000F5D60000}"/>
    <cellStyle name="Normal 9 2 2 2 3 4" xfId="7558" xr:uid="{00000000-0005-0000-0000-0000F6D60000}"/>
    <cellStyle name="Normal 9 2 2 2 3 4 2" xfId="39299" xr:uid="{00000000-0005-0000-0000-0000F7D60000}"/>
    <cellStyle name="Normal 9 2 2 2 3 4 2 2" xfId="55399" xr:uid="{00000000-0005-0000-0000-0000F8D60000}"/>
    <cellStyle name="Normal 9 2 2 2 3 4 3" xfId="45832" xr:uid="{00000000-0005-0000-0000-0000F9D60000}"/>
    <cellStyle name="Normal 9 2 2 2 3 4 4" xfId="29732" xr:uid="{00000000-0005-0000-0000-0000FAD60000}"/>
    <cellStyle name="Normal 9 2 2 2 3 4 5" xfId="20163" xr:uid="{00000000-0005-0000-0000-0000FBD60000}"/>
    <cellStyle name="Normal 9 2 2 2 3 5" xfId="10594" xr:uid="{00000000-0005-0000-0000-0000FCD60000}"/>
    <cellStyle name="Normal 9 2 2 2 3 5 2" xfId="48868" xr:uid="{00000000-0005-0000-0000-0000FDD60000}"/>
    <cellStyle name="Normal 9 2 2 2 3 5 3" xfId="32768" xr:uid="{00000000-0005-0000-0000-0000FED60000}"/>
    <cellStyle name="Normal 9 2 2 2 3 5 4" xfId="23199" xr:uid="{00000000-0005-0000-0000-0000FFD60000}"/>
    <cellStyle name="Normal 9 2 2 2 3 6" xfId="4522" xr:uid="{00000000-0005-0000-0000-000000D70000}"/>
    <cellStyle name="Normal 9 2 2 2 3 6 2" xfId="52363" xr:uid="{00000000-0005-0000-0000-000001D70000}"/>
    <cellStyle name="Normal 9 2 2 2 3 6 3" xfId="36263" xr:uid="{00000000-0005-0000-0000-000002D70000}"/>
    <cellStyle name="Normal 9 2 2 2 3 6 4" xfId="17127" xr:uid="{00000000-0005-0000-0000-000003D70000}"/>
    <cellStyle name="Normal 9 2 2 2 3 7" xfId="42796" xr:uid="{00000000-0005-0000-0000-000004D70000}"/>
    <cellStyle name="Normal 9 2 2 2 3 8" xfId="26696" xr:uid="{00000000-0005-0000-0000-000005D70000}"/>
    <cellStyle name="Normal 9 2 2 2 3 9" xfId="13632" xr:uid="{00000000-0005-0000-0000-000006D70000}"/>
    <cellStyle name="Normal 9 2 2 2 4" xfId="2228" xr:uid="{00000000-0005-0000-0000-000007D70000}"/>
    <cellStyle name="Normal 9 2 2 2 4 2" xfId="8762" xr:uid="{00000000-0005-0000-0000-000008D70000}"/>
    <cellStyle name="Normal 9 2 2 2 4 2 2" xfId="40503" xr:uid="{00000000-0005-0000-0000-000009D70000}"/>
    <cellStyle name="Normal 9 2 2 2 4 2 2 2" xfId="56603" xr:uid="{00000000-0005-0000-0000-00000AD70000}"/>
    <cellStyle name="Normal 9 2 2 2 4 2 3" xfId="47036" xr:uid="{00000000-0005-0000-0000-00000BD70000}"/>
    <cellStyle name="Normal 9 2 2 2 4 2 4" xfId="30936" xr:uid="{00000000-0005-0000-0000-00000CD70000}"/>
    <cellStyle name="Normal 9 2 2 2 4 2 5" xfId="21367" xr:uid="{00000000-0005-0000-0000-00000DD70000}"/>
    <cellStyle name="Normal 9 2 2 2 4 3" xfId="11798" xr:uid="{00000000-0005-0000-0000-00000ED70000}"/>
    <cellStyle name="Normal 9 2 2 2 4 3 2" xfId="50072" xr:uid="{00000000-0005-0000-0000-00000FD70000}"/>
    <cellStyle name="Normal 9 2 2 2 4 3 3" xfId="33972" xr:uid="{00000000-0005-0000-0000-000010D70000}"/>
    <cellStyle name="Normal 9 2 2 2 4 3 4" xfId="24403" xr:uid="{00000000-0005-0000-0000-000011D70000}"/>
    <cellStyle name="Normal 9 2 2 2 4 4" xfId="5726" xr:uid="{00000000-0005-0000-0000-000012D70000}"/>
    <cellStyle name="Normal 9 2 2 2 4 4 2" xfId="53567" xr:uid="{00000000-0005-0000-0000-000013D70000}"/>
    <cellStyle name="Normal 9 2 2 2 4 4 3" xfId="37467" xr:uid="{00000000-0005-0000-0000-000014D70000}"/>
    <cellStyle name="Normal 9 2 2 2 4 4 4" xfId="18331" xr:uid="{00000000-0005-0000-0000-000015D70000}"/>
    <cellStyle name="Normal 9 2 2 2 4 5" xfId="44000" xr:uid="{00000000-0005-0000-0000-000016D70000}"/>
    <cellStyle name="Normal 9 2 2 2 4 6" xfId="27900" xr:uid="{00000000-0005-0000-0000-000017D70000}"/>
    <cellStyle name="Normal 9 2 2 2 4 7" xfId="14836" xr:uid="{00000000-0005-0000-0000-000018D70000}"/>
    <cellStyle name="Normal 9 2 2 2 5" xfId="1440" xr:uid="{00000000-0005-0000-0000-000019D70000}"/>
    <cellStyle name="Normal 9 2 2 2 5 2" xfId="7974" xr:uid="{00000000-0005-0000-0000-00001AD70000}"/>
    <cellStyle name="Normal 9 2 2 2 5 2 2" xfId="39715" xr:uid="{00000000-0005-0000-0000-00001BD70000}"/>
    <cellStyle name="Normal 9 2 2 2 5 2 2 2" xfId="55815" xr:uid="{00000000-0005-0000-0000-00001CD70000}"/>
    <cellStyle name="Normal 9 2 2 2 5 2 3" xfId="46248" xr:uid="{00000000-0005-0000-0000-00001DD70000}"/>
    <cellStyle name="Normal 9 2 2 2 5 2 4" xfId="30148" xr:uid="{00000000-0005-0000-0000-00001ED70000}"/>
    <cellStyle name="Normal 9 2 2 2 5 2 5" xfId="20579" xr:uid="{00000000-0005-0000-0000-00001FD70000}"/>
    <cellStyle name="Normal 9 2 2 2 5 3" xfId="11010" xr:uid="{00000000-0005-0000-0000-000020D70000}"/>
    <cellStyle name="Normal 9 2 2 2 5 3 2" xfId="49284" xr:uid="{00000000-0005-0000-0000-000021D70000}"/>
    <cellStyle name="Normal 9 2 2 2 5 3 3" xfId="33184" xr:uid="{00000000-0005-0000-0000-000022D70000}"/>
    <cellStyle name="Normal 9 2 2 2 5 3 4" xfId="23615" xr:uid="{00000000-0005-0000-0000-000023D70000}"/>
    <cellStyle name="Normal 9 2 2 2 5 4" xfId="4938" xr:uid="{00000000-0005-0000-0000-000024D70000}"/>
    <cellStyle name="Normal 9 2 2 2 5 4 2" xfId="52779" xr:uid="{00000000-0005-0000-0000-000025D70000}"/>
    <cellStyle name="Normal 9 2 2 2 5 4 3" xfId="36679" xr:uid="{00000000-0005-0000-0000-000026D70000}"/>
    <cellStyle name="Normal 9 2 2 2 5 4 4" xfId="17543" xr:uid="{00000000-0005-0000-0000-000027D70000}"/>
    <cellStyle name="Normal 9 2 2 2 5 5" xfId="43212" xr:uid="{00000000-0005-0000-0000-000028D70000}"/>
    <cellStyle name="Normal 9 2 2 2 5 6" xfId="27112" xr:uid="{00000000-0005-0000-0000-000029D70000}"/>
    <cellStyle name="Normal 9 2 2 2 5 7" xfId="14048" xr:uid="{00000000-0005-0000-0000-00002AD70000}"/>
    <cellStyle name="Normal 9 2 2 2 6" xfId="3928" xr:uid="{00000000-0005-0000-0000-00002BD70000}"/>
    <cellStyle name="Normal 9 2 2 2 6 2" xfId="35669" xr:uid="{00000000-0005-0000-0000-00002CD70000}"/>
    <cellStyle name="Normal 9 2 2 2 6 2 2" xfId="51769" xr:uid="{00000000-0005-0000-0000-00002DD70000}"/>
    <cellStyle name="Normal 9 2 2 2 6 3" xfId="42202" xr:uid="{00000000-0005-0000-0000-00002ED70000}"/>
    <cellStyle name="Normal 9 2 2 2 6 4" xfId="26102" xr:uid="{00000000-0005-0000-0000-00002FD70000}"/>
    <cellStyle name="Normal 9 2 2 2 6 5" xfId="16533" xr:uid="{00000000-0005-0000-0000-000030D70000}"/>
    <cellStyle name="Normal 9 2 2 2 7" xfId="6964" xr:uid="{00000000-0005-0000-0000-000031D70000}"/>
    <cellStyle name="Normal 9 2 2 2 7 2" xfId="38705" xr:uid="{00000000-0005-0000-0000-000032D70000}"/>
    <cellStyle name="Normal 9 2 2 2 7 2 2" xfId="54805" xr:uid="{00000000-0005-0000-0000-000033D70000}"/>
    <cellStyle name="Normal 9 2 2 2 7 3" xfId="45238" xr:uid="{00000000-0005-0000-0000-000034D70000}"/>
    <cellStyle name="Normal 9 2 2 2 7 4" xfId="29138" xr:uid="{00000000-0005-0000-0000-000035D70000}"/>
    <cellStyle name="Normal 9 2 2 2 7 5" xfId="19569" xr:uid="{00000000-0005-0000-0000-000036D70000}"/>
    <cellStyle name="Normal 9 2 2 2 8" xfId="10000" xr:uid="{00000000-0005-0000-0000-000037D70000}"/>
    <cellStyle name="Normal 9 2 2 2 8 2" xfId="48274" xr:uid="{00000000-0005-0000-0000-000038D70000}"/>
    <cellStyle name="Normal 9 2 2 2 8 3" xfId="32174" xr:uid="{00000000-0005-0000-0000-000039D70000}"/>
    <cellStyle name="Normal 9 2 2 2 8 4" xfId="22605" xr:uid="{00000000-0005-0000-0000-00003AD70000}"/>
    <cellStyle name="Normal 9 2 2 2 9" xfId="3405" xr:uid="{00000000-0005-0000-0000-00003BD70000}"/>
    <cellStyle name="Normal 9 2 2 2 9 2" xfId="51246" xr:uid="{00000000-0005-0000-0000-00003CD70000}"/>
    <cellStyle name="Normal 9 2 2 2 9 3" xfId="35146" xr:uid="{00000000-0005-0000-0000-00003DD70000}"/>
    <cellStyle name="Normal 9 2 2 2 9 4" xfId="16010" xr:uid="{00000000-0005-0000-0000-00003ED70000}"/>
    <cellStyle name="Normal 9 2 2 3" xfId="315" xr:uid="{00000000-0005-0000-0000-00003FD70000}"/>
    <cellStyle name="Normal 9 2 2 3 2" xfId="2334" xr:uid="{00000000-0005-0000-0000-000040D70000}"/>
    <cellStyle name="Normal 9 2 2 3 2 2" xfId="8868" xr:uid="{00000000-0005-0000-0000-000041D70000}"/>
    <cellStyle name="Normal 9 2 2 3 2 2 2" xfId="40609" xr:uid="{00000000-0005-0000-0000-000042D70000}"/>
    <cellStyle name="Normal 9 2 2 3 2 2 2 2" xfId="56709" xr:uid="{00000000-0005-0000-0000-000043D70000}"/>
    <cellStyle name="Normal 9 2 2 3 2 2 3" xfId="47142" xr:uid="{00000000-0005-0000-0000-000044D70000}"/>
    <cellStyle name="Normal 9 2 2 3 2 2 4" xfId="31042" xr:uid="{00000000-0005-0000-0000-000045D70000}"/>
    <cellStyle name="Normal 9 2 2 3 2 2 5" xfId="21473" xr:uid="{00000000-0005-0000-0000-000046D70000}"/>
    <cellStyle name="Normal 9 2 2 3 2 3" xfId="11904" xr:uid="{00000000-0005-0000-0000-000047D70000}"/>
    <cellStyle name="Normal 9 2 2 3 2 3 2" xfId="50178" xr:uid="{00000000-0005-0000-0000-000048D70000}"/>
    <cellStyle name="Normal 9 2 2 3 2 3 3" xfId="34078" xr:uid="{00000000-0005-0000-0000-000049D70000}"/>
    <cellStyle name="Normal 9 2 2 3 2 3 4" xfId="24509" xr:uid="{00000000-0005-0000-0000-00004AD70000}"/>
    <cellStyle name="Normal 9 2 2 3 2 4" xfId="5832" xr:uid="{00000000-0005-0000-0000-00004BD70000}"/>
    <cellStyle name="Normal 9 2 2 3 2 4 2" xfId="53673" xr:uid="{00000000-0005-0000-0000-00004CD70000}"/>
    <cellStyle name="Normal 9 2 2 3 2 4 3" xfId="37573" xr:uid="{00000000-0005-0000-0000-00004DD70000}"/>
    <cellStyle name="Normal 9 2 2 3 2 4 4" xfId="18437" xr:uid="{00000000-0005-0000-0000-00004ED70000}"/>
    <cellStyle name="Normal 9 2 2 3 2 5" xfId="44106" xr:uid="{00000000-0005-0000-0000-00004FD70000}"/>
    <cellStyle name="Normal 9 2 2 3 2 6" xfId="28006" xr:uid="{00000000-0005-0000-0000-000050D70000}"/>
    <cellStyle name="Normal 9 2 2 3 2 7" xfId="14942" xr:uid="{00000000-0005-0000-0000-000051D70000}"/>
    <cellStyle name="Normal 9 2 2 3 3" xfId="1546" xr:uid="{00000000-0005-0000-0000-000052D70000}"/>
    <cellStyle name="Normal 9 2 2 3 3 2" xfId="8080" xr:uid="{00000000-0005-0000-0000-000053D70000}"/>
    <cellStyle name="Normal 9 2 2 3 3 2 2" xfId="39821" xr:uid="{00000000-0005-0000-0000-000054D70000}"/>
    <cellStyle name="Normal 9 2 2 3 3 2 2 2" xfId="55921" xr:uid="{00000000-0005-0000-0000-000055D70000}"/>
    <cellStyle name="Normal 9 2 2 3 3 2 3" xfId="46354" xr:uid="{00000000-0005-0000-0000-000056D70000}"/>
    <cellStyle name="Normal 9 2 2 3 3 2 4" xfId="30254" xr:uid="{00000000-0005-0000-0000-000057D70000}"/>
    <cellStyle name="Normal 9 2 2 3 3 2 5" xfId="20685" xr:uid="{00000000-0005-0000-0000-000058D70000}"/>
    <cellStyle name="Normal 9 2 2 3 3 3" xfId="11116" xr:uid="{00000000-0005-0000-0000-000059D70000}"/>
    <cellStyle name="Normal 9 2 2 3 3 3 2" xfId="49390" xr:uid="{00000000-0005-0000-0000-00005AD70000}"/>
    <cellStyle name="Normal 9 2 2 3 3 3 3" xfId="33290" xr:uid="{00000000-0005-0000-0000-00005BD70000}"/>
    <cellStyle name="Normal 9 2 2 3 3 3 4" xfId="23721" xr:uid="{00000000-0005-0000-0000-00005CD70000}"/>
    <cellStyle name="Normal 9 2 2 3 3 4" xfId="5044" xr:uid="{00000000-0005-0000-0000-00005DD70000}"/>
    <cellStyle name="Normal 9 2 2 3 3 4 2" xfId="52885" xr:uid="{00000000-0005-0000-0000-00005ED70000}"/>
    <cellStyle name="Normal 9 2 2 3 3 4 3" xfId="36785" xr:uid="{00000000-0005-0000-0000-00005FD70000}"/>
    <cellStyle name="Normal 9 2 2 3 3 4 4" xfId="17649" xr:uid="{00000000-0005-0000-0000-000060D70000}"/>
    <cellStyle name="Normal 9 2 2 3 3 5" xfId="43318" xr:uid="{00000000-0005-0000-0000-000061D70000}"/>
    <cellStyle name="Normal 9 2 2 3 3 6" xfId="27218" xr:uid="{00000000-0005-0000-0000-000062D70000}"/>
    <cellStyle name="Normal 9 2 2 3 3 7" xfId="14154" xr:uid="{00000000-0005-0000-0000-000063D70000}"/>
    <cellStyle name="Normal 9 2 2 3 4" xfId="7070" xr:uid="{00000000-0005-0000-0000-000064D70000}"/>
    <cellStyle name="Normal 9 2 2 3 4 2" xfId="38811" xr:uid="{00000000-0005-0000-0000-000065D70000}"/>
    <cellStyle name="Normal 9 2 2 3 4 2 2" xfId="54911" xr:uid="{00000000-0005-0000-0000-000066D70000}"/>
    <cellStyle name="Normal 9 2 2 3 4 3" xfId="45344" xr:uid="{00000000-0005-0000-0000-000067D70000}"/>
    <cellStyle name="Normal 9 2 2 3 4 4" xfId="29244" xr:uid="{00000000-0005-0000-0000-000068D70000}"/>
    <cellStyle name="Normal 9 2 2 3 4 5" xfId="19675" xr:uid="{00000000-0005-0000-0000-000069D70000}"/>
    <cellStyle name="Normal 9 2 2 3 5" xfId="10106" xr:uid="{00000000-0005-0000-0000-00006AD70000}"/>
    <cellStyle name="Normal 9 2 2 3 5 2" xfId="48380" xr:uid="{00000000-0005-0000-0000-00006BD70000}"/>
    <cellStyle name="Normal 9 2 2 3 5 3" xfId="32280" xr:uid="{00000000-0005-0000-0000-00006CD70000}"/>
    <cellStyle name="Normal 9 2 2 3 5 4" xfId="22711" xr:uid="{00000000-0005-0000-0000-00006DD70000}"/>
    <cellStyle name="Normal 9 2 2 3 6" xfId="4034" xr:uid="{00000000-0005-0000-0000-00006ED70000}"/>
    <cellStyle name="Normal 9 2 2 3 6 2" xfId="51875" xr:uid="{00000000-0005-0000-0000-00006FD70000}"/>
    <cellStyle name="Normal 9 2 2 3 6 3" xfId="35775" xr:uid="{00000000-0005-0000-0000-000070D70000}"/>
    <cellStyle name="Normal 9 2 2 3 6 4" xfId="16639" xr:uid="{00000000-0005-0000-0000-000071D70000}"/>
    <cellStyle name="Normal 9 2 2 3 7" xfId="42308" xr:uid="{00000000-0005-0000-0000-000072D70000}"/>
    <cellStyle name="Normal 9 2 2 3 8" xfId="26208" xr:uid="{00000000-0005-0000-0000-000073D70000}"/>
    <cellStyle name="Normal 9 2 2 3 9" xfId="13144" xr:uid="{00000000-0005-0000-0000-000074D70000}"/>
    <cellStyle name="Normal 9 2 2 4" xfId="572" xr:uid="{00000000-0005-0000-0000-000075D70000}"/>
    <cellStyle name="Normal 9 2 2 4 2" xfId="2601" xr:uid="{00000000-0005-0000-0000-000076D70000}"/>
    <cellStyle name="Normal 9 2 2 4 2 2" xfId="9133" xr:uid="{00000000-0005-0000-0000-000077D70000}"/>
    <cellStyle name="Normal 9 2 2 4 2 2 2" xfId="40874" xr:uid="{00000000-0005-0000-0000-000078D70000}"/>
    <cellStyle name="Normal 9 2 2 4 2 2 2 2" xfId="56974" xr:uid="{00000000-0005-0000-0000-000079D70000}"/>
    <cellStyle name="Normal 9 2 2 4 2 2 3" xfId="47407" xr:uid="{00000000-0005-0000-0000-00007AD70000}"/>
    <cellStyle name="Normal 9 2 2 4 2 2 4" xfId="31307" xr:uid="{00000000-0005-0000-0000-00007BD70000}"/>
    <cellStyle name="Normal 9 2 2 4 2 2 5" xfId="21738" xr:uid="{00000000-0005-0000-0000-00007CD70000}"/>
    <cellStyle name="Normal 9 2 2 4 2 3" xfId="12169" xr:uid="{00000000-0005-0000-0000-00007DD70000}"/>
    <cellStyle name="Normal 9 2 2 4 2 3 2" xfId="50443" xr:uid="{00000000-0005-0000-0000-00007ED70000}"/>
    <cellStyle name="Normal 9 2 2 4 2 3 3" xfId="34343" xr:uid="{00000000-0005-0000-0000-00007FD70000}"/>
    <cellStyle name="Normal 9 2 2 4 2 3 4" xfId="24774" xr:uid="{00000000-0005-0000-0000-000080D70000}"/>
    <cellStyle name="Normal 9 2 2 4 2 4" xfId="6097" xr:uid="{00000000-0005-0000-0000-000081D70000}"/>
    <cellStyle name="Normal 9 2 2 4 2 4 2" xfId="53938" xr:uid="{00000000-0005-0000-0000-000082D70000}"/>
    <cellStyle name="Normal 9 2 2 4 2 4 3" xfId="37838" xr:uid="{00000000-0005-0000-0000-000083D70000}"/>
    <cellStyle name="Normal 9 2 2 4 2 4 4" xfId="18702" xr:uid="{00000000-0005-0000-0000-000084D70000}"/>
    <cellStyle name="Normal 9 2 2 4 2 5" xfId="44371" xr:uid="{00000000-0005-0000-0000-000085D70000}"/>
    <cellStyle name="Normal 9 2 2 4 2 6" xfId="28271" xr:uid="{00000000-0005-0000-0000-000086D70000}"/>
    <cellStyle name="Normal 9 2 2 4 2 7" xfId="15207" xr:uid="{00000000-0005-0000-0000-000087D70000}"/>
    <cellStyle name="Normal 9 2 2 4 3" xfId="1369" xr:uid="{00000000-0005-0000-0000-000088D70000}"/>
    <cellStyle name="Normal 9 2 2 4 3 2" xfId="7903" xr:uid="{00000000-0005-0000-0000-000089D70000}"/>
    <cellStyle name="Normal 9 2 2 4 3 2 2" xfId="39644" xr:uid="{00000000-0005-0000-0000-00008AD70000}"/>
    <cellStyle name="Normal 9 2 2 4 3 2 2 2" xfId="55744" xr:uid="{00000000-0005-0000-0000-00008BD70000}"/>
    <cellStyle name="Normal 9 2 2 4 3 2 3" xfId="46177" xr:uid="{00000000-0005-0000-0000-00008CD70000}"/>
    <cellStyle name="Normal 9 2 2 4 3 2 4" xfId="30077" xr:uid="{00000000-0005-0000-0000-00008DD70000}"/>
    <cellStyle name="Normal 9 2 2 4 3 2 5" xfId="20508" xr:uid="{00000000-0005-0000-0000-00008ED70000}"/>
    <cellStyle name="Normal 9 2 2 4 3 3" xfId="10939" xr:uid="{00000000-0005-0000-0000-00008FD70000}"/>
    <cellStyle name="Normal 9 2 2 4 3 3 2" xfId="49213" xr:uid="{00000000-0005-0000-0000-000090D70000}"/>
    <cellStyle name="Normal 9 2 2 4 3 3 3" xfId="33113" xr:uid="{00000000-0005-0000-0000-000091D70000}"/>
    <cellStyle name="Normal 9 2 2 4 3 3 4" xfId="23544" xr:uid="{00000000-0005-0000-0000-000092D70000}"/>
    <cellStyle name="Normal 9 2 2 4 3 4" xfId="4867" xr:uid="{00000000-0005-0000-0000-000093D70000}"/>
    <cellStyle name="Normal 9 2 2 4 3 4 2" xfId="52708" xr:uid="{00000000-0005-0000-0000-000094D70000}"/>
    <cellStyle name="Normal 9 2 2 4 3 4 3" xfId="36608" xr:uid="{00000000-0005-0000-0000-000095D70000}"/>
    <cellStyle name="Normal 9 2 2 4 3 4 4" xfId="17472" xr:uid="{00000000-0005-0000-0000-000096D70000}"/>
    <cellStyle name="Normal 9 2 2 4 3 5" xfId="43141" xr:uid="{00000000-0005-0000-0000-000097D70000}"/>
    <cellStyle name="Normal 9 2 2 4 3 6" xfId="27041" xr:uid="{00000000-0005-0000-0000-000098D70000}"/>
    <cellStyle name="Normal 9 2 2 4 3 7" xfId="13977" xr:uid="{00000000-0005-0000-0000-000099D70000}"/>
    <cellStyle name="Normal 9 2 2 4 4" xfId="6893" xr:uid="{00000000-0005-0000-0000-00009AD70000}"/>
    <cellStyle name="Normal 9 2 2 4 4 2" xfId="38634" xr:uid="{00000000-0005-0000-0000-00009BD70000}"/>
    <cellStyle name="Normal 9 2 2 4 4 2 2" xfId="54734" xr:uid="{00000000-0005-0000-0000-00009CD70000}"/>
    <cellStyle name="Normal 9 2 2 4 4 3" xfId="45167" xr:uid="{00000000-0005-0000-0000-00009DD70000}"/>
    <cellStyle name="Normal 9 2 2 4 4 4" xfId="29067" xr:uid="{00000000-0005-0000-0000-00009ED70000}"/>
    <cellStyle name="Normal 9 2 2 4 4 5" xfId="19498" xr:uid="{00000000-0005-0000-0000-00009FD70000}"/>
    <cellStyle name="Normal 9 2 2 4 5" xfId="9929" xr:uid="{00000000-0005-0000-0000-0000A0D70000}"/>
    <cellStyle name="Normal 9 2 2 4 5 2" xfId="48203" xr:uid="{00000000-0005-0000-0000-0000A1D70000}"/>
    <cellStyle name="Normal 9 2 2 4 5 3" xfId="32103" xr:uid="{00000000-0005-0000-0000-0000A2D70000}"/>
    <cellStyle name="Normal 9 2 2 4 5 4" xfId="22534" xr:uid="{00000000-0005-0000-0000-0000A3D70000}"/>
    <cellStyle name="Normal 9 2 2 4 6" xfId="3857" xr:uid="{00000000-0005-0000-0000-0000A4D70000}"/>
    <cellStyle name="Normal 9 2 2 4 6 2" xfId="51698" xr:uid="{00000000-0005-0000-0000-0000A5D70000}"/>
    <cellStyle name="Normal 9 2 2 4 6 3" xfId="35598" xr:uid="{00000000-0005-0000-0000-0000A6D70000}"/>
    <cellStyle name="Normal 9 2 2 4 6 4" xfId="16462" xr:uid="{00000000-0005-0000-0000-0000A7D70000}"/>
    <cellStyle name="Normal 9 2 2 4 7" xfId="42131" xr:uid="{00000000-0005-0000-0000-0000A8D70000}"/>
    <cellStyle name="Normal 9 2 2 4 8" xfId="26031" xr:uid="{00000000-0005-0000-0000-0000A9D70000}"/>
    <cellStyle name="Normal 9 2 2 4 9" xfId="12967" xr:uid="{00000000-0005-0000-0000-0000AAD70000}"/>
    <cellStyle name="Normal 9 2 2 5" xfId="812" xr:uid="{00000000-0005-0000-0000-0000ABD70000}"/>
    <cellStyle name="Normal 9 2 2 5 2" xfId="2840" xr:uid="{00000000-0005-0000-0000-0000ACD70000}"/>
    <cellStyle name="Normal 9 2 2 5 2 2" xfId="9372" xr:uid="{00000000-0005-0000-0000-0000ADD70000}"/>
    <cellStyle name="Normal 9 2 2 5 2 2 2" xfId="41113" xr:uid="{00000000-0005-0000-0000-0000AED70000}"/>
    <cellStyle name="Normal 9 2 2 5 2 2 2 2" xfId="57213" xr:uid="{00000000-0005-0000-0000-0000AFD70000}"/>
    <cellStyle name="Normal 9 2 2 5 2 2 3" xfId="47646" xr:uid="{00000000-0005-0000-0000-0000B0D70000}"/>
    <cellStyle name="Normal 9 2 2 5 2 2 4" xfId="31546" xr:uid="{00000000-0005-0000-0000-0000B1D70000}"/>
    <cellStyle name="Normal 9 2 2 5 2 2 5" xfId="21977" xr:uid="{00000000-0005-0000-0000-0000B2D70000}"/>
    <cellStyle name="Normal 9 2 2 5 2 3" xfId="12408" xr:uid="{00000000-0005-0000-0000-0000B3D70000}"/>
    <cellStyle name="Normal 9 2 2 5 2 3 2" xfId="50682" xr:uid="{00000000-0005-0000-0000-0000B4D70000}"/>
    <cellStyle name="Normal 9 2 2 5 2 3 3" xfId="34582" xr:uid="{00000000-0005-0000-0000-0000B5D70000}"/>
    <cellStyle name="Normal 9 2 2 5 2 3 4" xfId="25013" xr:uid="{00000000-0005-0000-0000-0000B6D70000}"/>
    <cellStyle name="Normal 9 2 2 5 2 4" xfId="6336" xr:uid="{00000000-0005-0000-0000-0000B7D70000}"/>
    <cellStyle name="Normal 9 2 2 5 2 4 2" xfId="54177" xr:uid="{00000000-0005-0000-0000-0000B8D70000}"/>
    <cellStyle name="Normal 9 2 2 5 2 4 3" xfId="38077" xr:uid="{00000000-0005-0000-0000-0000B9D70000}"/>
    <cellStyle name="Normal 9 2 2 5 2 4 4" xfId="18941" xr:uid="{00000000-0005-0000-0000-0000BAD70000}"/>
    <cellStyle name="Normal 9 2 2 5 2 5" xfId="44610" xr:uid="{00000000-0005-0000-0000-0000BBD70000}"/>
    <cellStyle name="Normal 9 2 2 5 2 6" xfId="28510" xr:uid="{00000000-0005-0000-0000-0000BCD70000}"/>
    <cellStyle name="Normal 9 2 2 5 2 7" xfId="15446" xr:uid="{00000000-0005-0000-0000-0000BDD70000}"/>
    <cellStyle name="Normal 9 2 2 5 3" xfId="1822" xr:uid="{00000000-0005-0000-0000-0000BED70000}"/>
    <cellStyle name="Normal 9 2 2 5 3 2" xfId="8356" xr:uid="{00000000-0005-0000-0000-0000BFD70000}"/>
    <cellStyle name="Normal 9 2 2 5 3 2 2" xfId="40097" xr:uid="{00000000-0005-0000-0000-0000C0D70000}"/>
    <cellStyle name="Normal 9 2 2 5 3 2 2 2" xfId="56197" xr:uid="{00000000-0005-0000-0000-0000C1D70000}"/>
    <cellStyle name="Normal 9 2 2 5 3 2 3" xfId="46630" xr:uid="{00000000-0005-0000-0000-0000C2D70000}"/>
    <cellStyle name="Normal 9 2 2 5 3 2 4" xfId="30530" xr:uid="{00000000-0005-0000-0000-0000C3D70000}"/>
    <cellStyle name="Normal 9 2 2 5 3 2 5" xfId="20961" xr:uid="{00000000-0005-0000-0000-0000C4D70000}"/>
    <cellStyle name="Normal 9 2 2 5 3 3" xfId="11392" xr:uid="{00000000-0005-0000-0000-0000C5D70000}"/>
    <cellStyle name="Normal 9 2 2 5 3 3 2" xfId="49666" xr:uid="{00000000-0005-0000-0000-0000C6D70000}"/>
    <cellStyle name="Normal 9 2 2 5 3 3 3" xfId="33566" xr:uid="{00000000-0005-0000-0000-0000C7D70000}"/>
    <cellStyle name="Normal 9 2 2 5 3 3 4" xfId="23997" xr:uid="{00000000-0005-0000-0000-0000C8D70000}"/>
    <cellStyle name="Normal 9 2 2 5 3 4" xfId="5320" xr:uid="{00000000-0005-0000-0000-0000C9D70000}"/>
    <cellStyle name="Normal 9 2 2 5 3 4 2" xfId="53161" xr:uid="{00000000-0005-0000-0000-0000CAD70000}"/>
    <cellStyle name="Normal 9 2 2 5 3 4 3" xfId="37061" xr:uid="{00000000-0005-0000-0000-0000CBD70000}"/>
    <cellStyle name="Normal 9 2 2 5 3 4 4" xfId="17925" xr:uid="{00000000-0005-0000-0000-0000CCD70000}"/>
    <cellStyle name="Normal 9 2 2 5 3 5" xfId="43594" xr:uid="{00000000-0005-0000-0000-0000CDD70000}"/>
    <cellStyle name="Normal 9 2 2 5 3 6" xfId="27494" xr:uid="{00000000-0005-0000-0000-0000CED70000}"/>
    <cellStyle name="Normal 9 2 2 5 3 7" xfId="14430" xr:uid="{00000000-0005-0000-0000-0000CFD70000}"/>
    <cellStyle name="Normal 9 2 2 5 4" xfId="7346" xr:uid="{00000000-0005-0000-0000-0000D0D70000}"/>
    <cellStyle name="Normal 9 2 2 5 4 2" xfId="39087" xr:uid="{00000000-0005-0000-0000-0000D1D70000}"/>
    <cellStyle name="Normal 9 2 2 5 4 2 2" xfId="55187" xr:uid="{00000000-0005-0000-0000-0000D2D70000}"/>
    <cellStyle name="Normal 9 2 2 5 4 3" xfId="45620" xr:uid="{00000000-0005-0000-0000-0000D3D70000}"/>
    <cellStyle name="Normal 9 2 2 5 4 4" xfId="29520" xr:uid="{00000000-0005-0000-0000-0000D4D70000}"/>
    <cellStyle name="Normal 9 2 2 5 4 5" xfId="19951" xr:uid="{00000000-0005-0000-0000-0000D5D70000}"/>
    <cellStyle name="Normal 9 2 2 5 5" xfId="10382" xr:uid="{00000000-0005-0000-0000-0000D6D70000}"/>
    <cellStyle name="Normal 9 2 2 5 5 2" xfId="48656" xr:uid="{00000000-0005-0000-0000-0000D7D70000}"/>
    <cellStyle name="Normal 9 2 2 5 5 3" xfId="32556" xr:uid="{00000000-0005-0000-0000-0000D8D70000}"/>
    <cellStyle name="Normal 9 2 2 5 5 4" xfId="22987" xr:uid="{00000000-0005-0000-0000-0000D9D70000}"/>
    <cellStyle name="Normal 9 2 2 5 6" xfId="4310" xr:uid="{00000000-0005-0000-0000-0000DAD70000}"/>
    <cellStyle name="Normal 9 2 2 5 6 2" xfId="52151" xr:uid="{00000000-0005-0000-0000-0000DBD70000}"/>
    <cellStyle name="Normal 9 2 2 5 6 3" xfId="36051" xr:uid="{00000000-0005-0000-0000-0000DCD70000}"/>
    <cellStyle name="Normal 9 2 2 5 6 4" xfId="16915" xr:uid="{00000000-0005-0000-0000-0000DDD70000}"/>
    <cellStyle name="Normal 9 2 2 5 7" xfId="42584" xr:uid="{00000000-0005-0000-0000-0000DED70000}"/>
    <cellStyle name="Normal 9 2 2 5 8" xfId="26484" xr:uid="{00000000-0005-0000-0000-0000DFD70000}"/>
    <cellStyle name="Normal 9 2 2 5 9" xfId="13420" xr:uid="{00000000-0005-0000-0000-0000E0D70000}"/>
    <cellStyle name="Normal 9 2 2 6" xfId="2157" xr:uid="{00000000-0005-0000-0000-0000E1D70000}"/>
    <cellStyle name="Normal 9 2 2 6 2" xfId="8691" xr:uid="{00000000-0005-0000-0000-0000E2D70000}"/>
    <cellStyle name="Normal 9 2 2 6 2 2" xfId="40432" xr:uid="{00000000-0005-0000-0000-0000E3D70000}"/>
    <cellStyle name="Normal 9 2 2 6 2 2 2" xfId="56532" xr:uid="{00000000-0005-0000-0000-0000E4D70000}"/>
    <cellStyle name="Normal 9 2 2 6 2 3" xfId="46965" xr:uid="{00000000-0005-0000-0000-0000E5D70000}"/>
    <cellStyle name="Normal 9 2 2 6 2 4" xfId="30865" xr:uid="{00000000-0005-0000-0000-0000E6D70000}"/>
    <cellStyle name="Normal 9 2 2 6 2 5" xfId="21296" xr:uid="{00000000-0005-0000-0000-0000E7D70000}"/>
    <cellStyle name="Normal 9 2 2 6 3" xfId="11727" xr:uid="{00000000-0005-0000-0000-0000E8D70000}"/>
    <cellStyle name="Normal 9 2 2 6 3 2" xfId="50001" xr:uid="{00000000-0005-0000-0000-0000E9D70000}"/>
    <cellStyle name="Normal 9 2 2 6 3 3" xfId="33901" xr:uid="{00000000-0005-0000-0000-0000EAD70000}"/>
    <cellStyle name="Normal 9 2 2 6 3 4" xfId="24332" xr:uid="{00000000-0005-0000-0000-0000EBD70000}"/>
    <cellStyle name="Normal 9 2 2 6 4" xfId="5655" xr:uid="{00000000-0005-0000-0000-0000ECD70000}"/>
    <cellStyle name="Normal 9 2 2 6 4 2" xfId="53496" xr:uid="{00000000-0005-0000-0000-0000EDD70000}"/>
    <cellStyle name="Normal 9 2 2 6 4 3" xfId="37396" xr:uid="{00000000-0005-0000-0000-0000EED70000}"/>
    <cellStyle name="Normal 9 2 2 6 4 4" xfId="18260" xr:uid="{00000000-0005-0000-0000-0000EFD70000}"/>
    <cellStyle name="Normal 9 2 2 6 5" xfId="43929" xr:uid="{00000000-0005-0000-0000-0000F0D70000}"/>
    <cellStyle name="Normal 9 2 2 6 6" xfId="27829" xr:uid="{00000000-0005-0000-0000-0000F1D70000}"/>
    <cellStyle name="Normal 9 2 2 6 7" xfId="14765" xr:uid="{00000000-0005-0000-0000-0000F2D70000}"/>
    <cellStyle name="Normal 9 2 2 7" xfId="1139" xr:uid="{00000000-0005-0000-0000-0000F3D70000}"/>
    <cellStyle name="Normal 9 2 2 7 2" xfId="7673" xr:uid="{00000000-0005-0000-0000-0000F4D70000}"/>
    <cellStyle name="Normal 9 2 2 7 2 2" xfId="39414" xr:uid="{00000000-0005-0000-0000-0000F5D70000}"/>
    <cellStyle name="Normal 9 2 2 7 2 2 2" xfId="55514" xr:uid="{00000000-0005-0000-0000-0000F6D70000}"/>
    <cellStyle name="Normal 9 2 2 7 2 3" xfId="45947" xr:uid="{00000000-0005-0000-0000-0000F7D70000}"/>
    <cellStyle name="Normal 9 2 2 7 2 4" xfId="29847" xr:uid="{00000000-0005-0000-0000-0000F8D70000}"/>
    <cellStyle name="Normal 9 2 2 7 2 5" xfId="20278" xr:uid="{00000000-0005-0000-0000-0000F9D70000}"/>
    <cellStyle name="Normal 9 2 2 7 3" xfId="10709" xr:uid="{00000000-0005-0000-0000-0000FAD70000}"/>
    <cellStyle name="Normal 9 2 2 7 3 2" xfId="48983" xr:uid="{00000000-0005-0000-0000-0000FBD70000}"/>
    <cellStyle name="Normal 9 2 2 7 3 3" xfId="32883" xr:uid="{00000000-0005-0000-0000-0000FCD70000}"/>
    <cellStyle name="Normal 9 2 2 7 3 4" xfId="23314" xr:uid="{00000000-0005-0000-0000-0000FDD70000}"/>
    <cellStyle name="Normal 9 2 2 7 4" xfId="4637" xr:uid="{00000000-0005-0000-0000-0000FED70000}"/>
    <cellStyle name="Normal 9 2 2 7 4 2" xfId="52478" xr:uid="{00000000-0005-0000-0000-0000FFD70000}"/>
    <cellStyle name="Normal 9 2 2 7 4 3" xfId="36378" xr:uid="{00000000-0005-0000-0000-000000D80000}"/>
    <cellStyle name="Normal 9 2 2 7 4 4" xfId="17242" xr:uid="{00000000-0005-0000-0000-000001D80000}"/>
    <cellStyle name="Normal 9 2 2 7 5" xfId="42911" xr:uid="{00000000-0005-0000-0000-000002D80000}"/>
    <cellStyle name="Normal 9 2 2 7 6" xfId="26811" xr:uid="{00000000-0005-0000-0000-000003D80000}"/>
    <cellStyle name="Normal 9 2 2 7 7" xfId="13747" xr:uid="{00000000-0005-0000-0000-000004D80000}"/>
    <cellStyle name="Normal 9 2 2 8" xfId="3627" xr:uid="{00000000-0005-0000-0000-000005D80000}"/>
    <cellStyle name="Normal 9 2 2 8 2" xfId="35368" xr:uid="{00000000-0005-0000-0000-000006D80000}"/>
    <cellStyle name="Normal 9 2 2 8 2 2" xfId="51468" xr:uid="{00000000-0005-0000-0000-000007D80000}"/>
    <cellStyle name="Normal 9 2 2 8 3" xfId="41901" xr:uid="{00000000-0005-0000-0000-000008D80000}"/>
    <cellStyle name="Normal 9 2 2 8 4" xfId="25801" xr:uid="{00000000-0005-0000-0000-000009D80000}"/>
    <cellStyle name="Normal 9 2 2 8 5" xfId="16232" xr:uid="{00000000-0005-0000-0000-00000AD80000}"/>
    <cellStyle name="Normal 9 2 2 9" xfId="6663" xr:uid="{00000000-0005-0000-0000-00000BD80000}"/>
    <cellStyle name="Normal 9 2 2 9 2" xfId="38404" xr:uid="{00000000-0005-0000-0000-00000CD80000}"/>
    <cellStyle name="Normal 9 2 2 9 2 2" xfId="54504" xr:uid="{00000000-0005-0000-0000-00000DD80000}"/>
    <cellStyle name="Normal 9 2 2 9 3" xfId="44937" xr:uid="{00000000-0005-0000-0000-00000ED80000}"/>
    <cellStyle name="Normal 9 2 2 9 4" xfId="28837" xr:uid="{00000000-0005-0000-0000-00000FD80000}"/>
    <cellStyle name="Normal 9 2 2 9 5" xfId="19268" xr:uid="{00000000-0005-0000-0000-000010D80000}"/>
    <cellStyle name="Normal 9 2 3" xfId="98" xr:uid="{00000000-0005-0000-0000-000011D80000}"/>
    <cellStyle name="Normal 9 2 3 10" xfId="41616" xr:uid="{00000000-0005-0000-0000-000012D80000}"/>
    <cellStyle name="Normal 9 2 3 11" xfId="25516" xr:uid="{00000000-0005-0000-0000-000013D80000}"/>
    <cellStyle name="Normal 9 2 3 12" xfId="12931" xr:uid="{00000000-0005-0000-0000-000014D80000}"/>
    <cellStyle name="Normal 9 2 3 2" xfId="279" xr:uid="{00000000-0005-0000-0000-000015D80000}"/>
    <cellStyle name="Normal 9 2 3 2 2" xfId="2298" xr:uid="{00000000-0005-0000-0000-000016D80000}"/>
    <cellStyle name="Normal 9 2 3 2 2 2" xfId="8832" xr:uid="{00000000-0005-0000-0000-000017D80000}"/>
    <cellStyle name="Normal 9 2 3 2 2 2 2" xfId="40573" xr:uid="{00000000-0005-0000-0000-000018D80000}"/>
    <cellStyle name="Normal 9 2 3 2 2 2 2 2" xfId="56673" xr:uid="{00000000-0005-0000-0000-000019D80000}"/>
    <cellStyle name="Normal 9 2 3 2 2 2 3" xfId="47106" xr:uid="{00000000-0005-0000-0000-00001AD80000}"/>
    <cellStyle name="Normal 9 2 3 2 2 2 4" xfId="31006" xr:uid="{00000000-0005-0000-0000-00001BD80000}"/>
    <cellStyle name="Normal 9 2 3 2 2 2 5" xfId="21437" xr:uid="{00000000-0005-0000-0000-00001CD80000}"/>
    <cellStyle name="Normal 9 2 3 2 2 3" xfId="11868" xr:uid="{00000000-0005-0000-0000-00001DD80000}"/>
    <cellStyle name="Normal 9 2 3 2 2 3 2" xfId="50142" xr:uid="{00000000-0005-0000-0000-00001ED80000}"/>
    <cellStyle name="Normal 9 2 3 2 2 3 3" xfId="34042" xr:uid="{00000000-0005-0000-0000-00001FD80000}"/>
    <cellStyle name="Normal 9 2 3 2 2 3 4" xfId="24473" xr:uid="{00000000-0005-0000-0000-000020D80000}"/>
    <cellStyle name="Normal 9 2 3 2 2 4" xfId="5796" xr:uid="{00000000-0005-0000-0000-000021D80000}"/>
    <cellStyle name="Normal 9 2 3 2 2 4 2" xfId="53637" xr:uid="{00000000-0005-0000-0000-000022D80000}"/>
    <cellStyle name="Normal 9 2 3 2 2 4 3" xfId="37537" xr:uid="{00000000-0005-0000-0000-000023D80000}"/>
    <cellStyle name="Normal 9 2 3 2 2 4 4" xfId="18401" xr:uid="{00000000-0005-0000-0000-000024D80000}"/>
    <cellStyle name="Normal 9 2 3 2 2 5" xfId="44070" xr:uid="{00000000-0005-0000-0000-000025D80000}"/>
    <cellStyle name="Normal 9 2 3 2 2 6" xfId="27970" xr:uid="{00000000-0005-0000-0000-000026D80000}"/>
    <cellStyle name="Normal 9 2 3 2 2 7" xfId="14906" xr:uid="{00000000-0005-0000-0000-000027D80000}"/>
    <cellStyle name="Normal 9 2 3 2 3" xfId="1510" xr:uid="{00000000-0005-0000-0000-000028D80000}"/>
    <cellStyle name="Normal 9 2 3 2 3 2" xfId="8044" xr:uid="{00000000-0005-0000-0000-000029D80000}"/>
    <cellStyle name="Normal 9 2 3 2 3 2 2" xfId="39785" xr:uid="{00000000-0005-0000-0000-00002AD80000}"/>
    <cellStyle name="Normal 9 2 3 2 3 2 2 2" xfId="55885" xr:uid="{00000000-0005-0000-0000-00002BD80000}"/>
    <cellStyle name="Normal 9 2 3 2 3 2 3" xfId="46318" xr:uid="{00000000-0005-0000-0000-00002CD80000}"/>
    <cellStyle name="Normal 9 2 3 2 3 2 4" xfId="30218" xr:uid="{00000000-0005-0000-0000-00002DD80000}"/>
    <cellStyle name="Normal 9 2 3 2 3 2 5" xfId="20649" xr:uid="{00000000-0005-0000-0000-00002ED80000}"/>
    <cellStyle name="Normal 9 2 3 2 3 3" xfId="11080" xr:uid="{00000000-0005-0000-0000-00002FD80000}"/>
    <cellStyle name="Normal 9 2 3 2 3 3 2" xfId="49354" xr:uid="{00000000-0005-0000-0000-000030D80000}"/>
    <cellStyle name="Normal 9 2 3 2 3 3 3" xfId="33254" xr:uid="{00000000-0005-0000-0000-000031D80000}"/>
    <cellStyle name="Normal 9 2 3 2 3 3 4" xfId="23685" xr:uid="{00000000-0005-0000-0000-000032D80000}"/>
    <cellStyle name="Normal 9 2 3 2 3 4" xfId="5008" xr:uid="{00000000-0005-0000-0000-000033D80000}"/>
    <cellStyle name="Normal 9 2 3 2 3 4 2" xfId="52849" xr:uid="{00000000-0005-0000-0000-000034D80000}"/>
    <cellStyle name="Normal 9 2 3 2 3 4 3" xfId="36749" xr:uid="{00000000-0005-0000-0000-000035D80000}"/>
    <cellStyle name="Normal 9 2 3 2 3 4 4" xfId="17613" xr:uid="{00000000-0005-0000-0000-000036D80000}"/>
    <cellStyle name="Normal 9 2 3 2 3 5" xfId="43282" xr:uid="{00000000-0005-0000-0000-000037D80000}"/>
    <cellStyle name="Normal 9 2 3 2 3 6" xfId="27182" xr:uid="{00000000-0005-0000-0000-000038D80000}"/>
    <cellStyle name="Normal 9 2 3 2 3 7" xfId="14118" xr:uid="{00000000-0005-0000-0000-000039D80000}"/>
    <cellStyle name="Normal 9 2 3 2 4" xfId="7034" xr:uid="{00000000-0005-0000-0000-00003AD80000}"/>
    <cellStyle name="Normal 9 2 3 2 4 2" xfId="38775" xr:uid="{00000000-0005-0000-0000-00003BD80000}"/>
    <cellStyle name="Normal 9 2 3 2 4 2 2" xfId="54875" xr:uid="{00000000-0005-0000-0000-00003CD80000}"/>
    <cellStyle name="Normal 9 2 3 2 4 3" xfId="45308" xr:uid="{00000000-0005-0000-0000-00003DD80000}"/>
    <cellStyle name="Normal 9 2 3 2 4 4" xfId="29208" xr:uid="{00000000-0005-0000-0000-00003ED80000}"/>
    <cellStyle name="Normal 9 2 3 2 4 5" xfId="19639" xr:uid="{00000000-0005-0000-0000-00003FD80000}"/>
    <cellStyle name="Normal 9 2 3 2 5" xfId="10070" xr:uid="{00000000-0005-0000-0000-000040D80000}"/>
    <cellStyle name="Normal 9 2 3 2 5 2" xfId="48344" xr:uid="{00000000-0005-0000-0000-000041D80000}"/>
    <cellStyle name="Normal 9 2 3 2 5 3" xfId="32244" xr:uid="{00000000-0005-0000-0000-000042D80000}"/>
    <cellStyle name="Normal 9 2 3 2 5 4" xfId="22675" xr:uid="{00000000-0005-0000-0000-000043D80000}"/>
    <cellStyle name="Normal 9 2 3 2 6" xfId="3998" xr:uid="{00000000-0005-0000-0000-000044D80000}"/>
    <cellStyle name="Normal 9 2 3 2 6 2" xfId="51839" xr:uid="{00000000-0005-0000-0000-000045D80000}"/>
    <cellStyle name="Normal 9 2 3 2 6 3" xfId="35739" xr:uid="{00000000-0005-0000-0000-000046D80000}"/>
    <cellStyle name="Normal 9 2 3 2 6 4" xfId="16603" xr:uid="{00000000-0005-0000-0000-000047D80000}"/>
    <cellStyle name="Normal 9 2 3 2 7" xfId="42272" xr:uid="{00000000-0005-0000-0000-000048D80000}"/>
    <cellStyle name="Normal 9 2 3 2 8" xfId="26172" xr:uid="{00000000-0005-0000-0000-000049D80000}"/>
    <cellStyle name="Normal 9 2 3 2 9" xfId="13108" xr:uid="{00000000-0005-0000-0000-00004AD80000}"/>
    <cellStyle name="Normal 9 2 3 3" xfId="971" xr:uid="{00000000-0005-0000-0000-00004BD80000}"/>
    <cellStyle name="Normal 9 2 3 3 2" xfId="2999" xr:uid="{00000000-0005-0000-0000-00004CD80000}"/>
    <cellStyle name="Normal 9 2 3 3 2 2" xfId="9531" xr:uid="{00000000-0005-0000-0000-00004DD80000}"/>
    <cellStyle name="Normal 9 2 3 3 2 2 2" xfId="41272" xr:uid="{00000000-0005-0000-0000-00004ED80000}"/>
    <cellStyle name="Normal 9 2 3 3 2 2 2 2" xfId="57372" xr:uid="{00000000-0005-0000-0000-00004FD80000}"/>
    <cellStyle name="Normal 9 2 3 3 2 2 3" xfId="47805" xr:uid="{00000000-0005-0000-0000-000050D80000}"/>
    <cellStyle name="Normal 9 2 3 3 2 2 4" xfId="31705" xr:uid="{00000000-0005-0000-0000-000051D80000}"/>
    <cellStyle name="Normal 9 2 3 3 2 2 5" xfId="22136" xr:uid="{00000000-0005-0000-0000-000052D80000}"/>
    <cellStyle name="Normal 9 2 3 3 2 3" xfId="12567" xr:uid="{00000000-0005-0000-0000-000053D80000}"/>
    <cellStyle name="Normal 9 2 3 3 2 3 2" xfId="50841" xr:uid="{00000000-0005-0000-0000-000054D80000}"/>
    <cellStyle name="Normal 9 2 3 3 2 3 3" xfId="34741" xr:uid="{00000000-0005-0000-0000-000055D80000}"/>
    <cellStyle name="Normal 9 2 3 3 2 3 4" xfId="25172" xr:uid="{00000000-0005-0000-0000-000056D80000}"/>
    <cellStyle name="Normal 9 2 3 3 2 4" xfId="6495" xr:uid="{00000000-0005-0000-0000-000057D80000}"/>
    <cellStyle name="Normal 9 2 3 3 2 4 2" xfId="54336" xr:uid="{00000000-0005-0000-0000-000058D80000}"/>
    <cellStyle name="Normal 9 2 3 3 2 4 3" xfId="38236" xr:uid="{00000000-0005-0000-0000-000059D80000}"/>
    <cellStyle name="Normal 9 2 3 3 2 4 4" xfId="19100" xr:uid="{00000000-0005-0000-0000-00005AD80000}"/>
    <cellStyle name="Normal 9 2 3 3 2 5" xfId="44769" xr:uid="{00000000-0005-0000-0000-00005BD80000}"/>
    <cellStyle name="Normal 9 2 3 3 2 6" xfId="28669" xr:uid="{00000000-0005-0000-0000-00005CD80000}"/>
    <cellStyle name="Normal 9 2 3 3 2 7" xfId="15605" xr:uid="{00000000-0005-0000-0000-00005DD80000}"/>
    <cellStyle name="Normal 9 2 3 3 3" xfId="1981" xr:uid="{00000000-0005-0000-0000-00005ED80000}"/>
    <cellStyle name="Normal 9 2 3 3 3 2" xfId="8515" xr:uid="{00000000-0005-0000-0000-00005FD80000}"/>
    <cellStyle name="Normal 9 2 3 3 3 2 2" xfId="40256" xr:uid="{00000000-0005-0000-0000-000060D80000}"/>
    <cellStyle name="Normal 9 2 3 3 3 2 2 2" xfId="56356" xr:uid="{00000000-0005-0000-0000-000061D80000}"/>
    <cellStyle name="Normal 9 2 3 3 3 2 3" xfId="46789" xr:uid="{00000000-0005-0000-0000-000062D80000}"/>
    <cellStyle name="Normal 9 2 3 3 3 2 4" xfId="30689" xr:uid="{00000000-0005-0000-0000-000063D80000}"/>
    <cellStyle name="Normal 9 2 3 3 3 2 5" xfId="21120" xr:uid="{00000000-0005-0000-0000-000064D80000}"/>
    <cellStyle name="Normal 9 2 3 3 3 3" xfId="11551" xr:uid="{00000000-0005-0000-0000-000065D80000}"/>
    <cellStyle name="Normal 9 2 3 3 3 3 2" xfId="49825" xr:uid="{00000000-0005-0000-0000-000066D80000}"/>
    <cellStyle name="Normal 9 2 3 3 3 3 3" xfId="33725" xr:uid="{00000000-0005-0000-0000-000067D80000}"/>
    <cellStyle name="Normal 9 2 3 3 3 3 4" xfId="24156" xr:uid="{00000000-0005-0000-0000-000068D80000}"/>
    <cellStyle name="Normal 9 2 3 3 3 4" xfId="5479" xr:uid="{00000000-0005-0000-0000-000069D80000}"/>
    <cellStyle name="Normal 9 2 3 3 3 4 2" xfId="53320" xr:uid="{00000000-0005-0000-0000-00006AD80000}"/>
    <cellStyle name="Normal 9 2 3 3 3 4 3" xfId="37220" xr:uid="{00000000-0005-0000-0000-00006BD80000}"/>
    <cellStyle name="Normal 9 2 3 3 3 4 4" xfId="18084" xr:uid="{00000000-0005-0000-0000-00006CD80000}"/>
    <cellStyle name="Normal 9 2 3 3 3 5" xfId="43753" xr:uid="{00000000-0005-0000-0000-00006DD80000}"/>
    <cellStyle name="Normal 9 2 3 3 3 6" xfId="27653" xr:uid="{00000000-0005-0000-0000-00006ED80000}"/>
    <cellStyle name="Normal 9 2 3 3 3 7" xfId="14589" xr:uid="{00000000-0005-0000-0000-00006FD80000}"/>
    <cellStyle name="Normal 9 2 3 3 4" xfId="7505" xr:uid="{00000000-0005-0000-0000-000070D80000}"/>
    <cellStyle name="Normal 9 2 3 3 4 2" xfId="39246" xr:uid="{00000000-0005-0000-0000-000071D80000}"/>
    <cellStyle name="Normal 9 2 3 3 4 2 2" xfId="55346" xr:uid="{00000000-0005-0000-0000-000072D80000}"/>
    <cellStyle name="Normal 9 2 3 3 4 3" xfId="45779" xr:uid="{00000000-0005-0000-0000-000073D80000}"/>
    <cellStyle name="Normal 9 2 3 3 4 4" xfId="29679" xr:uid="{00000000-0005-0000-0000-000074D80000}"/>
    <cellStyle name="Normal 9 2 3 3 4 5" xfId="20110" xr:uid="{00000000-0005-0000-0000-000075D80000}"/>
    <cellStyle name="Normal 9 2 3 3 5" xfId="10541" xr:uid="{00000000-0005-0000-0000-000076D80000}"/>
    <cellStyle name="Normal 9 2 3 3 5 2" xfId="48815" xr:uid="{00000000-0005-0000-0000-000077D80000}"/>
    <cellStyle name="Normal 9 2 3 3 5 3" xfId="32715" xr:uid="{00000000-0005-0000-0000-000078D80000}"/>
    <cellStyle name="Normal 9 2 3 3 5 4" xfId="23146" xr:uid="{00000000-0005-0000-0000-000079D80000}"/>
    <cellStyle name="Normal 9 2 3 3 6" xfId="4469" xr:uid="{00000000-0005-0000-0000-00007AD80000}"/>
    <cellStyle name="Normal 9 2 3 3 6 2" xfId="52310" xr:uid="{00000000-0005-0000-0000-00007BD80000}"/>
    <cellStyle name="Normal 9 2 3 3 6 3" xfId="36210" xr:uid="{00000000-0005-0000-0000-00007CD80000}"/>
    <cellStyle name="Normal 9 2 3 3 6 4" xfId="17074" xr:uid="{00000000-0005-0000-0000-00007DD80000}"/>
    <cellStyle name="Normal 9 2 3 3 7" xfId="42743" xr:uid="{00000000-0005-0000-0000-00007ED80000}"/>
    <cellStyle name="Normal 9 2 3 3 8" xfId="26643" xr:uid="{00000000-0005-0000-0000-00007FD80000}"/>
    <cellStyle name="Normal 9 2 3 3 9" xfId="13579" xr:uid="{00000000-0005-0000-0000-000080D80000}"/>
    <cellStyle name="Normal 9 2 3 4" xfId="2121" xr:uid="{00000000-0005-0000-0000-000081D80000}"/>
    <cellStyle name="Normal 9 2 3 4 2" xfId="8655" xr:uid="{00000000-0005-0000-0000-000082D80000}"/>
    <cellStyle name="Normal 9 2 3 4 2 2" xfId="40396" xr:uid="{00000000-0005-0000-0000-000083D80000}"/>
    <cellStyle name="Normal 9 2 3 4 2 2 2" xfId="56496" xr:uid="{00000000-0005-0000-0000-000084D80000}"/>
    <cellStyle name="Normal 9 2 3 4 2 3" xfId="46929" xr:uid="{00000000-0005-0000-0000-000085D80000}"/>
    <cellStyle name="Normal 9 2 3 4 2 4" xfId="30829" xr:uid="{00000000-0005-0000-0000-000086D80000}"/>
    <cellStyle name="Normal 9 2 3 4 2 5" xfId="21260" xr:uid="{00000000-0005-0000-0000-000087D80000}"/>
    <cellStyle name="Normal 9 2 3 4 3" xfId="11691" xr:uid="{00000000-0005-0000-0000-000088D80000}"/>
    <cellStyle name="Normal 9 2 3 4 3 2" xfId="49965" xr:uid="{00000000-0005-0000-0000-000089D80000}"/>
    <cellStyle name="Normal 9 2 3 4 3 3" xfId="33865" xr:uid="{00000000-0005-0000-0000-00008AD80000}"/>
    <cellStyle name="Normal 9 2 3 4 3 4" xfId="24296" xr:uid="{00000000-0005-0000-0000-00008BD80000}"/>
    <cellStyle name="Normal 9 2 3 4 4" xfId="5619" xr:uid="{00000000-0005-0000-0000-00008CD80000}"/>
    <cellStyle name="Normal 9 2 3 4 4 2" xfId="53460" xr:uid="{00000000-0005-0000-0000-00008DD80000}"/>
    <cellStyle name="Normal 9 2 3 4 4 3" xfId="37360" xr:uid="{00000000-0005-0000-0000-00008ED80000}"/>
    <cellStyle name="Normal 9 2 3 4 4 4" xfId="18224" xr:uid="{00000000-0005-0000-0000-00008FD80000}"/>
    <cellStyle name="Normal 9 2 3 4 5" xfId="43893" xr:uid="{00000000-0005-0000-0000-000090D80000}"/>
    <cellStyle name="Normal 9 2 3 4 6" xfId="27793" xr:uid="{00000000-0005-0000-0000-000091D80000}"/>
    <cellStyle name="Normal 9 2 3 4 7" xfId="14729" xr:uid="{00000000-0005-0000-0000-000092D80000}"/>
    <cellStyle name="Normal 9 2 3 5" xfId="1333" xr:uid="{00000000-0005-0000-0000-000093D80000}"/>
    <cellStyle name="Normal 9 2 3 5 2" xfId="7867" xr:uid="{00000000-0005-0000-0000-000094D80000}"/>
    <cellStyle name="Normal 9 2 3 5 2 2" xfId="39608" xr:uid="{00000000-0005-0000-0000-000095D80000}"/>
    <cellStyle name="Normal 9 2 3 5 2 2 2" xfId="55708" xr:uid="{00000000-0005-0000-0000-000096D80000}"/>
    <cellStyle name="Normal 9 2 3 5 2 3" xfId="46141" xr:uid="{00000000-0005-0000-0000-000097D80000}"/>
    <cellStyle name="Normal 9 2 3 5 2 4" xfId="30041" xr:uid="{00000000-0005-0000-0000-000098D80000}"/>
    <cellStyle name="Normal 9 2 3 5 2 5" xfId="20472" xr:uid="{00000000-0005-0000-0000-000099D80000}"/>
    <cellStyle name="Normal 9 2 3 5 3" xfId="10903" xr:uid="{00000000-0005-0000-0000-00009AD80000}"/>
    <cellStyle name="Normal 9 2 3 5 3 2" xfId="49177" xr:uid="{00000000-0005-0000-0000-00009BD80000}"/>
    <cellStyle name="Normal 9 2 3 5 3 3" xfId="33077" xr:uid="{00000000-0005-0000-0000-00009CD80000}"/>
    <cellStyle name="Normal 9 2 3 5 3 4" xfId="23508" xr:uid="{00000000-0005-0000-0000-00009DD80000}"/>
    <cellStyle name="Normal 9 2 3 5 4" xfId="4831" xr:uid="{00000000-0005-0000-0000-00009ED80000}"/>
    <cellStyle name="Normal 9 2 3 5 4 2" xfId="52672" xr:uid="{00000000-0005-0000-0000-00009FD80000}"/>
    <cellStyle name="Normal 9 2 3 5 4 3" xfId="36572" xr:uid="{00000000-0005-0000-0000-0000A0D80000}"/>
    <cellStyle name="Normal 9 2 3 5 4 4" xfId="17436" xr:uid="{00000000-0005-0000-0000-0000A1D80000}"/>
    <cellStyle name="Normal 9 2 3 5 5" xfId="43105" xr:uid="{00000000-0005-0000-0000-0000A2D80000}"/>
    <cellStyle name="Normal 9 2 3 5 6" xfId="27005" xr:uid="{00000000-0005-0000-0000-0000A3D80000}"/>
    <cellStyle name="Normal 9 2 3 5 7" xfId="13941" xr:uid="{00000000-0005-0000-0000-0000A4D80000}"/>
    <cellStyle name="Normal 9 2 3 6" xfId="3821" xr:uid="{00000000-0005-0000-0000-0000A5D80000}"/>
    <cellStyle name="Normal 9 2 3 6 2" xfId="35562" xr:uid="{00000000-0005-0000-0000-0000A6D80000}"/>
    <cellStyle name="Normal 9 2 3 6 2 2" xfId="51662" xr:uid="{00000000-0005-0000-0000-0000A7D80000}"/>
    <cellStyle name="Normal 9 2 3 6 3" xfId="42095" xr:uid="{00000000-0005-0000-0000-0000A8D80000}"/>
    <cellStyle name="Normal 9 2 3 6 4" xfId="25995" xr:uid="{00000000-0005-0000-0000-0000A9D80000}"/>
    <cellStyle name="Normal 9 2 3 6 5" xfId="16426" xr:uid="{00000000-0005-0000-0000-0000AAD80000}"/>
    <cellStyle name="Normal 9 2 3 7" xfId="6857" xr:uid="{00000000-0005-0000-0000-0000ABD80000}"/>
    <cellStyle name="Normal 9 2 3 7 2" xfId="38598" xr:uid="{00000000-0005-0000-0000-0000ACD80000}"/>
    <cellStyle name="Normal 9 2 3 7 2 2" xfId="54698" xr:uid="{00000000-0005-0000-0000-0000ADD80000}"/>
    <cellStyle name="Normal 9 2 3 7 3" xfId="45131" xr:uid="{00000000-0005-0000-0000-0000AED80000}"/>
    <cellStyle name="Normal 9 2 3 7 4" xfId="29031" xr:uid="{00000000-0005-0000-0000-0000AFD80000}"/>
    <cellStyle name="Normal 9 2 3 7 5" xfId="19462" xr:uid="{00000000-0005-0000-0000-0000B0D80000}"/>
    <cellStyle name="Normal 9 2 3 8" xfId="9893" xr:uid="{00000000-0005-0000-0000-0000B1D80000}"/>
    <cellStyle name="Normal 9 2 3 8 2" xfId="48167" xr:uid="{00000000-0005-0000-0000-0000B2D80000}"/>
    <cellStyle name="Normal 9 2 3 8 3" xfId="32067" xr:uid="{00000000-0005-0000-0000-0000B3D80000}"/>
    <cellStyle name="Normal 9 2 3 8 4" xfId="22498" xr:uid="{00000000-0005-0000-0000-0000B4D80000}"/>
    <cellStyle name="Normal 9 2 3 9" xfId="3342" xr:uid="{00000000-0005-0000-0000-0000B5D80000}"/>
    <cellStyle name="Normal 9 2 3 9 2" xfId="51183" xr:uid="{00000000-0005-0000-0000-0000B6D80000}"/>
    <cellStyle name="Normal 9 2 3 9 3" xfId="35083" xr:uid="{00000000-0005-0000-0000-0000B7D80000}"/>
    <cellStyle name="Normal 9 2 3 9 4" xfId="15947" xr:uid="{00000000-0005-0000-0000-0000B8D80000}"/>
    <cellStyle name="Normal 9 2 4" xfId="173" xr:uid="{00000000-0005-0000-0000-0000B9D80000}"/>
    <cellStyle name="Normal 9 2 4 10" xfId="26066" xr:uid="{00000000-0005-0000-0000-0000BAD80000}"/>
    <cellStyle name="Normal 9 2 4 11" xfId="13002" xr:uid="{00000000-0005-0000-0000-0000BBD80000}"/>
    <cellStyle name="Normal 9 2 4 2" xfId="350" xr:uid="{00000000-0005-0000-0000-0000BCD80000}"/>
    <cellStyle name="Normal 9 2 4 2 2" xfId="2369" xr:uid="{00000000-0005-0000-0000-0000BDD80000}"/>
    <cellStyle name="Normal 9 2 4 2 2 2" xfId="8903" xr:uid="{00000000-0005-0000-0000-0000BED80000}"/>
    <cellStyle name="Normal 9 2 4 2 2 2 2" xfId="40644" xr:uid="{00000000-0005-0000-0000-0000BFD80000}"/>
    <cellStyle name="Normal 9 2 4 2 2 2 2 2" xfId="56744" xr:uid="{00000000-0005-0000-0000-0000C0D80000}"/>
    <cellStyle name="Normal 9 2 4 2 2 2 3" xfId="47177" xr:uid="{00000000-0005-0000-0000-0000C1D80000}"/>
    <cellStyle name="Normal 9 2 4 2 2 2 4" xfId="31077" xr:uid="{00000000-0005-0000-0000-0000C2D80000}"/>
    <cellStyle name="Normal 9 2 4 2 2 2 5" xfId="21508" xr:uid="{00000000-0005-0000-0000-0000C3D80000}"/>
    <cellStyle name="Normal 9 2 4 2 2 3" xfId="11939" xr:uid="{00000000-0005-0000-0000-0000C4D80000}"/>
    <cellStyle name="Normal 9 2 4 2 2 3 2" xfId="50213" xr:uid="{00000000-0005-0000-0000-0000C5D80000}"/>
    <cellStyle name="Normal 9 2 4 2 2 3 3" xfId="34113" xr:uid="{00000000-0005-0000-0000-0000C6D80000}"/>
    <cellStyle name="Normal 9 2 4 2 2 3 4" xfId="24544" xr:uid="{00000000-0005-0000-0000-0000C7D80000}"/>
    <cellStyle name="Normal 9 2 4 2 2 4" xfId="5867" xr:uid="{00000000-0005-0000-0000-0000C8D80000}"/>
    <cellStyle name="Normal 9 2 4 2 2 4 2" xfId="53708" xr:uid="{00000000-0005-0000-0000-0000C9D80000}"/>
    <cellStyle name="Normal 9 2 4 2 2 4 3" xfId="37608" xr:uid="{00000000-0005-0000-0000-0000CAD80000}"/>
    <cellStyle name="Normal 9 2 4 2 2 4 4" xfId="18472" xr:uid="{00000000-0005-0000-0000-0000CBD80000}"/>
    <cellStyle name="Normal 9 2 4 2 2 5" xfId="44141" xr:uid="{00000000-0005-0000-0000-0000CCD80000}"/>
    <cellStyle name="Normal 9 2 4 2 2 6" xfId="28041" xr:uid="{00000000-0005-0000-0000-0000CDD80000}"/>
    <cellStyle name="Normal 9 2 4 2 2 7" xfId="14977" xr:uid="{00000000-0005-0000-0000-0000CED80000}"/>
    <cellStyle name="Normal 9 2 4 2 3" xfId="1581" xr:uid="{00000000-0005-0000-0000-0000CFD80000}"/>
    <cellStyle name="Normal 9 2 4 2 3 2" xfId="8115" xr:uid="{00000000-0005-0000-0000-0000D0D80000}"/>
    <cellStyle name="Normal 9 2 4 2 3 2 2" xfId="39856" xr:uid="{00000000-0005-0000-0000-0000D1D80000}"/>
    <cellStyle name="Normal 9 2 4 2 3 2 2 2" xfId="55956" xr:uid="{00000000-0005-0000-0000-0000D2D80000}"/>
    <cellStyle name="Normal 9 2 4 2 3 2 3" xfId="46389" xr:uid="{00000000-0005-0000-0000-0000D3D80000}"/>
    <cellStyle name="Normal 9 2 4 2 3 2 4" xfId="30289" xr:uid="{00000000-0005-0000-0000-0000D4D80000}"/>
    <cellStyle name="Normal 9 2 4 2 3 2 5" xfId="20720" xr:uid="{00000000-0005-0000-0000-0000D5D80000}"/>
    <cellStyle name="Normal 9 2 4 2 3 3" xfId="11151" xr:uid="{00000000-0005-0000-0000-0000D6D80000}"/>
    <cellStyle name="Normal 9 2 4 2 3 3 2" xfId="49425" xr:uid="{00000000-0005-0000-0000-0000D7D80000}"/>
    <cellStyle name="Normal 9 2 4 2 3 3 3" xfId="33325" xr:uid="{00000000-0005-0000-0000-0000D8D80000}"/>
    <cellStyle name="Normal 9 2 4 2 3 3 4" xfId="23756" xr:uid="{00000000-0005-0000-0000-0000D9D80000}"/>
    <cellStyle name="Normal 9 2 4 2 3 4" xfId="5079" xr:uid="{00000000-0005-0000-0000-0000DAD80000}"/>
    <cellStyle name="Normal 9 2 4 2 3 4 2" xfId="52920" xr:uid="{00000000-0005-0000-0000-0000DBD80000}"/>
    <cellStyle name="Normal 9 2 4 2 3 4 3" xfId="36820" xr:uid="{00000000-0005-0000-0000-0000DCD80000}"/>
    <cellStyle name="Normal 9 2 4 2 3 4 4" xfId="17684" xr:uid="{00000000-0005-0000-0000-0000DDD80000}"/>
    <cellStyle name="Normal 9 2 4 2 3 5" xfId="43353" xr:uid="{00000000-0005-0000-0000-0000DED80000}"/>
    <cellStyle name="Normal 9 2 4 2 3 6" xfId="27253" xr:uid="{00000000-0005-0000-0000-0000DFD80000}"/>
    <cellStyle name="Normal 9 2 4 2 3 7" xfId="14189" xr:uid="{00000000-0005-0000-0000-0000E0D80000}"/>
    <cellStyle name="Normal 9 2 4 2 4" xfId="7105" xr:uid="{00000000-0005-0000-0000-0000E1D80000}"/>
    <cellStyle name="Normal 9 2 4 2 4 2" xfId="38846" xr:uid="{00000000-0005-0000-0000-0000E2D80000}"/>
    <cellStyle name="Normal 9 2 4 2 4 2 2" xfId="54946" xr:uid="{00000000-0005-0000-0000-0000E3D80000}"/>
    <cellStyle name="Normal 9 2 4 2 4 3" xfId="45379" xr:uid="{00000000-0005-0000-0000-0000E4D80000}"/>
    <cellStyle name="Normal 9 2 4 2 4 4" xfId="29279" xr:uid="{00000000-0005-0000-0000-0000E5D80000}"/>
    <cellStyle name="Normal 9 2 4 2 4 5" xfId="19710" xr:uid="{00000000-0005-0000-0000-0000E6D80000}"/>
    <cellStyle name="Normal 9 2 4 2 5" xfId="10141" xr:uid="{00000000-0005-0000-0000-0000E7D80000}"/>
    <cellStyle name="Normal 9 2 4 2 5 2" xfId="48415" xr:uid="{00000000-0005-0000-0000-0000E8D80000}"/>
    <cellStyle name="Normal 9 2 4 2 5 3" xfId="32315" xr:uid="{00000000-0005-0000-0000-0000E9D80000}"/>
    <cellStyle name="Normal 9 2 4 2 5 4" xfId="22746" xr:uid="{00000000-0005-0000-0000-0000EAD80000}"/>
    <cellStyle name="Normal 9 2 4 2 6" xfId="4069" xr:uid="{00000000-0005-0000-0000-0000EBD80000}"/>
    <cellStyle name="Normal 9 2 4 2 6 2" xfId="51910" xr:uid="{00000000-0005-0000-0000-0000ECD80000}"/>
    <cellStyle name="Normal 9 2 4 2 6 3" xfId="35810" xr:uid="{00000000-0005-0000-0000-0000EDD80000}"/>
    <cellStyle name="Normal 9 2 4 2 6 4" xfId="16674" xr:uid="{00000000-0005-0000-0000-0000EED80000}"/>
    <cellStyle name="Normal 9 2 4 2 7" xfId="42343" xr:uid="{00000000-0005-0000-0000-0000EFD80000}"/>
    <cellStyle name="Normal 9 2 4 2 8" xfId="26243" xr:uid="{00000000-0005-0000-0000-0000F0D80000}"/>
    <cellStyle name="Normal 9 2 4 2 9" xfId="13179" xr:uid="{00000000-0005-0000-0000-0000F1D80000}"/>
    <cellStyle name="Normal 9 2 4 3" xfId="990" xr:uid="{00000000-0005-0000-0000-0000F2D80000}"/>
    <cellStyle name="Normal 9 2 4 3 2" xfId="3018" xr:uid="{00000000-0005-0000-0000-0000F3D80000}"/>
    <cellStyle name="Normal 9 2 4 3 2 2" xfId="9550" xr:uid="{00000000-0005-0000-0000-0000F4D80000}"/>
    <cellStyle name="Normal 9 2 4 3 2 2 2" xfId="41291" xr:uid="{00000000-0005-0000-0000-0000F5D80000}"/>
    <cellStyle name="Normal 9 2 4 3 2 2 2 2" xfId="57391" xr:uid="{00000000-0005-0000-0000-0000F6D80000}"/>
    <cellStyle name="Normal 9 2 4 3 2 2 3" xfId="47824" xr:uid="{00000000-0005-0000-0000-0000F7D80000}"/>
    <cellStyle name="Normal 9 2 4 3 2 2 4" xfId="31724" xr:uid="{00000000-0005-0000-0000-0000F8D80000}"/>
    <cellStyle name="Normal 9 2 4 3 2 2 5" xfId="22155" xr:uid="{00000000-0005-0000-0000-0000F9D80000}"/>
    <cellStyle name="Normal 9 2 4 3 2 3" xfId="12586" xr:uid="{00000000-0005-0000-0000-0000FAD80000}"/>
    <cellStyle name="Normal 9 2 4 3 2 3 2" xfId="50860" xr:uid="{00000000-0005-0000-0000-0000FBD80000}"/>
    <cellStyle name="Normal 9 2 4 3 2 3 3" xfId="34760" xr:uid="{00000000-0005-0000-0000-0000FCD80000}"/>
    <cellStyle name="Normal 9 2 4 3 2 3 4" xfId="25191" xr:uid="{00000000-0005-0000-0000-0000FDD80000}"/>
    <cellStyle name="Normal 9 2 4 3 2 4" xfId="6514" xr:uid="{00000000-0005-0000-0000-0000FED80000}"/>
    <cellStyle name="Normal 9 2 4 3 2 4 2" xfId="54355" xr:uid="{00000000-0005-0000-0000-0000FFD80000}"/>
    <cellStyle name="Normal 9 2 4 3 2 4 3" xfId="38255" xr:uid="{00000000-0005-0000-0000-000000D90000}"/>
    <cellStyle name="Normal 9 2 4 3 2 4 4" xfId="19119" xr:uid="{00000000-0005-0000-0000-000001D90000}"/>
    <cellStyle name="Normal 9 2 4 3 2 5" xfId="44788" xr:uid="{00000000-0005-0000-0000-000002D90000}"/>
    <cellStyle name="Normal 9 2 4 3 2 6" xfId="28688" xr:uid="{00000000-0005-0000-0000-000003D90000}"/>
    <cellStyle name="Normal 9 2 4 3 2 7" xfId="15624" xr:uid="{00000000-0005-0000-0000-000004D90000}"/>
    <cellStyle name="Normal 9 2 4 3 3" xfId="2000" xr:uid="{00000000-0005-0000-0000-000005D90000}"/>
    <cellStyle name="Normal 9 2 4 3 3 2" xfId="8534" xr:uid="{00000000-0005-0000-0000-000006D90000}"/>
    <cellStyle name="Normal 9 2 4 3 3 2 2" xfId="40275" xr:uid="{00000000-0005-0000-0000-000007D90000}"/>
    <cellStyle name="Normal 9 2 4 3 3 2 2 2" xfId="56375" xr:uid="{00000000-0005-0000-0000-000008D90000}"/>
    <cellStyle name="Normal 9 2 4 3 3 2 3" xfId="46808" xr:uid="{00000000-0005-0000-0000-000009D90000}"/>
    <cellStyle name="Normal 9 2 4 3 3 2 4" xfId="30708" xr:uid="{00000000-0005-0000-0000-00000AD90000}"/>
    <cellStyle name="Normal 9 2 4 3 3 2 5" xfId="21139" xr:uid="{00000000-0005-0000-0000-00000BD90000}"/>
    <cellStyle name="Normal 9 2 4 3 3 3" xfId="11570" xr:uid="{00000000-0005-0000-0000-00000CD90000}"/>
    <cellStyle name="Normal 9 2 4 3 3 3 2" xfId="49844" xr:uid="{00000000-0005-0000-0000-00000DD90000}"/>
    <cellStyle name="Normal 9 2 4 3 3 3 3" xfId="33744" xr:uid="{00000000-0005-0000-0000-00000ED90000}"/>
    <cellStyle name="Normal 9 2 4 3 3 3 4" xfId="24175" xr:uid="{00000000-0005-0000-0000-00000FD90000}"/>
    <cellStyle name="Normal 9 2 4 3 3 4" xfId="5498" xr:uid="{00000000-0005-0000-0000-000010D90000}"/>
    <cellStyle name="Normal 9 2 4 3 3 4 2" xfId="53339" xr:uid="{00000000-0005-0000-0000-000011D90000}"/>
    <cellStyle name="Normal 9 2 4 3 3 4 3" xfId="37239" xr:uid="{00000000-0005-0000-0000-000012D90000}"/>
    <cellStyle name="Normal 9 2 4 3 3 4 4" xfId="18103" xr:uid="{00000000-0005-0000-0000-000013D90000}"/>
    <cellStyle name="Normal 9 2 4 3 3 5" xfId="43772" xr:uid="{00000000-0005-0000-0000-000014D90000}"/>
    <cellStyle name="Normal 9 2 4 3 3 6" xfId="27672" xr:uid="{00000000-0005-0000-0000-000015D90000}"/>
    <cellStyle name="Normal 9 2 4 3 3 7" xfId="14608" xr:uid="{00000000-0005-0000-0000-000016D90000}"/>
    <cellStyle name="Normal 9 2 4 3 4" xfId="7524" xr:uid="{00000000-0005-0000-0000-000017D90000}"/>
    <cellStyle name="Normal 9 2 4 3 4 2" xfId="39265" xr:uid="{00000000-0005-0000-0000-000018D90000}"/>
    <cellStyle name="Normal 9 2 4 3 4 2 2" xfId="55365" xr:uid="{00000000-0005-0000-0000-000019D90000}"/>
    <cellStyle name="Normal 9 2 4 3 4 3" xfId="45798" xr:uid="{00000000-0005-0000-0000-00001AD90000}"/>
    <cellStyle name="Normal 9 2 4 3 4 4" xfId="29698" xr:uid="{00000000-0005-0000-0000-00001BD90000}"/>
    <cellStyle name="Normal 9 2 4 3 4 5" xfId="20129" xr:uid="{00000000-0005-0000-0000-00001CD90000}"/>
    <cellStyle name="Normal 9 2 4 3 5" xfId="10560" xr:uid="{00000000-0005-0000-0000-00001DD90000}"/>
    <cellStyle name="Normal 9 2 4 3 5 2" xfId="48834" xr:uid="{00000000-0005-0000-0000-00001ED90000}"/>
    <cellStyle name="Normal 9 2 4 3 5 3" xfId="32734" xr:uid="{00000000-0005-0000-0000-00001FD90000}"/>
    <cellStyle name="Normal 9 2 4 3 5 4" xfId="23165" xr:uid="{00000000-0005-0000-0000-000020D90000}"/>
    <cellStyle name="Normal 9 2 4 3 6" xfId="4488" xr:uid="{00000000-0005-0000-0000-000021D90000}"/>
    <cellStyle name="Normal 9 2 4 3 6 2" xfId="52329" xr:uid="{00000000-0005-0000-0000-000022D90000}"/>
    <cellStyle name="Normal 9 2 4 3 6 3" xfId="36229" xr:uid="{00000000-0005-0000-0000-000023D90000}"/>
    <cellStyle name="Normal 9 2 4 3 6 4" xfId="17093" xr:uid="{00000000-0005-0000-0000-000024D90000}"/>
    <cellStyle name="Normal 9 2 4 3 7" xfId="42762" xr:uid="{00000000-0005-0000-0000-000025D90000}"/>
    <cellStyle name="Normal 9 2 4 3 8" xfId="26662" xr:uid="{00000000-0005-0000-0000-000026D90000}"/>
    <cellStyle name="Normal 9 2 4 3 9" xfId="13598" xr:uid="{00000000-0005-0000-0000-000027D90000}"/>
    <cellStyle name="Normal 9 2 4 4" xfId="2192" xr:uid="{00000000-0005-0000-0000-000028D90000}"/>
    <cellStyle name="Normal 9 2 4 4 2" xfId="8726" xr:uid="{00000000-0005-0000-0000-000029D90000}"/>
    <cellStyle name="Normal 9 2 4 4 2 2" xfId="40467" xr:uid="{00000000-0005-0000-0000-00002AD90000}"/>
    <cellStyle name="Normal 9 2 4 4 2 2 2" xfId="56567" xr:uid="{00000000-0005-0000-0000-00002BD90000}"/>
    <cellStyle name="Normal 9 2 4 4 2 3" xfId="47000" xr:uid="{00000000-0005-0000-0000-00002CD90000}"/>
    <cellStyle name="Normal 9 2 4 4 2 4" xfId="30900" xr:uid="{00000000-0005-0000-0000-00002DD90000}"/>
    <cellStyle name="Normal 9 2 4 4 2 5" xfId="21331" xr:uid="{00000000-0005-0000-0000-00002ED90000}"/>
    <cellStyle name="Normal 9 2 4 4 3" xfId="11762" xr:uid="{00000000-0005-0000-0000-00002FD90000}"/>
    <cellStyle name="Normal 9 2 4 4 3 2" xfId="50036" xr:uid="{00000000-0005-0000-0000-000030D90000}"/>
    <cellStyle name="Normal 9 2 4 4 3 3" xfId="33936" xr:uid="{00000000-0005-0000-0000-000031D90000}"/>
    <cellStyle name="Normal 9 2 4 4 3 4" xfId="24367" xr:uid="{00000000-0005-0000-0000-000032D90000}"/>
    <cellStyle name="Normal 9 2 4 4 4" xfId="5690" xr:uid="{00000000-0005-0000-0000-000033D90000}"/>
    <cellStyle name="Normal 9 2 4 4 4 2" xfId="53531" xr:uid="{00000000-0005-0000-0000-000034D90000}"/>
    <cellStyle name="Normal 9 2 4 4 4 3" xfId="37431" xr:uid="{00000000-0005-0000-0000-000035D90000}"/>
    <cellStyle name="Normal 9 2 4 4 4 4" xfId="18295" xr:uid="{00000000-0005-0000-0000-000036D90000}"/>
    <cellStyle name="Normal 9 2 4 4 5" xfId="43964" xr:uid="{00000000-0005-0000-0000-000037D90000}"/>
    <cellStyle name="Normal 9 2 4 4 6" xfId="27864" xr:uid="{00000000-0005-0000-0000-000038D90000}"/>
    <cellStyle name="Normal 9 2 4 4 7" xfId="14800" xr:uid="{00000000-0005-0000-0000-000039D90000}"/>
    <cellStyle name="Normal 9 2 4 5" xfId="1404" xr:uid="{00000000-0005-0000-0000-00003AD90000}"/>
    <cellStyle name="Normal 9 2 4 5 2" xfId="7938" xr:uid="{00000000-0005-0000-0000-00003BD90000}"/>
    <cellStyle name="Normal 9 2 4 5 2 2" xfId="39679" xr:uid="{00000000-0005-0000-0000-00003CD90000}"/>
    <cellStyle name="Normal 9 2 4 5 2 2 2" xfId="55779" xr:uid="{00000000-0005-0000-0000-00003DD90000}"/>
    <cellStyle name="Normal 9 2 4 5 2 3" xfId="46212" xr:uid="{00000000-0005-0000-0000-00003ED90000}"/>
    <cellStyle name="Normal 9 2 4 5 2 4" xfId="30112" xr:uid="{00000000-0005-0000-0000-00003FD90000}"/>
    <cellStyle name="Normal 9 2 4 5 2 5" xfId="20543" xr:uid="{00000000-0005-0000-0000-000040D90000}"/>
    <cellStyle name="Normal 9 2 4 5 3" xfId="10974" xr:uid="{00000000-0005-0000-0000-000041D90000}"/>
    <cellStyle name="Normal 9 2 4 5 3 2" xfId="49248" xr:uid="{00000000-0005-0000-0000-000042D90000}"/>
    <cellStyle name="Normal 9 2 4 5 3 3" xfId="33148" xr:uid="{00000000-0005-0000-0000-000043D90000}"/>
    <cellStyle name="Normal 9 2 4 5 3 4" xfId="23579" xr:uid="{00000000-0005-0000-0000-000044D90000}"/>
    <cellStyle name="Normal 9 2 4 5 4" xfId="4902" xr:uid="{00000000-0005-0000-0000-000045D90000}"/>
    <cellStyle name="Normal 9 2 4 5 4 2" xfId="52743" xr:uid="{00000000-0005-0000-0000-000046D90000}"/>
    <cellStyle name="Normal 9 2 4 5 4 3" xfId="36643" xr:uid="{00000000-0005-0000-0000-000047D90000}"/>
    <cellStyle name="Normal 9 2 4 5 4 4" xfId="17507" xr:uid="{00000000-0005-0000-0000-000048D90000}"/>
    <cellStyle name="Normal 9 2 4 5 5" xfId="43176" xr:uid="{00000000-0005-0000-0000-000049D90000}"/>
    <cellStyle name="Normal 9 2 4 5 6" xfId="27076" xr:uid="{00000000-0005-0000-0000-00004AD90000}"/>
    <cellStyle name="Normal 9 2 4 5 7" xfId="14012" xr:uid="{00000000-0005-0000-0000-00004BD90000}"/>
    <cellStyle name="Normal 9 2 4 6" xfId="6928" xr:uid="{00000000-0005-0000-0000-00004CD90000}"/>
    <cellStyle name="Normal 9 2 4 6 2" xfId="38669" xr:uid="{00000000-0005-0000-0000-00004DD90000}"/>
    <cellStyle name="Normal 9 2 4 6 2 2" xfId="54769" xr:uid="{00000000-0005-0000-0000-00004ED90000}"/>
    <cellStyle name="Normal 9 2 4 6 3" xfId="45202" xr:uid="{00000000-0005-0000-0000-00004FD90000}"/>
    <cellStyle name="Normal 9 2 4 6 4" xfId="29102" xr:uid="{00000000-0005-0000-0000-000050D90000}"/>
    <cellStyle name="Normal 9 2 4 6 5" xfId="19533" xr:uid="{00000000-0005-0000-0000-000051D90000}"/>
    <cellStyle name="Normal 9 2 4 7" xfId="9964" xr:uid="{00000000-0005-0000-0000-000052D90000}"/>
    <cellStyle name="Normal 9 2 4 7 2" xfId="48238" xr:uid="{00000000-0005-0000-0000-000053D90000}"/>
    <cellStyle name="Normal 9 2 4 7 3" xfId="32138" xr:uid="{00000000-0005-0000-0000-000054D90000}"/>
    <cellStyle name="Normal 9 2 4 7 4" xfId="22569" xr:uid="{00000000-0005-0000-0000-000055D90000}"/>
    <cellStyle name="Normal 9 2 4 8" xfId="3892" xr:uid="{00000000-0005-0000-0000-000056D90000}"/>
    <cellStyle name="Normal 9 2 4 8 2" xfId="51733" xr:uid="{00000000-0005-0000-0000-000057D90000}"/>
    <cellStyle name="Normal 9 2 4 8 3" xfId="35633" xr:uid="{00000000-0005-0000-0000-000058D90000}"/>
    <cellStyle name="Normal 9 2 4 8 4" xfId="16497" xr:uid="{00000000-0005-0000-0000-000059D90000}"/>
    <cellStyle name="Normal 9 2 4 9" xfId="42166" xr:uid="{00000000-0005-0000-0000-00005AD90000}"/>
    <cellStyle name="Normal 9 2 5" xfId="244" xr:uid="{00000000-0005-0000-0000-00005BD90000}"/>
    <cellStyle name="Normal 9 2 5 2" xfId="2263" xr:uid="{00000000-0005-0000-0000-00005CD90000}"/>
    <cellStyle name="Normal 9 2 5 2 2" xfId="8797" xr:uid="{00000000-0005-0000-0000-00005DD90000}"/>
    <cellStyle name="Normal 9 2 5 2 2 2" xfId="40538" xr:uid="{00000000-0005-0000-0000-00005ED90000}"/>
    <cellStyle name="Normal 9 2 5 2 2 2 2" xfId="56638" xr:uid="{00000000-0005-0000-0000-00005FD90000}"/>
    <cellStyle name="Normal 9 2 5 2 2 3" xfId="47071" xr:uid="{00000000-0005-0000-0000-000060D90000}"/>
    <cellStyle name="Normal 9 2 5 2 2 4" xfId="30971" xr:uid="{00000000-0005-0000-0000-000061D90000}"/>
    <cellStyle name="Normal 9 2 5 2 2 5" xfId="21402" xr:uid="{00000000-0005-0000-0000-000062D90000}"/>
    <cellStyle name="Normal 9 2 5 2 3" xfId="11833" xr:uid="{00000000-0005-0000-0000-000063D90000}"/>
    <cellStyle name="Normal 9 2 5 2 3 2" xfId="50107" xr:uid="{00000000-0005-0000-0000-000064D90000}"/>
    <cellStyle name="Normal 9 2 5 2 3 3" xfId="34007" xr:uid="{00000000-0005-0000-0000-000065D90000}"/>
    <cellStyle name="Normal 9 2 5 2 3 4" xfId="24438" xr:uid="{00000000-0005-0000-0000-000066D90000}"/>
    <cellStyle name="Normal 9 2 5 2 4" xfId="5761" xr:uid="{00000000-0005-0000-0000-000067D90000}"/>
    <cellStyle name="Normal 9 2 5 2 4 2" xfId="53602" xr:uid="{00000000-0005-0000-0000-000068D90000}"/>
    <cellStyle name="Normal 9 2 5 2 4 3" xfId="37502" xr:uid="{00000000-0005-0000-0000-000069D90000}"/>
    <cellStyle name="Normal 9 2 5 2 4 4" xfId="18366" xr:uid="{00000000-0005-0000-0000-00006AD90000}"/>
    <cellStyle name="Normal 9 2 5 2 5" xfId="44035" xr:uid="{00000000-0005-0000-0000-00006BD90000}"/>
    <cellStyle name="Normal 9 2 5 2 6" xfId="27935" xr:uid="{00000000-0005-0000-0000-00006CD90000}"/>
    <cellStyle name="Normal 9 2 5 2 7" xfId="14871" xr:uid="{00000000-0005-0000-0000-00006DD90000}"/>
    <cellStyle name="Normal 9 2 5 3" xfId="1475" xr:uid="{00000000-0005-0000-0000-00006ED90000}"/>
    <cellStyle name="Normal 9 2 5 3 2" xfId="8009" xr:uid="{00000000-0005-0000-0000-00006FD90000}"/>
    <cellStyle name="Normal 9 2 5 3 2 2" xfId="39750" xr:uid="{00000000-0005-0000-0000-000070D90000}"/>
    <cellStyle name="Normal 9 2 5 3 2 2 2" xfId="55850" xr:uid="{00000000-0005-0000-0000-000071D90000}"/>
    <cellStyle name="Normal 9 2 5 3 2 3" xfId="46283" xr:uid="{00000000-0005-0000-0000-000072D90000}"/>
    <cellStyle name="Normal 9 2 5 3 2 4" xfId="30183" xr:uid="{00000000-0005-0000-0000-000073D90000}"/>
    <cellStyle name="Normal 9 2 5 3 2 5" xfId="20614" xr:uid="{00000000-0005-0000-0000-000074D90000}"/>
    <cellStyle name="Normal 9 2 5 3 3" xfId="11045" xr:uid="{00000000-0005-0000-0000-000075D90000}"/>
    <cellStyle name="Normal 9 2 5 3 3 2" xfId="49319" xr:uid="{00000000-0005-0000-0000-000076D90000}"/>
    <cellStyle name="Normal 9 2 5 3 3 3" xfId="33219" xr:uid="{00000000-0005-0000-0000-000077D90000}"/>
    <cellStyle name="Normal 9 2 5 3 3 4" xfId="23650" xr:uid="{00000000-0005-0000-0000-000078D90000}"/>
    <cellStyle name="Normal 9 2 5 3 4" xfId="4973" xr:uid="{00000000-0005-0000-0000-000079D90000}"/>
    <cellStyle name="Normal 9 2 5 3 4 2" xfId="52814" xr:uid="{00000000-0005-0000-0000-00007AD90000}"/>
    <cellStyle name="Normal 9 2 5 3 4 3" xfId="36714" xr:uid="{00000000-0005-0000-0000-00007BD90000}"/>
    <cellStyle name="Normal 9 2 5 3 4 4" xfId="17578" xr:uid="{00000000-0005-0000-0000-00007CD90000}"/>
    <cellStyle name="Normal 9 2 5 3 5" xfId="43247" xr:uid="{00000000-0005-0000-0000-00007DD90000}"/>
    <cellStyle name="Normal 9 2 5 3 6" xfId="27147" xr:uid="{00000000-0005-0000-0000-00007ED90000}"/>
    <cellStyle name="Normal 9 2 5 3 7" xfId="14083" xr:uid="{00000000-0005-0000-0000-00007FD90000}"/>
    <cellStyle name="Normal 9 2 5 4" xfId="6999" xr:uid="{00000000-0005-0000-0000-000080D90000}"/>
    <cellStyle name="Normal 9 2 5 4 2" xfId="38740" xr:uid="{00000000-0005-0000-0000-000081D90000}"/>
    <cellStyle name="Normal 9 2 5 4 2 2" xfId="54840" xr:uid="{00000000-0005-0000-0000-000082D90000}"/>
    <cellStyle name="Normal 9 2 5 4 3" xfId="45273" xr:uid="{00000000-0005-0000-0000-000083D90000}"/>
    <cellStyle name="Normal 9 2 5 4 4" xfId="29173" xr:uid="{00000000-0005-0000-0000-000084D90000}"/>
    <cellStyle name="Normal 9 2 5 4 5" xfId="19604" xr:uid="{00000000-0005-0000-0000-000085D90000}"/>
    <cellStyle name="Normal 9 2 5 5" xfId="10035" xr:uid="{00000000-0005-0000-0000-000086D90000}"/>
    <cellStyle name="Normal 9 2 5 5 2" xfId="48309" xr:uid="{00000000-0005-0000-0000-000087D90000}"/>
    <cellStyle name="Normal 9 2 5 5 3" xfId="32209" xr:uid="{00000000-0005-0000-0000-000088D90000}"/>
    <cellStyle name="Normal 9 2 5 5 4" xfId="22640" xr:uid="{00000000-0005-0000-0000-000089D90000}"/>
    <cellStyle name="Normal 9 2 5 6" xfId="3963" xr:uid="{00000000-0005-0000-0000-00008AD90000}"/>
    <cellStyle name="Normal 9 2 5 6 2" xfId="51804" xr:uid="{00000000-0005-0000-0000-00008BD90000}"/>
    <cellStyle name="Normal 9 2 5 6 3" xfId="35704" xr:uid="{00000000-0005-0000-0000-00008CD90000}"/>
    <cellStyle name="Normal 9 2 5 6 4" xfId="16568" xr:uid="{00000000-0005-0000-0000-00008DD90000}"/>
    <cellStyle name="Normal 9 2 5 7" xfId="42237" xr:uid="{00000000-0005-0000-0000-00008ED90000}"/>
    <cellStyle name="Normal 9 2 5 8" xfId="26137" xr:uid="{00000000-0005-0000-0000-00008FD90000}"/>
    <cellStyle name="Normal 9 2 5 9" xfId="13073" xr:uid="{00000000-0005-0000-0000-000090D90000}"/>
    <cellStyle name="Normal 9 2 6" xfId="519" xr:uid="{00000000-0005-0000-0000-000091D90000}"/>
    <cellStyle name="Normal 9 2 6 2" xfId="2549" xr:uid="{00000000-0005-0000-0000-000092D90000}"/>
    <cellStyle name="Normal 9 2 6 2 2" xfId="9081" xr:uid="{00000000-0005-0000-0000-000093D90000}"/>
    <cellStyle name="Normal 9 2 6 2 2 2" xfId="40822" xr:uid="{00000000-0005-0000-0000-000094D90000}"/>
    <cellStyle name="Normal 9 2 6 2 2 2 2" xfId="56922" xr:uid="{00000000-0005-0000-0000-000095D90000}"/>
    <cellStyle name="Normal 9 2 6 2 2 3" xfId="47355" xr:uid="{00000000-0005-0000-0000-000096D90000}"/>
    <cellStyle name="Normal 9 2 6 2 2 4" xfId="31255" xr:uid="{00000000-0005-0000-0000-000097D90000}"/>
    <cellStyle name="Normal 9 2 6 2 2 5" xfId="21686" xr:uid="{00000000-0005-0000-0000-000098D90000}"/>
    <cellStyle name="Normal 9 2 6 2 3" xfId="12117" xr:uid="{00000000-0005-0000-0000-000099D90000}"/>
    <cellStyle name="Normal 9 2 6 2 3 2" xfId="50391" xr:uid="{00000000-0005-0000-0000-00009AD90000}"/>
    <cellStyle name="Normal 9 2 6 2 3 3" xfId="34291" xr:uid="{00000000-0005-0000-0000-00009BD90000}"/>
    <cellStyle name="Normal 9 2 6 2 3 4" xfId="24722" xr:uid="{00000000-0005-0000-0000-00009CD90000}"/>
    <cellStyle name="Normal 9 2 6 2 4" xfId="6045" xr:uid="{00000000-0005-0000-0000-00009DD90000}"/>
    <cellStyle name="Normal 9 2 6 2 4 2" xfId="53886" xr:uid="{00000000-0005-0000-0000-00009ED90000}"/>
    <cellStyle name="Normal 9 2 6 2 4 3" xfId="37786" xr:uid="{00000000-0005-0000-0000-00009FD90000}"/>
    <cellStyle name="Normal 9 2 6 2 4 4" xfId="18650" xr:uid="{00000000-0005-0000-0000-0000A0D90000}"/>
    <cellStyle name="Normal 9 2 6 2 5" xfId="44319" xr:uid="{00000000-0005-0000-0000-0000A1D90000}"/>
    <cellStyle name="Normal 9 2 6 2 6" xfId="28219" xr:uid="{00000000-0005-0000-0000-0000A2D90000}"/>
    <cellStyle name="Normal 9 2 6 2 7" xfId="15155" xr:uid="{00000000-0005-0000-0000-0000A3D90000}"/>
    <cellStyle name="Normal 9 2 6 3" xfId="1298" xr:uid="{00000000-0005-0000-0000-0000A4D90000}"/>
    <cellStyle name="Normal 9 2 6 3 2" xfId="7832" xr:uid="{00000000-0005-0000-0000-0000A5D90000}"/>
    <cellStyle name="Normal 9 2 6 3 2 2" xfId="39573" xr:uid="{00000000-0005-0000-0000-0000A6D90000}"/>
    <cellStyle name="Normal 9 2 6 3 2 2 2" xfId="55673" xr:uid="{00000000-0005-0000-0000-0000A7D90000}"/>
    <cellStyle name="Normal 9 2 6 3 2 3" xfId="46106" xr:uid="{00000000-0005-0000-0000-0000A8D90000}"/>
    <cellStyle name="Normal 9 2 6 3 2 4" xfId="30006" xr:uid="{00000000-0005-0000-0000-0000A9D90000}"/>
    <cellStyle name="Normal 9 2 6 3 2 5" xfId="20437" xr:uid="{00000000-0005-0000-0000-0000AAD90000}"/>
    <cellStyle name="Normal 9 2 6 3 3" xfId="10868" xr:uid="{00000000-0005-0000-0000-0000ABD90000}"/>
    <cellStyle name="Normal 9 2 6 3 3 2" xfId="49142" xr:uid="{00000000-0005-0000-0000-0000ACD90000}"/>
    <cellStyle name="Normal 9 2 6 3 3 3" xfId="33042" xr:uid="{00000000-0005-0000-0000-0000ADD90000}"/>
    <cellStyle name="Normal 9 2 6 3 3 4" xfId="23473" xr:uid="{00000000-0005-0000-0000-0000AED90000}"/>
    <cellStyle name="Normal 9 2 6 3 4" xfId="4796" xr:uid="{00000000-0005-0000-0000-0000AFD90000}"/>
    <cellStyle name="Normal 9 2 6 3 4 2" xfId="52637" xr:uid="{00000000-0005-0000-0000-0000B0D90000}"/>
    <cellStyle name="Normal 9 2 6 3 4 3" xfId="36537" xr:uid="{00000000-0005-0000-0000-0000B1D90000}"/>
    <cellStyle name="Normal 9 2 6 3 4 4" xfId="17401" xr:uid="{00000000-0005-0000-0000-0000B2D90000}"/>
    <cellStyle name="Normal 9 2 6 3 5" xfId="43070" xr:uid="{00000000-0005-0000-0000-0000B3D90000}"/>
    <cellStyle name="Normal 9 2 6 3 6" xfId="26970" xr:uid="{00000000-0005-0000-0000-0000B4D90000}"/>
    <cellStyle name="Normal 9 2 6 3 7" xfId="13906" xr:uid="{00000000-0005-0000-0000-0000B5D90000}"/>
    <cellStyle name="Normal 9 2 6 4" xfId="6822" xr:uid="{00000000-0005-0000-0000-0000B6D90000}"/>
    <cellStyle name="Normal 9 2 6 4 2" xfId="38563" xr:uid="{00000000-0005-0000-0000-0000B7D90000}"/>
    <cellStyle name="Normal 9 2 6 4 2 2" xfId="54663" xr:uid="{00000000-0005-0000-0000-0000B8D90000}"/>
    <cellStyle name="Normal 9 2 6 4 3" xfId="45096" xr:uid="{00000000-0005-0000-0000-0000B9D90000}"/>
    <cellStyle name="Normal 9 2 6 4 4" xfId="28996" xr:uid="{00000000-0005-0000-0000-0000BAD90000}"/>
    <cellStyle name="Normal 9 2 6 4 5" xfId="19427" xr:uid="{00000000-0005-0000-0000-0000BBD90000}"/>
    <cellStyle name="Normal 9 2 6 5" xfId="9858" xr:uid="{00000000-0005-0000-0000-0000BCD90000}"/>
    <cellStyle name="Normal 9 2 6 5 2" xfId="48132" xr:uid="{00000000-0005-0000-0000-0000BDD90000}"/>
    <cellStyle name="Normal 9 2 6 5 3" xfId="32032" xr:uid="{00000000-0005-0000-0000-0000BED90000}"/>
    <cellStyle name="Normal 9 2 6 5 4" xfId="22463" xr:uid="{00000000-0005-0000-0000-0000BFD90000}"/>
    <cellStyle name="Normal 9 2 6 6" xfId="3786" xr:uid="{00000000-0005-0000-0000-0000C0D90000}"/>
    <cellStyle name="Normal 9 2 6 6 2" xfId="51627" xr:uid="{00000000-0005-0000-0000-0000C1D90000}"/>
    <cellStyle name="Normal 9 2 6 6 3" xfId="35527" xr:uid="{00000000-0005-0000-0000-0000C2D90000}"/>
    <cellStyle name="Normal 9 2 6 6 4" xfId="16391" xr:uid="{00000000-0005-0000-0000-0000C3D90000}"/>
    <cellStyle name="Normal 9 2 6 7" xfId="42060" xr:uid="{00000000-0005-0000-0000-0000C4D90000}"/>
    <cellStyle name="Normal 9 2 6 8" xfId="25960" xr:uid="{00000000-0005-0000-0000-0000C5D90000}"/>
    <cellStyle name="Normal 9 2 6 9" xfId="12896" xr:uid="{00000000-0005-0000-0000-0000C6D90000}"/>
    <cellStyle name="Normal 9 2 7" xfId="749" xr:uid="{00000000-0005-0000-0000-0000C7D90000}"/>
    <cellStyle name="Normal 9 2 7 2" xfId="2777" xr:uid="{00000000-0005-0000-0000-0000C8D90000}"/>
    <cellStyle name="Normal 9 2 7 2 2" xfId="9309" xr:uid="{00000000-0005-0000-0000-0000C9D90000}"/>
    <cellStyle name="Normal 9 2 7 2 2 2" xfId="41050" xr:uid="{00000000-0005-0000-0000-0000CAD90000}"/>
    <cellStyle name="Normal 9 2 7 2 2 2 2" xfId="57150" xr:uid="{00000000-0005-0000-0000-0000CBD90000}"/>
    <cellStyle name="Normal 9 2 7 2 2 3" xfId="47583" xr:uid="{00000000-0005-0000-0000-0000CCD90000}"/>
    <cellStyle name="Normal 9 2 7 2 2 4" xfId="31483" xr:uid="{00000000-0005-0000-0000-0000CDD90000}"/>
    <cellStyle name="Normal 9 2 7 2 2 5" xfId="21914" xr:uid="{00000000-0005-0000-0000-0000CED90000}"/>
    <cellStyle name="Normal 9 2 7 2 3" xfId="12345" xr:uid="{00000000-0005-0000-0000-0000CFD90000}"/>
    <cellStyle name="Normal 9 2 7 2 3 2" xfId="50619" xr:uid="{00000000-0005-0000-0000-0000D0D90000}"/>
    <cellStyle name="Normal 9 2 7 2 3 3" xfId="34519" xr:uid="{00000000-0005-0000-0000-0000D1D90000}"/>
    <cellStyle name="Normal 9 2 7 2 3 4" xfId="24950" xr:uid="{00000000-0005-0000-0000-0000D2D90000}"/>
    <cellStyle name="Normal 9 2 7 2 4" xfId="6273" xr:uid="{00000000-0005-0000-0000-0000D3D90000}"/>
    <cellStyle name="Normal 9 2 7 2 4 2" xfId="54114" xr:uid="{00000000-0005-0000-0000-0000D4D90000}"/>
    <cellStyle name="Normal 9 2 7 2 4 3" xfId="38014" xr:uid="{00000000-0005-0000-0000-0000D5D90000}"/>
    <cellStyle name="Normal 9 2 7 2 4 4" xfId="18878" xr:uid="{00000000-0005-0000-0000-0000D6D90000}"/>
    <cellStyle name="Normal 9 2 7 2 5" xfId="44547" xr:uid="{00000000-0005-0000-0000-0000D7D90000}"/>
    <cellStyle name="Normal 9 2 7 2 6" xfId="28447" xr:uid="{00000000-0005-0000-0000-0000D8D90000}"/>
    <cellStyle name="Normal 9 2 7 2 7" xfId="15383" xr:uid="{00000000-0005-0000-0000-0000D9D90000}"/>
    <cellStyle name="Normal 9 2 7 3" xfId="1759" xr:uid="{00000000-0005-0000-0000-0000DAD90000}"/>
    <cellStyle name="Normal 9 2 7 3 2" xfId="8293" xr:uid="{00000000-0005-0000-0000-0000DBD90000}"/>
    <cellStyle name="Normal 9 2 7 3 2 2" xfId="40034" xr:uid="{00000000-0005-0000-0000-0000DCD90000}"/>
    <cellStyle name="Normal 9 2 7 3 2 2 2" xfId="56134" xr:uid="{00000000-0005-0000-0000-0000DDD90000}"/>
    <cellStyle name="Normal 9 2 7 3 2 3" xfId="46567" xr:uid="{00000000-0005-0000-0000-0000DED90000}"/>
    <cellStyle name="Normal 9 2 7 3 2 4" xfId="30467" xr:uid="{00000000-0005-0000-0000-0000DFD90000}"/>
    <cellStyle name="Normal 9 2 7 3 2 5" xfId="20898" xr:uid="{00000000-0005-0000-0000-0000E0D90000}"/>
    <cellStyle name="Normal 9 2 7 3 3" xfId="11329" xr:uid="{00000000-0005-0000-0000-0000E1D90000}"/>
    <cellStyle name="Normal 9 2 7 3 3 2" xfId="49603" xr:uid="{00000000-0005-0000-0000-0000E2D90000}"/>
    <cellStyle name="Normal 9 2 7 3 3 3" xfId="33503" xr:uid="{00000000-0005-0000-0000-0000E3D90000}"/>
    <cellStyle name="Normal 9 2 7 3 3 4" xfId="23934" xr:uid="{00000000-0005-0000-0000-0000E4D90000}"/>
    <cellStyle name="Normal 9 2 7 3 4" xfId="5257" xr:uid="{00000000-0005-0000-0000-0000E5D90000}"/>
    <cellStyle name="Normal 9 2 7 3 4 2" xfId="53098" xr:uid="{00000000-0005-0000-0000-0000E6D90000}"/>
    <cellStyle name="Normal 9 2 7 3 4 3" xfId="36998" xr:uid="{00000000-0005-0000-0000-0000E7D90000}"/>
    <cellStyle name="Normal 9 2 7 3 4 4" xfId="17862" xr:uid="{00000000-0005-0000-0000-0000E8D90000}"/>
    <cellStyle name="Normal 9 2 7 3 5" xfId="43531" xr:uid="{00000000-0005-0000-0000-0000E9D90000}"/>
    <cellStyle name="Normal 9 2 7 3 6" xfId="27431" xr:uid="{00000000-0005-0000-0000-0000EAD90000}"/>
    <cellStyle name="Normal 9 2 7 3 7" xfId="14367" xr:uid="{00000000-0005-0000-0000-0000EBD90000}"/>
    <cellStyle name="Normal 9 2 7 4" xfId="7283" xr:uid="{00000000-0005-0000-0000-0000ECD90000}"/>
    <cellStyle name="Normal 9 2 7 4 2" xfId="39024" xr:uid="{00000000-0005-0000-0000-0000EDD90000}"/>
    <cellStyle name="Normal 9 2 7 4 2 2" xfId="55124" xr:uid="{00000000-0005-0000-0000-0000EED90000}"/>
    <cellStyle name="Normal 9 2 7 4 3" xfId="45557" xr:uid="{00000000-0005-0000-0000-0000EFD90000}"/>
    <cellStyle name="Normal 9 2 7 4 4" xfId="29457" xr:uid="{00000000-0005-0000-0000-0000F0D90000}"/>
    <cellStyle name="Normal 9 2 7 4 5" xfId="19888" xr:uid="{00000000-0005-0000-0000-0000F1D90000}"/>
    <cellStyle name="Normal 9 2 7 5" xfId="10319" xr:uid="{00000000-0005-0000-0000-0000F2D90000}"/>
    <cellStyle name="Normal 9 2 7 5 2" xfId="48593" xr:uid="{00000000-0005-0000-0000-0000F3D90000}"/>
    <cellStyle name="Normal 9 2 7 5 3" xfId="32493" xr:uid="{00000000-0005-0000-0000-0000F4D90000}"/>
    <cellStyle name="Normal 9 2 7 5 4" xfId="22924" xr:uid="{00000000-0005-0000-0000-0000F5D90000}"/>
    <cellStyle name="Normal 9 2 7 6" xfId="4247" xr:uid="{00000000-0005-0000-0000-0000F6D90000}"/>
    <cellStyle name="Normal 9 2 7 6 2" xfId="52088" xr:uid="{00000000-0005-0000-0000-0000F7D90000}"/>
    <cellStyle name="Normal 9 2 7 6 3" xfId="35988" xr:uid="{00000000-0005-0000-0000-0000F8D90000}"/>
    <cellStyle name="Normal 9 2 7 6 4" xfId="16852" xr:uid="{00000000-0005-0000-0000-0000F9D90000}"/>
    <cellStyle name="Normal 9 2 7 7" xfId="42521" xr:uid="{00000000-0005-0000-0000-0000FAD90000}"/>
    <cellStyle name="Normal 9 2 7 8" xfId="26421" xr:uid="{00000000-0005-0000-0000-0000FBD90000}"/>
    <cellStyle name="Normal 9 2 7 9" xfId="13357" xr:uid="{00000000-0005-0000-0000-0000FCD90000}"/>
    <cellStyle name="Normal 9 2 8" xfId="2086" xr:uid="{00000000-0005-0000-0000-0000FDD90000}"/>
    <cellStyle name="Normal 9 2 8 2" xfId="8620" xr:uid="{00000000-0005-0000-0000-0000FED90000}"/>
    <cellStyle name="Normal 9 2 8 2 2" xfId="40361" xr:uid="{00000000-0005-0000-0000-0000FFD90000}"/>
    <cellStyle name="Normal 9 2 8 2 2 2" xfId="56461" xr:uid="{00000000-0005-0000-0000-000000DA0000}"/>
    <cellStyle name="Normal 9 2 8 2 3" xfId="46894" xr:uid="{00000000-0005-0000-0000-000001DA0000}"/>
    <cellStyle name="Normal 9 2 8 2 4" xfId="30794" xr:uid="{00000000-0005-0000-0000-000002DA0000}"/>
    <cellStyle name="Normal 9 2 8 2 5" xfId="21225" xr:uid="{00000000-0005-0000-0000-000003DA0000}"/>
    <cellStyle name="Normal 9 2 8 3" xfId="11656" xr:uid="{00000000-0005-0000-0000-000004DA0000}"/>
    <cellStyle name="Normal 9 2 8 3 2" xfId="49930" xr:uid="{00000000-0005-0000-0000-000005DA0000}"/>
    <cellStyle name="Normal 9 2 8 3 3" xfId="33830" xr:uid="{00000000-0005-0000-0000-000006DA0000}"/>
    <cellStyle name="Normal 9 2 8 3 4" xfId="24261" xr:uid="{00000000-0005-0000-0000-000007DA0000}"/>
    <cellStyle name="Normal 9 2 8 4" xfId="5584" xr:uid="{00000000-0005-0000-0000-000008DA0000}"/>
    <cellStyle name="Normal 9 2 8 4 2" xfId="53425" xr:uid="{00000000-0005-0000-0000-000009DA0000}"/>
    <cellStyle name="Normal 9 2 8 4 3" xfId="37325" xr:uid="{00000000-0005-0000-0000-00000ADA0000}"/>
    <cellStyle name="Normal 9 2 8 4 4" xfId="18189" xr:uid="{00000000-0005-0000-0000-00000BDA0000}"/>
    <cellStyle name="Normal 9 2 8 5" xfId="43858" xr:uid="{00000000-0005-0000-0000-00000CDA0000}"/>
    <cellStyle name="Normal 9 2 8 6" xfId="27758" xr:uid="{00000000-0005-0000-0000-00000DDA0000}"/>
    <cellStyle name="Normal 9 2 8 7" xfId="14694" xr:uid="{00000000-0005-0000-0000-00000EDA0000}"/>
    <cellStyle name="Normal 9 2 9" xfId="1076" xr:uid="{00000000-0005-0000-0000-00000FDA0000}"/>
    <cellStyle name="Normal 9 2 9 2" xfId="7610" xr:uid="{00000000-0005-0000-0000-000010DA0000}"/>
    <cellStyle name="Normal 9 2 9 2 2" xfId="39351" xr:uid="{00000000-0005-0000-0000-000011DA0000}"/>
    <cellStyle name="Normal 9 2 9 2 2 2" xfId="55451" xr:uid="{00000000-0005-0000-0000-000012DA0000}"/>
    <cellStyle name="Normal 9 2 9 2 3" xfId="45884" xr:uid="{00000000-0005-0000-0000-000013DA0000}"/>
    <cellStyle name="Normal 9 2 9 2 4" xfId="29784" xr:uid="{00000000-0005-0000-0000-000014DA0000}"/>
    <cellStyle name="Normal 9 2 9 2 5" xfId="20215" xr:uid="{00000000-0005-0000-0000-000015DA0000}"/>
    <cellStyle name="Normal 9 2 9 3" xfId="10646" xr:uid="{00000000-0005-0000-0000-000016DA0000}"/>
    <cellStyle name="Normal 9 2 9 3 2" xfId="48920" xr:uid="{00000000-0005-0000-0000-000017DA0000}"/>
    <cellStyle name="Normal 9 2 9 3 3" xfId="32820" xr:uid="{00000000-0005-0000-0000-000018DA0000}"/>
    <cellStyle name="Normal 9 2 9 3 4" xfId="23251" xr:uid="{00000000-0005-0000-0000-000019DA0000}"/>
    <cellStyle name="Normal 9 2 9 4" xfId="4574" xr:uid="{00000000-0005-0000-0000-00001ADA0000}"/>
    <cellStyle name="Normal 9 2 9 4 2" xfId="52415" xr:uid="{00000000-0005-0000-0000-00001BDA0000}"/>
    <cellStyle name="Normal 9 2 9 4 3" xfId="36315" xr:uid="{00000000-0005-0000-0000-00001CDA0000}"/>
    <cellStyle name="Normal 9 2 9 4 4" xfId="17179" xr:uid="{00000000-0005-0000-0000-00001DDA0000}"/>
    <cellStyle name="Normal 9 2 9 5" xfId="42848" xr:uid="{00000000-0005-0000-0000-00001EDA0000}"/>
    <cellStyle name="Normal 9 2 9 6" xfId="26748" xr:uid="{00000000-0005-0000-0000-00001FDA0000}"/>
    <cellStyle name="Normal 9 2 9 7" xfId="13684" xr:uid="{00000000-0005-0000-0000-000020DA0000}"/>
    <cellStyle name="Normal 9 20" xfId="3086" xr:uid="{00000000-0005-0000-0000-000021DA0000}"/>
    <cellStyle name="Normal 9 20 2" xfId="50928" xr:uid="{00000000-0005-0000-0000-000022DA0000}"/>
    <cellStyle name="Normal 9 20 3" xfId="34828" xr:uid="{00000000-0005-0000-0000-000023DA0000}"/>
    <cellStyle name="Normal 9 20 4" xfId="15692" xr:uid="{00000000-0005-0000-0000-000024DA0000}"/>
    <cellStyle name="Normal 9 21" xfId="41361" xr:uid="{00000000-0005-0000-0000-000025DA0000}"/>
    <cellStyle name="Normal 9 22" xfId="25261" xr:uid="{00000000-0005-0000-0000-000026DA0000}"/>
    <cellStyle name="Normal 9 23" xfId="12656" xr:uid="{00000000-0005-0000-0000-000027DA0000}"/>
    <cellStyle name="Normal 9 3" xfId="116" xr:uid="{00000000-0005-0000-0000-000028DA0000}"/>
    <cellStyle name="Normal 9 3 10" xfId="9716" xr:uid="{00000000-0005-0000-0000-000029DA0000}"/>
    <cellStyle name="Normal 9 3 10 2" xfId="47990" xr:uid="{00000000-0005-0000-0000-00002ADA0000}"/>
    <cellStyle name="Normal 9 3 10 3" xfId="31890" xr:uid="{00000000-0005-0000-0000-00002BDA0000}"/>
    <cellStyle name="Normal 9 3 10 4" xfId="22321" xr:uid="{00000000-0005-0000-0000-00002CDA0000}"/>
    <cellStyle name="Normal 9 3 11" xfId="3184" xr:uid="{00000000-0005-0000-0000-00002DDA0000}"/>
    <cellStyle name="Normal 9 3 11 2" xfId="51026" xr:uid="{00000000-0005-0000-0000-00002EDA0000}"/>
    <cellStyle name="Normal 9 3 11 3" xfId="34926" xr:uid="{00000000-0005-0000-0000-00002FDA0000}"/>
    <cellStyle name="Normal 9 3 11 4" xfId="15790" xr:uid="{00000000-0005-0000-0000-000030DA0000}"/>
    <cellStyle name="Normal 9 3 12" xfId="41459" xr:uid="{00000000-0005-0000-0000-000031DA0000}"/>
    <cellStyle name="Normal 9 3 13" xfId="25359" xr:uid="{00000000-0005-0000-0000-000032DA0000}"/>
    <cellStyle name="Normal 9 3 14" xfId="12754" xr:uid="{00000000-0005-0000-0000-000033DA0000}"/>
    <cellStyle name="Normal 9 3 2" xfId="191" xr:uid="{00000000-0005-0000-0000-000034DA0000}"/>
    <cellStyle name="Normal 9 3 2 10" xfId="41696" xr:uid="{00000000-0005-0000-0000-000035DA0000}"/>
    <cellStyle name="Normal 9 3 2 11" xfId="25596" xr:uid="{00000000-0005-0000-0000-000036DA0000}"/>
    <cellStyle name="Normal 9 3 2 12" xfId="13020" xr:uid="{00000000-0005-0000-0000-000037DA0000}"/>
    <cellStyle name="Normal 9 3 2 2" xfId="368" xr:uid="{00000000-0005-0000-0000-000038DA0000}"/>
    <cellStyle name="Normal 9 3 2 2 2" xfId="2387" xr:uid="{00000000-0005-0000-0000-000039DA0000}"/>
    <cellStyle name="Normal 9 3 2 2 2 2" xfId="8921" xr:uid="{00000000-0005-0000-0000-00003ADA0000}"/>
    <cellStyle name="Normal 9 3 2 2 2 2 2" xfId="40662" xr:uid="{00000000-0005-0000-0000-00003BDA0000}"/>
    <cellStyle name="Normal 9 3 2 2 2 2 2 2" xfId="56762" xr:uid="{00000000-0005-0000-0000-00003CDA0000}"/>
    <cellStyle name="Normal 9 3 2 2 2 2 3" xfId="47195" xr:uid="{00000000-0005-0000-0000-00003DDA0000}"/>
    <cellStyle name="Normal 9 3 2 2 2 2 4" xfId="31095" xr:uid="{00000000-0005-0000-0000-00003EDA0000}"/>
    <cellStyle name="Normal 9 3 2 2 2 2 5" xfId="21526" xr:uid="{00000000-0005-0000-0000-00003FDA0000}"/>
    <cellStyle name="Normal 9 3 2 2 2 3" xfId="11957" xr:uid="{00000000-0005-0000-0000-000040DA0000}"/>
    <cellStyle name="Normal 9 3 2 2 2 3 2" xfId="50231" xr:uid="{00000000-0005-0000-0000-000041DA0000}"/>
    <cellStyle name="Normal 9 3 2 2 2 3 3" xfId="34131" xr:uid="{00000000-0005-0000-0000-000042DA0000}"/>
    <cellStyle name="Normal 9 3 2 2 2 3 4" xfId="24562" xr:uid="{00000000-0005-0000-0000-000043DA0000}"/>
    <cellStyle name="Normal 9 3 2 2 2 4" xfId="5885" xr:uid="{00000000-0005-0000-0000-000044DA0000}"/>
    <cellStyle name="Normal 9 3 2 2 2 4 2" xfId="53726" xr:uid="{00000000-0005-0000-0000-000045DA0000}"/>
    <cellStyle name="Normal 9 3 2 2 2 4 3" xfId="37626" xr:uid="{00000000-0005-0000-0000-000046DA0000}"/>
    <cellStyle name="Normal 9 3 2 2 2 4 4" xfId="18490" xr:uid="{00000000-0005-0000-0000-000047DA0000}"/>
    <cellStyle name="Normal 9 3 2 2 2 5" xfId="44159" xr:uid="{00000000-0005-0000-0000-000048DA0000}"/>
    <cellStyle name="Normal 9 3 2 2 2 6" xfId="28059" xr:uid="{00000000-0005-0000-0000-000049DA0000}"/>
    <cellStyle name="Normal 9 3 2 2 2 7" xfId="14995" xr:uid="{00000000-0005-0000-0000-00004ADA0000}"/>
    <cellStyle name="Normal 9 3 2 2 3" xfId="1599" xr:uid="{00000000-0005-0000-0000-00004BDA0000}"/>
    <cellStyle name="Normal 9 3 2 2 3 2" xfId="8133" xr:uid="{00000000-0005-0000-0000-00004CDA0000}"/>
    <cellStyle name="Normal 9 3 2 2 3 2 2" xfId="39874" xr:uid="{00000000-0005-0000-0000-00004DDA0000}"/>
    <cellStyle name="Normal 9 3 2 2 3 2 2 2" xfId="55974" xr:uid="{00000000-0005-0000-0000-00004EDA0000}"/>
    <cellStyle name="Normal 9 3 2 2 3 2 3" xfId="46407" xr:uid="{00000000-0005-0000-0000-00004FDA0000}"/>
    <cellStyle name="Normal 9 3 2 2 3 2 4" xfId="30307" xr:uid="{00000000-0005-0000-0000-000050DA0000}"/>
    <cellStyle name="Normal 9 3 2 2 3 2 5" xfId="20738" xr:uid="{00000000-0005-0000-0000-000051DA0000}"/>
    <cellStyle name="Normal 9 3 2 2 3 3" xfId="11169" xr:uid="{00000000-0005-0000-0000-000052DA0000}"/>
    <cellStyle name="Normal 9 3 2 2 3 3 2" xfId="49443" xr:uid="{00000000-0005-0000-0000-000053DA0000}"/>
    <cellStyle name="Normal 9 3 2 2 3 3 3" xfId="33343" xr:uid="{00000000-0005-0000-0000-000054DA0000}"/>
    <cellStyle name="Normal 9 3 2 2 3 3 4" xfId="23774" xr:uid="{00000000-0005-0000-0000-000055DA0000}"/>
    <cellStyle name="Normal 9 3 2 2 3 4" xfId="5097" xr:uid="{00000000-0005-0000-0000-000056DA0000}"/>
    <cellStyle name="Normal 9 3 2 2 3 4 2" xfId="52938" xr:uid="{00000000-0005-0000-0000-000057DA0000}"/>
    <cellStyle name="Normal 9 3 2 2 3 4 3" xfId="36838" xr:uid="{00000000-0005-0000-0000-000058DA0000}"/>
    <cellStyle name="Normal 9 3 2 2 3 4 4" xfId="17702" xr:uid="{00000000-0005-0000-0000-000059DA0000}"/>
    <cellStyle name="Normal 9 3 2 2 3 5" xfId="43371" xr:uid="{00000000-0005-0000-0000-00005ADA0000}"/>
    <cellStyle name="Normal 9 3 2 2 3 6" xfId="27271" xr:uid="{00000000-0005-0000-0000-00005BDA0000}"/>
    <cellStyle name="Normal 9 3 2 2 3 7" xfId="14207" xr:uid="{00000000-0005-0000-0000-00005CDA0000}"/>
    <cellStyle name="Normal 9 3 2 2 4" xfId="7123" xr:uid="{00000000-0005-0000-0000-00005DDA0000}"/>
    <cellStyle name="Normal 9 3 2 2 4 2" xfId="38864" xr:uid="{00000000-0005-0000-0000-00005EDA0000}"/>
    <cellStyle name="Normal 9 3 2 2 4 2 2" xfId="54964" xr:uid="{00000000-0005-0000-0000-00005FDA0000}"/>
    <cellStyle name="Normal 9 3 2 2 4 3" xfId="45397" xr:uid="{00000000-0005-0000-0000-000060DA0000}"/>
    <cellStyle name="Normal 9 3 2 2 4 4" xfId="29297" xr:uid="{00000000-0005-0000-0000-000061DA0000}"/>
    <cellStyle name="Normal 9 3 2 2 4 5" xfId="19728" xr:uid="{00000000-0005-0000-0000-000062DA0000}"/>
    <cellStyle name="Normal 9 3 2 2 5" xfId="10159" xr:uid="{00000000-0005-0000-0000-000063DA0000}"/>
    <cellStyle name="Normal 9 3 2 2 5 2" xfId="48433" xr:uid="{00000000-0005-0000-0000-000064DA0000}"/>
    <cellStyle name="Normal 9 3 2 2 5 3" xfId="32333" xr:uid="{00000000-0005-0000-0000-000065DA0000}"/>
    <cellStyle name="Normal 9 3 2 2 5 4" xfId="22764" xr:uid="{00000000-0005-0000-0000-000066DA0000}"/>
    <cellStyle name="Normal 9 3 2 2 6" xfId="4087" xr:uid="{00000000-0005-0000-0000-000067DA0000}"/>
    <cellStyle name="Normal 9 3 2 2 6 2" xfId="51928" xr:uid="{00000000-0005-0000-0000-000068DA0000}"/>
    <cellStyle name="Normal 9 3 2 2 6 3" xfId="35828" xr:uid="{00000000-0005-0000-0000-000069DA0000}"/>
    <cellStyle name="Normal 9 3 2 2 6 4" xfId="16692" xr:uid="{00000000-0005-0000-0000-00006ADA0000}"/>
    <cellStyle name="Normal 9 3 2 2 7" xfId="42361" xr:uid="{00000000-0005-0000-0000-00006BDA0000}"/>
    <cellStyle name="Normal 9 3 2 2 8" xfId="26261" xr:uid="{00000000-0005-0000-0000-00006CDA0000}"/>
    <cellStyle name="Normal 9 3 2 2 9" xfId="13197" xr:uid="{00000000-0005-0000-0000-00006DDA0000}"/>
    <cellStyle name="Normal 9 3 2 3" xfId="1007" xr:uid="{00000000-0005-0000-0000-00006EDA0000}"/>
    <cellStyle name="Normal 9 3 2 3 2" xfId="3035" xr:uid="{00000000-0005-0000-0000-00006FDA0000}"/>
    <cellStyle name="Normal 9 3 2 3 2 2" xfId="9567" xr:uid="{00000000-0005-0000-0000-000070DA0000}"/>
    <cellStyle name="Normal 9 3 2 3 2 2 2" xfId="41308" xr:uid="{00000000-0005-0000-0000-000071DA0000}"/>
    <cellStyle name="Normal 9 3 2 3 2 2 2 2" xfId="57408" xr:uid="{00000000-0005-0000-0000-000072DA0000}"/>
    <cellStyle name="Normal 9 3 2 3 2 2 3" xfId="47841" xr:uid="{00000000-0005-0000-0000-000073DA0000}"/>
    <cellStyle name="Normal 9 3 2 3 2 2 4" xfId="31741" xr:uid="{00000000-0005-0000-0000-000074DA0000}"/>
    <cellStyle name="Normal 9 3 2 3 2 2 5" xfId="22172" xr:uid="{00000000-0005-0000-0000-000075DA0000}"/>
    <cellStyle name="Normal 9 3 2 3 2 3" xfId="12603" xr:uid="{00000000-0005-0000-0000-000076DA0000}"/>
    <cellStyle name="Normal 9 3 2 3 2 3 2" xfId="50877" xr:uid="{00000000-0005-0000-0000-000077DA0000}"/>
    <cellStyle name="Normal 9 3 2 3 2 3 3" xfId="34777" xr:uid="{00000000-0005-0000-0000-000078DA0000}"/>
    <cellStyle name="Normal 9 3 2 3 2 3 4" xfId="25208" xr:uid="{00000000-0005-0000-0000-000079DA0000}"/>
    <cellStyle name="Normal 9 3 2 3 2 4" xfId="6531" xr:uid="{00000000-0005-0000-0000-00007ADA0000}"/>
    <cellStyle name="Normal 9 3 2 3 2 4 2" xfId="54372" xr:uid="{00000000-0005-0000-0000-00007BDA0000}"/>
    <cellStyle name="Normal 9 3 2 3 2 4 3" xfId="38272" xr:uid="{00000000-0005-0000-0000-00007CDA0000}"/>
    <cellStyle name="Normal 9 3 2 3 2 4 4" xfId="19136" xr:uid="{00000000-0005-0000-0000-00007DDA0000}"/>
    <cellStyle name="Normal 9 3 2 3 2 5" xfId="44805" xr:uid="{00000000-0005-0000-0000-00007EDA0000}"/>
    <cellStyle name="Normal 9 3 2 3 2 6" xfId="28705" xr:uid="{00000000-0005-0000-0000-00007FDA0000}"/>
    <cellStyle name="Normal 9 3 2 3 2 7" xfId="15641" xr:uid="{00000000-0005-0000-0000-000080DA0000}"/>
    <cellStyle name="Normal 9 3 2 3 3" xfId="2017" xr:uid="{00000000-0005-0000-0000-000081DA0000}"/>
    <cellStyle name="Normal 9 3 2 3 3 2" xfId="8551" xr:uid="{00000000-0005-0000-0000-000082DA0000}"/>
    <cellStyle name="Normal 9 3 2 3 3 2 2" xfId="40292" xr:uid="{00000000-0005-0000-0000-000083DA0000}"/>
    <cellStyle name="Normal 9 3 2 3 3 2 2 2" xfId="56392" xr:uid="{00000000-0005-0000-0000-000084DA0000}"/>
    <cellStyle name="Normal 9 3 2 3 3 2 3" xfId="46825" xr:uid="{00000000-0005-0000-0000-000085DA0000}"/>
    <cellStyle name="Normal 9 3 2 3 3 2 4" xfId="30725" xr:uid="{00000000-0005-0000-0000-000086DA0000}"/>
    <cellStyle name="Normal 9 3 2 3 3 2 5" xfId="21156" xr:uid="{00000000-0005-0000-0000-000087DA0000}"/>
    <cellStyle name="Normal 9 3 2 3 3 3" xfId="11587" xr:uid="{00000000-0005-0000-0000-000088DA0000}"/>
    <cellStyle name="Normal 9 3 2 3 3 3 2" xfId="49861" xr:uid="{00000000-0005-0000-0000-000089DA0000}"/>
    <cellStyle name="Normal 9 3 2 3 3 3 3" xfId="33761" xr:uid="{00000000-0005-0000-0000-00008ADA0000}"/>
    <cellStyle name="Normal 9 3 2 3 3 3 4" xfId="24192" xr:uid="{00000000-0005-0000-0000-00008BDA0000}"/>
    <cellStyle name="Normal 9 3 2 3 3 4" xfId="5515" xr:uid="{00000000-0005-0000-0000-00008CDA0000}"/>
    <cellStyle name="Normal 9 3 2 3 3 4 2" xfId="53356" xr:uid="{00000000-0005-0000-0000-00008DDA0000}"/>
    <cellStyle name="Normal 9 3 2 3 3 4 3" xfId="37256" xr:uid="{00000000-0005-0000-0000-00008EDA0000}"/>
    <cellStyle name="Normal 9 3 2 3 3 4 4" xfId="18120" xr:uid="{00000000-0005-0000-0000-00008FDA0000}"/>
    <cellStyle name="Normal 9 3 2 3 3 5" xfId="43789" xr:uid="{00000000-0005-0000-0000-000090DA0000}"/>
    <cellStyle name="Normal 9 3 2 3 3 6" xfId="27689" xr:uid="{00000000-0005-0000-0000-000091DA0000}"/>
    <cellStyle name="Normal 9 3 2 3 3 7" xfId="14625" xr:uid="{00000000-0005-0000-0000-000092DA0000}"/>
    <cellStyle name="Normal 9 3 2 3 4" xfId="7541" xr:uid="{00000000-0005-0000-0000-000093DA0000}"/>
    <cellStyle name="Normal 9 3 2 3 4 2" xfId="39282" xr:uid="{00000000-0005-0000-0000-000094DA0000}"/>
    <cellStyle name="Normal 9 3 2 3 4 2 2" xfId="55382" xr:uid="{00000000-0005-0000-0000-000095DA0000}"/>
    <cellStyle name="Normal 9 3 2 3 4 3" xfId="45815" xr:uid="{00000000-0005-0000-0000-000096DA0000}"/>
    <cellStyle name="Normal 9 3 2 3 4 4" xfId="29715" xr:uid="{00000000-0005-0000-0000-000097DA0000}"/>
    <cellStyle name="Normal 9 3 2 3 4 5" xfId="20146" xr:uid="{00000000-0005-0000-0000-000098DA0000}"/>
    <cellStyle name="Normal 9 3 2 3 5" xfId="10577" xr:uid="{00000000-0005-0000-0000-000099DA0000}"/>
    <cellStyle name="Normal 9 3 2 3 5 2" xfId="48851" xr:uid="{00000000-0005-0000-0000-00009ADA0000}"/>
    <cellStyle name="Normal 9 3 2 3 5 3" xfId="32751" xr:uid="{00000000-0005-0000-0000-00009BDA0000}"/>
    <cellStyle name="Normal 9 3 2 3 5 4" xfId="23182" xr:uid="{00000000-0005-0000-0000-00009CDA0000}"/>
    <cellStyle name="Normal 9 3 2 3 6" xfId="4505" xr:uid="{00000000-0005-0000-0000-00009DDA0000}"/>
    <cellStyle name="Normal 9 3 2 3 6 2" xfId="52346" xr:uid="{00000000-0005-0000-0000-00009EDA0000}"/>
    <cellStyle name="Normal 9 3 2 3 6 3" xfId="36246" xr:uid="{00000000-0005-0000-0000-00009FDA0000}"/>
    <cellStyle name="Normal 9 3 2 3 6 4" xfId="17110" xr:uid="{00000000-0005-0000-0000-0000A0DA0000}"/>
    <cellStyle name="Normal 9 3 2 3 7" xfId="42779" xr:uid="{00000000-0005-0000-0000-0000A1DA0000}"/>
    <cellStyle name="Normal 9 3 2 3 8" xfId="26679" xr:uid="{00000000-0005-0000-0000-0000A2DA0000}"/>
    <cellStyle name="Normal 9 3 2 3 9" xfId="13615" xr:uid="{00000000-0005-0000-0000-0000A3DA0000}"/>
    <cellStyle name="Normal 9 3 2 4" xfId="2210" xr:uid="{00000000-0005-0000-0000-0000A4DA0000}"/>
    <cellStyle name="Normal 9 3 2 4 2" xfId="8744" xr:uid="{00000000-0005-0000-0000-0000A5DA0000}"/>
    <cellStyle name="Normal 9 3 2 4 2 2" xfId="40485" xr:uid="{00000000-0005-0000-0000-0000A6DA0000}"/>
    <cellStyle name="Normal 9 3 2 4 2 2 2" xfId="56585" xr:uid="{00000000-0005-0000-0000-0000A7DA0000}"/>
    <cellStyle name="Normal 9 3 2 4 2 3" xfId="47018" xr:uid="{00000000-0005-0000-0000-0000A8DA0000}"/>
    <cellStyle name="Normal 9 3 2 4 2 4" xfId="30918" xr:uid="{00000000-0005-0000-0000-0000A9DA0000}"/>
    <cellStyle name="Normal 9 3 2 4 2 5" xfId="21349" xr:uid="{00000000-0005-0000-0000-0000AADA0000}"/>
    <cellStyle name="Normal 9 3 2 4 3" xfId="11780" xr:uid="{00000000-0005-0000-0000-0000ABDA0000}"/>
    <cellStyle name="Normal 9 3 2 4 3 2" xfId="50054" xr:uid="{00000000-0005-0000-0000-0000ACDA0000}"/>
    <cellStyle name="Normal 9 3 2 4 3 3" xfId="33954" xr:uid="{00000000-0005-0000-0000-0000ADDA0000}"/>
    <cellStyle name="Normal 9 3 2 4 3 4" xfId="24385" xr:uid="{00000000-0005-0000-0000-0000AEDA0000}"/>
    <cellStyle name="Normal 9 3 2 4 4" xfId="5708" xr:uid="{00000000-0005-0000-0000-0000AFDA0000}"/>
    <cellStyle name="Normal 9 3 2 4 4 2" xfId="53549" xr:uid="{00000000-0005-0000-0000-0000B0DA0000}"/>
    <cellStyle name="Normal 9 3 2 4 4 3" xfId="37449" xr:uid="{00000000-0005-0000-0000-0000B1DA0000}"/>
    <cellStyle name="Normal 9 3 2 4 4 4" xfId="18313" xr:uid="{00000000-0005-0000-0000-0000B2DA0000}"/>
    <cellStyle name="Normal 9 3 2 4 5" xfId="43982" xr:uid="{00000000-0005-0000-0000-0000B3DA0000}"/>
    <cellStyle name="Normal 9 3 2 4 6" xfId="27882" xr:uid="{00000000-0005-0000-0000-0000B4DA0000}"/>
    <cellStyle name="Normal 9 3 2 4 7" xfId="14818" xr:uid="{00000000-0005-0000-0000-0000B5DA0000}"/>
    <cellStyle name="Normal 9 3 2 5" xfId="1422" xr:uid="{00000000-0005-0000-0000-0000B6DA0000}"/>
    <cellStyle name="Normal 9 3 2 5 2" xfId="7956" xr:uid="{00000000-0005-0000-0000-0000B7DA0000}"/>
    <cellStyle name="Normal 9 3 2 5 2 2" xfId="39697" xr:uid="{00000000-0005-0000-0000-0000B8DA0000}"/>
    <cellStyle name="Normal 9 3 2 5 2 2 2" xfId="55797" xr:uid="{00000000-0005-0000-0000-0000B9DA0000}"/>
    <cellStyle name="Normal 9 3 2 5 2 3" xfId="46230" xr:uid="{00000000-0005-0000-0000-0000BADA0000}"/>
    <cellStyle name="Normal 9 3 2 5 2 4" xfId="30130" xr:uid="{00000000-0005-0000-0000-0000BBDA0000}"/>
    <cellStyle name="Normal 9 3 2 5 2 5" xfId="20561" xr:uid="{00000000-0005-0000-0000-0000BCDA0000}"/>
    <cellStyle name="Normal 9 3 2 5 3" xfId="10992" xr:uid="{00000000-0005-0000-0000-0000BDDA0000}"/>
    <cellStyle name="Normal 9 3 2 5 3 2" xfId="49266" xr:uid="{00000000-0005-0000-0000-0000BEDA0000}"/>
    <cellStyle name="Normal 9 3 2 5 3 3" xfId="33166" xr:uid="{00000000-0005-0000-0000-0000BFDA0000}"/>
    <cellStyle name="Normal 9 3 2 5 3 4" xfId="23597" xr:uid="{00000000-0005-0000-0000-0000C0DA0000}"/>
    <cellStyle name="Normal 9 3 2 5 4" xfId="4920" xr:uid="{00000000-0005-0000-0000-0000C1DA0000}"/>
    <cellStyle name="Normal 9 3 2 5 4 2" xfId="52761" xr:uid="{00000000-0005-0000-0000-0000C2DA0000}"/>
    <cellStyle name="Normal 9 3 2 5 4 3" xfId="36661" xr:uid="{00000000-0005-0000-0000-0000C3DA0000}"/>
    <cellStyle name="Normal 9 3 2 5 4 4" xfId="17525" xr:uid="{00000000-0005-0000-0000-0000C4DA0000}"/>
    <cellStyle name="Normal 9 3 2 5 5" xfId="43194" xr:uid="{00000000-0005-0000-0000-0000C5DA0000}"/>
    <cellStyle name="Normal 9 3 2 5 6" xfId="27094" xr:uid="{00000000-0005-0000-0000-0000C6DA0000}"/>
    <cellStyle name="Normal 9 3 2 5 7" xfId="14030" xr:uid="{00000000-0005-0000-0000-0000C7DA0000}"/>
    <cellStyle name="Normal 9 3 2 6" xfId="3910" xr:uid="{00000000-0005-0000-0000-0000C8DA0000}"/>
    <cellStyle name="Normal 9 3 2 6 2" xfId="35651" xr:uid="{00000000-0005-0000-0000-0000C9DA0000}"/>
    <cellStyle name="Normal 9 3 2 6 2 2" xfId="51751" xr:uid="{00000000-0005-0000-0000-0000CADA0000}"/>
    <cellStyle name="Normal 9 3 2 6 3" xfId="42184" xr:uid="{00000000-0005-0000-0000-0000CBDA0000}"/>
    <cellStyle name="Normal 9 3 2 6 4" xfId="26084" xr:uid="{00000000-0005-0000-0000-0000CCDA0000}"/>
    <cellStyle name="Normal 9 3 2 6 5" xfId="16515" xr:uid="{00000000-0005-0000-0000-0000CDDA0000}"/>
    <cellStyle name="Normal 9 3 2 7" xfId="6946" xr:uid="{00000000-0005-0000-0000-0000CEDA0000}"/>
    <cellStyle name="Normal 9 3 2 7 2" xfId="38687" xr:uid="{00000000-0005-0000-0000-0000CFDA0000}"/>
    <cellStyle name="Normal 9 3 2 7 2 2" xfId="54787" xr:uid="{00000000-0005-0000-0000-0000D0DA0000}"/>
    <cellStyle name="Normal 9 3 2 7 3" xfId="45220" xr:uid="{00000000-0005-0000-0000-0000D1DA0000}"/>
    <cellStyle name="Normal 9 3 2 7 4" xfId="29120" xr:uid="{00000000-0005-0000-0000-0000D2DA0000}"/>
    <cellStyle name="Normal 9 3 2 7 5" xfId="19551" xr:uid="{00000000-0005-0000-0000-0000D3DA0000}"/>
    <cellStyle name="Normal 9 3 2 8" xfId="9982" xr:uid="{00000000-0005-0000-0000-0000D4DA0000}"/>
    <cellStyle name="Normal 9 3 2 8 2" xfId="48256" xr:uid="{00000000-0005-0000-0000-0000D5DA0000}"/>
    <cellStyle name="Normal 9 3 2 8 3" xfId="32156" xr:uid="{00000000-0005-0000-0000-0000D6DA0000}"/>
    <cellStyle name="Normal 9 3 2 8 4" xfId="22587" xr:uid="{00000000-0005-0000-0000-0000D7DA0000}"/>
    <cellStyle name="Normal 9 3 2 9" xfId="3422" xr:uid="{00000000-0005-0000-0000-0000D8DA0000}"/>
    <cellStyle name="Normal 9 3 2 9 2" xfId="51263" xr:uid="{00000000-0005-0000-0000-0000D9DA0000}"/>
    <cellStyle name="Normal 9 3 2 9 3" xfId="35163" xr:uid="{00000000-0005-0000-0000-0000DADA0000}"/>
    <cellStyle name="Normal 9 3 2 9 4" xfId="16027" xr:uid="{00000000-0005-0000-0000-0000DBDA0000}"/>
    <cellStyle name="Normal 9 3 3" xfId="297" xr:uid="{00000000-0005-0000-0000-0000DCDA0000}"/>
    <cellStyle name="Normal 9 3 3 2" xfId="2316" xr:uid="{00000000-0005-0000-0000-0000DDDA0000}"/>
    <cellStyle name="Normal 9 3 3 2 2" xfId="8850" xr:uid="{00000000-0005-0000-0000-0000DEDA0000}"/>
    <cellStyle name="Normal 9 3 3 2 2 2" xfId="40591" xr:uid="{00000000-0005-0000-0000-0000DFDA0000}"/>
    <cellStyle name="Normal 9 3 3 2 2 2 2" xfId="56691" xr:uid="{00000000-0005-0000-0000-0000E0DA0000}"/>
    <cellStyle name="Normal 9 3 3 2 2 3" xfId="47124" xr:uid="{00000000-0005-0000-0000-0000E1DA0000}"/>
    <cellStyle name="Normal 9 3 3 2 2 4" xfId="31024" xr:uid="{00000000-0005-0000-0000-0000E2DA0000}"/>
    <cellStyle name="Normal 9 3 3 2 2 5" xfId="21455" xr:uid="{00000000-0005-0000-0000-0000E3DA0000}"/>
    <cellStyle name="Normal 9 3 3 2 3" xfId="11886" xr:uid="{00000000-0005-0000-0000-0000E4DA0000}"/>
    <cellStyle name="Normal 9 3 3 2 3 2" xfId="50160" xr:uid="{00000000-0005-0000-0000-0000E5DA0000}"/>
    <cellStyle name="Normal 9 3 3 2 3 3" xfId="34060" xr:uid="{00000000-0005-0000-0000-0000E6DA0000}"/>
    <cellStyle name="Normal 9 3 3 2 3 4" xfId="24491" xr:uid="{00000000-0005-0000-0000-0000E7DA0000}"/>
    <cellStyle name="Normal 9 3 3 2 4" xfId="5814" xr:uid="{00000000-0005-0000-0000-0000E8DA0000}"/>
    <cellStyle name="Normal 9 3 3 2 4 2" xfId="53655" xr:uid="{00000000-0005-0000-0000-0000E9DA0000}"/>
    <cellStyle name="Normal 9 3 3 2 4 3" xfId="37555" xr:uid="{00000000-0005-0000-0000-0000EADA0000}"/>
    <cellStyle name="Normal 9 3 3 2 4 4" xfId="18419" xr:uid="{00000000-0005-0000-0000-0000EBDA0000}"/>
    <cellStyle name="Normal 9 3 3 2 5" xfId="44088" xr:uid="{00000000-0005-0000-0000-0000ECDA0000}"/>
    <cellStyle name="Normal 9 3 3 2 6" xfId="27988" xr:uid="{00000000-0005-0000-0000-0000EDDA0000}"/>
    <cellStyle name="Normal 9 3 3 2 7" xfId="14924" xr:uid="{00000000-0005-0000-0000-0000EEDA0000}"/>
    <cellStyle name="Normal 9 3 3 3" xfId="1528" xr:uid="{00000000-0005-0000-0000-0000EFDA0000}"/>
    <cellStyle name="Normal 9 3 3 3 2" xfId="8062" xr:uid="{00000000-0005-0000-0000-0000F0DA0000}"/>
    <cellStyle name="Normal 9 3 3 3 2 2" xfId="39803" xr:uid="{00000000-0005-0000-0000-0000F1DA0000}"/>
    <cellStyle name="Normal 9 3 3 3 2 2 2" xfId="55903" xr:uid="{00000000-0005-0000-0000-0000F2DA0000}"/>
    <cellStyle name="Normal 9 3 3 3 2 3" xfId="46336" xr:uid="{00000000-0005-0000-0000-0000F3DA0000}"/>
    <cellStyle name="Normal 9 3 3 3 2 4" xfId="30236" xr:uid="{00000000-0005-0000-0000-0000F4DA0000}"/>
    <cellStyle name="Normal 9 3 3 3 2 5" xfId="20667" xr:uid="{00000000-0005-0000-0000-0000F5DA0000}"/>
    <cellStyle name="Normal 9 3 3 3 3" xfId="11098" xr:uid="{00000000-0005-0000-0000-0000F6DA0000}"/>
    <cellStyle name="Normal 9 3 3 3 3 2" xfId="49372" xr:uid="{00000000-0005-0000-0000-0000F7DA0000}"/>
    <cellStyle name="Normal 9 3 3 3 3 3" xfId="33272" xr:uid="{00000000-0005-0000-0000-0000F8DA0000}"/>
    <cellStyle name="Normal 9 3 3 3 3 4" xfId="23703" xr:uid="{00000000-0005-0000-0000-0000F9DA0000}"/>
    <cellStyle name="Normal 9 3 3 3 4" xfId="5026" xr:uid="{00000000-0005-0000-0000-0000FADA0000}"/>
    <cellStyle name="Normal 9 3 3 3 4 2" xfId="52867" xr:uid="{00000000-0005-0000-0000-0000FBDA0000}"/>
    <cellStyle name="Normal 9 3 3 3 4 3" xfId="36767" xr:uid="{00000000-0005-0000-0000-0000FCDA0000}"/>
    <cellStyle name="Normal 9 3 3 3 4 4" xfId="17631" xr:uid="{00000000-0005-0000-0000-0000FDDA0000}"/>
    <cellStyle name="Normal 9 3 3 3 5" xfId="43300" xr:uid="{00000000-0005-0000-0000-0000FEDA0000}"/>
    <cellStyle name="Normal 9 3 3 3 6" xfId="27200" xr:uid="{00000000-0005-0000-0000-0000FFDA0000}"/>
    <cellStyle name="Normal 9 3 3 3 7" xfId="14136" xr:uid="{00000000-0005-0000-0000-000000DB0000}"/>
    <cellStyle name="Normal 9 3 3 4" xfId="7052" xr:uid="{00000000-0005-0000-0000-000001DB0000}"/>
    <cellStyle name="Normal 9 3 3 4 2" xfId="38793" xr:uid="{00000000-0005-0000-0000-000002DB0000}"/>
    <cellStyle name="Normal 9 3 3 4 2 2" xfId="54893" xr:uid="{00000000-0005-0000-0000-000003DB0000}"/>
    <cellStyle name="Normal 9 3 3 4 3" xfId="45326" xr:uid="{00000000-0005-0000-0000-000004DB0000}"/>
    <cellStyle name="Normal 9 3 3 4 4" xfId="29226" xr:uid="{00000000-0005-0000-0000-000005DB0000}"/>
    <cellStyle name="Normal 9 3 3 4 5" xfId="19657" xr:uid="{00000000-0005-0000-0000-000006DB0000}"/>
    <cellStyle name="Normal 9 3 3 5" xfId="10088" xr:uid="{00000000-0005-0000-0000-000007DB0000}"/>
    <cellStyle name="Normal 9 3 3 5 2" xfId="48362" xr:uid="{00000000-0005-0000-0000-000008DB0000}"/>
    <cellStyle name="Normal 9 3 3 5 3" xfId="32262" xr:uid="{00000000-0005-0000-0000-000009DB0000}"/>
    <cellStyle name="Normal 9 3 3 5 4" xfId="22693" xr:uid="{00000000-0005-0000-0000-00000ADB0000}"/>
    <cellStyle name="Normal 9 3 3 6" xfId="4016" xr:uid="{00000000-0005-0000-0000-00000BDB0000}"/>
    <cellStyle name="Normal 9 3 3 6 2" xfId="51857" xr:uid="{00000000-0005-0000-0000-00000CDB0000}"/>
    <cellStyle name="Normal 9 3 3 6 3" xfId="35757" xr:uid="{00000000-0005-0000-0000-00000DDB0000}"/>
    <cellStyle name="Normal 9 3 3 6 4" xfId="16621" xr:uid="{00000000-0005-0000-0000-00000EDB0000}"/>
    <cellStyle name="Normal 9 3 3 7" xfId="42290" xr:uid="{00000000-0005-0000-0000-00000FDB0000}"/>
    <cellStyle name="Normal 9 3 3 8" xfId="26190" xr:uid="{00000000-0005-0000-0000-000010DB0000}"/>
    <cellStyle name="Normal 9 3 3 9" xfId="13126" xr:uid="{00000000-0005-0000-0000-000011DB0000}"/>
    <cellStyle name="Normal 9 3 4" xfId="555" xr:uid="{00000000-0005-0000-0000-000012DB0000}"/>
    <cellStyle name="Normal 9 3 4 2" xfId="2584" xr:uid="{00000000-0005-0000-0000-000013DB0000}"/>
    <cellStyle name="Normal 9 3 4 2 2" xfId="9116" xr:uid="{00000000-0005-0000-0000-000014DB0000}"/>
    <cellStyle name="Normal 9 3 4 2 2 2" xfId="40857" xr:uid="{00000000-0005-0000-0000-000015DB0000}"/>
    <cellStyle name="Normal 9 3 4 2 2 2 2" xfId="56957" xr:uid="{00000000-0005-0000-0000-000016DB0000}"/>
    <cellStyle name="Normal 9 3 4 2 2 3" xfId="47390" xr:uid="{00000000-0005-0000-0000-000017DB0000}"/>
    <cellStyle name="Normal 9 3 4 2 2 4" xfId="31290" xr:uid="{00000000-0005-0000-0000-000018DB0000}"/>
    <cellStyle name="Normal 9 3 4 2 2 5" xfId="21721" xr:uid="{00000000-0005-0000-0000-000019DB0000}"/>
    <cellStyle name="Normal 9 3 4 2 3" xfId="12152" xr:uid="{00000000-0005-0000-0000-00001ADB0000}"/>
    <cellStyle name="Normal 9 3 4 2 3 2" xfId="50426" xr:uid="{00000000-0005-0000-0000-00001BDB0000}"/>
    <cellStyle name="Normal 9 3 4 2 3 3" xfId="34326" xr:uid="{00000000-0005-0000-0000-00001CDB0000}"/>
    <cellStyle name="Normal 9 3 4 2 3 4" xfId="24757" xr:uid="{00000000-0005-0000-0000-00001DDB0000}"/>
    <cellStyle name="Normal 9 3 4 2 4" xfId="6080" xr:uid="{00000000-0005-0000-0000-00001EDB0000}"/>
    <cellStyle name="Normal 9 3 4 2 4 2" xfId="53921" xr:uid="{00000000-0005-0000-0000-00001FDB0000}"/>
    <cellStyle name="Normal 9 3 4 2 4 3" xfId="37821" xr:uid="{00000000-0005-0000-0000-000020DB0000}"/>
    <cellStyle name="Normal 9 3 4 2 4 4" xfId="18685" xr:uid="{00000000-0005-0000-0000-000021DB0000}"/>
    <cellStyle name="Normal 9 3 4 2 5" xfId="44354" xr:uid="{00000000-0005-0000-0000-000022DB0000}"/>
    <cellStyle name="Normal 9 3 4 2 6" xfId="28254" xr:uid="{00000000-0005-0000-0000-000023DB0000}"/>
    <cellStyle name="Normal 9 3 4 2 7" xfId="15190" xr:uid="{00000000-0005-0000-0000-000024DB0000}"/>
    <cellStyle name="Normal 9 3 4 3" xfId="1351" xr:uid="{00000000-0005-0000-0000-000025DB0000}"/>
    <cellStyle name="Normal 9 3 4 3 2" xfId="7885" xr:uid="{00000000-0005-0000-0000-000026DB0000}"/>
    <cellStyle name="Normal 9 3 4 3 2 2" xfId="39626" xr:uid="{00000000-0005-0000-0000-000027DB0000}"/>
    <cellStyle name="Normal 9 3 4 3 2 2 2" xfId="55726" xr:uid="{00000000-0005-0000-0000-000028DB0000}"/>
    <cellStyle name="Normal 9 3 4 3 2 3" xfId="46159" xr:uid="{00000000-0005-0000-0000-000029DB0000}"/>
    <cellStyle name="Normal 9 3 4 3 2 4" xfId="30059" xr:uid="{00000000-0005-0000-0000-00002ADB0000}"/>
    <cellStyle name="Normal 9 3 4 3 2 5" xfId="20490" xr:uid="{00000000-0005-0000-0000-00002BDB0000}"/>
    <cellStyle name="Normal 9 3 4 3 3" xfId="10921" xr:uid="{00000000-0005-0000-0000-00002CDB0000}"/>
    <cellStyle name="Normal 9 3 4 3 3 2" xfId="49195" xr:uid="{00000000-0005-0000-0000-00002DDB0000}"/>
    <cellStyle name="Normal 9 3 4 3 3 3" xfId="33095" xr:uid="{00000000-0005-0000-0000-00002EDB0000}"/>
    <cellStyle name="Normal 9 3 4 3 3 4" xfId="23526" xr:uid="{00000000-0005-0000-0000-00002FDB0000}"/>
    <cellStyle name="Normal 9 3 4 3 4" xfId="4849" xr:uid="{00000000-0005-0000-0000-000030DB0000}"/>
    <cellStyle name="Normal 9 3 4 3 4 2" xfId="52690" xr:uid="{00000000-0005-0000-0000-000031DB0000}"/>
    <cellStyle name="Normal 9 3 4 3 4 3" xfId="36590" xr:uid="{00000000-0005-0000-0000-000032DB0000}"/>
    <cellStyle name="Normal 9 3 4 3 4 4" xfId="17454" xr:uid="{00000000-0005-0000-0000-000033DB0000}"/>
    <cellStyle name="Normal 9 3 4 3 5" xfId="43123" xr:uid="{00000000-0005-0000-0000-000034DB0000}"/>
    <cellStyle name="Normal 9 3 4 3 6" xfId="27023" xr:uid="{00000000-0005-0000-0000-000035DB0000}"/>
    <cellStyle name="Normal 9 3 4 3 7" xfId="13959" xr:uid="{00000000-0005-0000-0000-000036DB0000}"/>
    <cellStyle name="Normal 9 3 4 4" xfId="6875" xr:uid="{00000000-0005-0000-0000-000037DB0000}"/>
    <cellStyle name="Normal 9 3 4 4 2" xfId="38616" xr:uid="{00000000-0005-0000-0000-000038DB0000}"/>
    <cellStyle name="Normal 9 3 4 4 2 2" xfId="54716" xr:uid="{00000000-0005-0000-0000-000039DB0000}"/>
    <cellStyle name="Normal 9 3 4 4 3" xfId="45149" xr:uid="{00000000-0005-0000-0000-00003ADB0000}"/>
    <cellStyle name="Normal 9 3 4 4 4" xfId="29049" xr:uid="{00000000-0005-0000-0000-00003BDB0000}"/>
    <cellStyle name="Normal 9 3 4 4 5" xfId="19480" xr:uid="{00000000-0005-0000-0000-00003CDB0000}"/>
    <cellStyle name="Normal 9 3 4 5" xfId="9911" xr:uid="{00000000-0005-0000-0000-00003DDB0000}"/>
    <cellStyle name="Normal 9 3 4 5 2" xfId="48185" xr:uid="{00000000-0005-0000-0000-00003EDB0000}"/>
    <cellStyle name="Normal 9 3 4 5 3" xfId="32085" xr:uid="{00000000-0005-0000-0000-00003FDB0000}"/>
    <cellStyle name="Normal 9 3 4 5 4" xfId="22516" xr:uid="{00000000-0005-0000-0000-000040DB0000}"/>
    <cellStyle name="Normal 9 3 4 6" xfId="3839" xr:uid="{00000000-0005-0000-0000-000041DB0000}"/>
    <cellStyle name="Normal 9 3 4 6 2" xfId="51680" xr:uid="{00000000-0005-0000-0000-000042DB0000}"/>
    <cellStyle name="Normal 9 3 4 6 3" xfId="35580" xr:uid="{00000000-0005-0000-0000-000043DB0000}"/>
    <cellStyle name="Normal 9 3 4 6 4" xfId="16444" xr:uid="{00000000-0005-0000-0000-000044DB0000}"/>
    <cellStyle name="Normal 9 3 4 7" xfId="42113" xr:uid="{00000000-0005-0000-0000-000045DB0000}"/>
    <cellStyle name="Normal 9 3 4 8" xfId="26013" xr:uid="{00000000-0005-0000-0000-000046DB0000}"/>
    <cellStyle name="Normal 9 3 4 9" xfId="12949" xr:uid="{00000000-0005-0000-0000-000047DB0000}"/>
    <cellStyle name="Normal 9 3 5" xfId="829" xr:uid="{00000000-0005-0000-0000-000048DB0000}"/>
    <cellStyle name="Normal 9 3 5 2" xfId="2857" xr:uid="{00000000-0005-0000-0000-000049DB0000}"/>
    <cellStyle name="Normal 9 3 5 2 2" xfId="9389" xr:uid="{00000000-0005-0000-0000-00004ADB0000}"/>
    <cellStyle name="Normal 9 3 5 2 2 2" xfId="41130" xr:uid="{00000000-0005-0000-0000-00004BDB0000}"/>
    <cellStyle name="Normal 9 3 5 2 2 2 2" xfId="57230" xr:uid="{00000000-0005-0000-0000-00004CDB0000}"/>
    <cellStyle name="Normal 9 3 5 2 2 3" xfId="47663" xr:uid="{00000000-0005-0000-0000-00004DDB0000}"/>
    <cellStyle name="Normal 9 3 5 2 2 4" xfId="31563" xr:uid="{00000000-0005-0000-0000-00004EDB0000}"/>
    <cellStyle name="Normal 9 3 5 2 2 5" xfId="21994" xr:uid="{00000000-0005-0000-0000-00004FDB0000}"/>
    <cellStyle name="Normal 9 3 5 2 3" xfId="12425" xr:uid="{00000000-0005-0000-0000-000050DB0000}"/>
    <cellStyle name="Normal 9 3 5 2 3 2" xfId="50699" xr:uid="{00000000-0005-0000-0000-000051DB0000}"/>
    <cellStyle name="Normal 9 3 5 2 3 3" xfId="34599" xr:uid="{00000000-0005-0000-0000-000052DB0000}"/>
    <cellStyle name="Normal 9 3 5 2 3 4" xfId="25030" xr:uid="{00000000-0005-0000-0000-000053DB0000}"/>
    <cellStyle name="Normal 9 3 5 2 4" xfId="6353" xr:uid="{00000000-0005-0000-0000-000054DB0000}"/>
    <cellStyle name="Normal 9 3 5 2 4 2" xfId="54194" xr:uid="{00000000-0005-0000-0000-000055DB0000}"/>
    <cellStyle name="Normal 9 3 5 2 4 3" xfId="38094" xr:uid="{00000000-0005-0000-0000-000056DB0000}"/>
    <cellStyle name="Normal 9 3 5 2 4 4" xfId="18958" xr:uid="{00000000-0005-0000-0000-000057DB0000}"/>
    <cellStyle name="Normal 9 3 5 2 5" xfId="44627" xr:uid="{00000000-0005-0000-0000-000058DB0000}"/>
    <cellStyle name="Normal 9 3 5 2 6" xfId="28527" xr:uid="{00000000-0005-0000-0000-000059DB0000}"/>
    <cellStyle name="Normal 9 3 5 2 7" xfId="15463" xr:uid="{00000000-0005-0000-0000-00005ADB0000}"/>
    <cellStyle name="Normal 9 3 5 3" xfId="1839" xr:uid="{00000000-0005-0000-0000-00005BDB0000}"/>
    <cellStyle name="Normal 9 3 5 3 2" xfId="8373" xr:uid="{00000000-0005-0000-0000-00005CDB0000}"/>
    <cellStyle name="Normal 9 3 5 3 2 2" xfId="40114" xr:uid="{00000000-0005-0000-0000-00005DDB0000}"/>
    <cellStyle name="Normal 9 3 5 3 2 2 2" xfId="56214" xr:uid="{00000000-0005-0000-0000-00005EDB0000}"/>
    <cellStyle name="Normal 9 3 5 3 2 3" xfId="46647" xr:uid="{00000000-0005-0000-0000-00005FDB0000}"/>
    <cellStyle name="Normal 9 3 5 3 2 4" xfId="30547" xr:uid="{00000000-0005-0000-0000-000060DB0000}"/>
    <cellStyle name="Normal 9 3 5 3 2 5" xfId="20978" xr:uid="{00000000-0005-0000-0000-000061DB0000}"/>
    <cellStyle name="Normal 9 3 5 3 3" xfId="11409" xr:uid="{00000000-0005-0000-0000-000062DB0000}"/>
    <cellStyle name="Normal 9 3 5 3 3 2" xfId="49683" xr:uid="{00000000-0005-0000-0000-000063DB0000}"/>
    <cellStyle name="Normal 9 3 5 3 3 3" xfId="33583" xr:uid="{00000000-0005-0000-0000-000064DB0000}"/>
    <cellStyle name="Normal 9 3 5 3 3 4" xfId="24014" xr:uid="{00000000-0005-0000-0000-000065DB0000}"/>
    <cellStyle name="Normal 9 3 5 3 4" xfId="5337" xr:uid="{00000000-0005-0000-0000-000066DB0000}"/>
    <cellStyle name="Normal 9 3 5 3 4 2" xfId="53178" xr:uid="{00000000-0005-0000-0000-000067DB0000}"/>
    <cellStyle name="Normal 9 3 5 3 4 3" xfId="37078" xr:uid="{00000000-0005-0000-0000-000068DB0000}"/>
    <cellStyle name="Normal 9 3 5 3 4 4" xfId="17942" xr:uid="{00000000-0005-0000-0000-000069DB0000}"/>
    <cellStyle name="Normal 9 3 5 3 5" xfId="43611" xr:uid="{00000000-0005-0000-0000-00006ADB0000}"/>
    <cellStyle name="Normal 9 3 5 3 6" xfId="27511" xr:uid="{00000000-0005-0000-0000-00006BDB0000}"/>
    <cellStyle name="Normal 9 3 5 3 7" xfId="14447" xr:uid="{00000000-0005-0000-0000-00006CDB0000}"/>
    <cellStyle name="Normal 9 3 5 4" xfId="7363" xr:uid="{00000000-0005-0000-0000-00006DDB0000}"/>
    <cellStyle name="Normal 9 3 5 4 2" xfId="39104" xr:uid="{00000000-0005-0000-0000-00006EDB0000}"/>
    <cellStyle name="Normal 9 3 5 4 2 2" xfId="55204" xr:uid="{00000000-0005-0000-0000-00006FDB0000}"/>
    <cellStyle name="Normal 9 3 5 4 3" xfId="45637" xr:uid="{00000000-0005-0000-0000-000070DB0000}"/>
    <cellStyle name="Normal 9 3 5 4 4" xfId="29537" xr:uid="{00000000-0005-0000-0000-000071DB0000}"/>
    <cellStyle name="Normal 9 3 5 4 5" xfId="19968" xr:uid="{00000000-0005-0000-0000-000072DB0000}"/>
    <cellStyle name="Normal 9 3 5 5" xfId="10399" xr:uid="{00000000-0005-0000-0000-000073DB0000}"/>
    <cellStyle name="Normal 9 3 5 5 2" xfId="48673" xr:uid="{00000000-0005-0000-0000-000074DB0000}"/>
    <cellStyle name="Normal 9 3 5 5 3" xfId="32573" xr:uid="{00000000-0005-0000-0000-000075DB0000}"/>
    <cellStyle name="Normal 9 3 5 5 4" xfId="23004" xr:uid="{00000000-0005-0000-0000-000076DB0000}"/>
    <cellStyle name="Normal 9 3 5 6" xfId="4327" xr:uid="{00000000-0005-0000-0000-000077DB0000}"/>
    <cellStyle name="Normal 9 3 5 6 2" xfId="52168" xr:uid="{00000000-0005-0000-0000-000078DB0000}"/>
    <cellStyle name="Normal 9 3 5 6 3" xfId="36068" xr:uid="{00000000-0005-0000-0000-000079DB0000}"/>
    <cellStyle name="Normal 9 3 5 6 4" xfId="16932" xr:uid="{00000000-0005-0000-0000-00007ADB0000}"/>
    <cellStyle name="Normal 9 3 5 7" xfId="42601" xr:uid="{00000000-0005-0000-0000-00007BDB0000}"/>
    <cellStyle name="Normal 9 3 5 8" xfId="26501" xr:uid="{00000000-0005-0000-0000-00007CDB0000}"/>
    <cellStyle name="Normal 9 3 5 9" xfId="13437" xr:uid="{00000000-0005-0000-0000-00007DDB0000}"/>
    <cellStyle name="Normal 9 3 6" xfId="2139" xr:uid="{00000000-0005-0000-0000-00007EDB0000}"/>
    <cellStyle name="Normal 9 3 6 2" xfId="8673" xr:uid="{00000000-0005-0000-0000-00007FDB0000}"/>
    <cellStyle name="Normal 9 3 6 2 2" xfId="40414" xr:uid="{00000000-0005-0000-0000-000080DB0000}"/>
    <cellStyle name="Normal 9 3 6 2 2 2" xfId="56514" xr:uid="{00000000-0005-0000-0000-000081DB0000}"/>
    <cellStyle name="Normal 9 3 6 2 3" xfId="46947" xr:uid="{00000000-0005-0000-0000-000082DB0000}"/>
    <cellStyle name="Normal 9 3 6 2 4" xfId="30847" xr:uid="{00000000-0005-0000-0000-000083DB0000}"/>
    <cellStyle name="Normal 9 3 6 2 5" xfId="21278" xr:uid="{00000000-0005-0000-0000-000084DB0000}"/>
    <cellStyle name="Normal 9 3 6 3" xfId="11709" xr:uid="{00000000-0005-0000-0000-000085DB0000}"/>
    <cellStyle name="Normal 9 3 6 3 2" xfId="49983" xr:uid="{00000000-0005-0000-0000-000086DB0000}"/>
    <cellStyle name="Normal 9 3 6 3 3" xfId="33883" xr:uid="{00000000-0005-0000-0000-000087DB0000}"/>
    <cellStyle name="Normal 9 3 6 3 4" xfId="24314" xr:uid="{00000000-0005-0000-0000-000088DB0000}"/>
    <cellStyle name="Normal 9 3 6 4" xfId="5637" xr:uid="{00000000-0005-0000-0000-000089DB0000}"/>
    <cellStyle name="Normal 9 3 6 4 2" xfId="53478" xr:uid="{00000000-0005-0000-0000-00008ADB0000}"/>
    <cellStyle name="Normal 9 3 6 4 3" xfId="37378" xr:uid="{00000000-0005-0000-0000-00008BDB0000}"/>
    <cellStyle name="Normal 9 3 6 4 4" xfId="18242" xr:uid="{00000000-0005-0000-0000-00008CDB0000}"/>
    <cellStyle name="Normal 9 3 6 5" xfId="43911" xr:uid="{00000000-0005-0000-0000-00008DDB0000}"/>
    <cellStyle name="Normal 9 3 6 6" xfId="27811" xr:uid="{00000000-0005-0000-0000-00008EDB0000}"/>
    <cellStyle name="Normal 9 3 6 7" xfId="14747" xr:uid="{00000000-0005-0000-0000-00008FDB0000}"/>
    <cellStyle name="Normal 9 3 7" xfId="1156" xr:uid="{00000000-0005-0000-0000-000090DB0000}"/>
    <cellStyle name="Normal 9 3 7 2" xfId="7690" xr:uid="{00000000-0005-0000-0000-000091DB0000}"/>
    <cellStyle name="Normal 9 3 7 2 2" xfId="39431" xr:uid="{00000000-0005-0000-0000-000092DB0000}"/>
    <cellStyle name="Normal 9 3 7 2 2 2" xfId="55531" xr:uid="{00000000-0005-0000-0000-000093DB0000}"/>
    <cellStyle name="Normal 9 3 7 2 3" xfId="45964" xr:uid="{00000000-0005-0000-0000-000094DB0000}"/>
    <cellStyle name="Normal 9 3 7 2 4" xfId="29864" xr:uid="{00000000-0005-0000-0000-000095DB0000}"/>
    <cellStyle name="Normal 9 3 7 2 5" xfId="20295" xr:uid="{00000000-0005-0000-0000-000096DB0000}"/>
    <cellStyle name="Normal 9 3 7 3" xfId="10726" xr:uid="{00000000-0005-0000-0000-000097DB0000}"/>
    <cellStyle name="Normal 9 3 7 3 2" xfId="49000" xr:uid="{00000000-0005-0000-0000-000098DB0000}"/>
    <cellStyle name="Normal 9 3 7 3 3" xfId="32900" xr:uid="{00000000-0005-0000-0000-000099DB0000}"/>
    <cellStyle name="Normal 9 3 7 3 4" xfId="23331" xr:uid="{00000000-0005-0000-0000-00009ADB0000}"/>
    <cellStyle name="Normal 9 3 7 4" xfId="4654" xr:uid="{00000000-0005-0000-0000-00009BDB0000}"/>
    <cellStyle name="Normal 9 3 7 4 2" xfId="52495" xr:uid="{00000000-0005-0000-0000-00009CDB0000}"/>
    <cellStyle name="Normal 9 3 7 4 3" xfId="36395" xr:uid="{00000000-0005-0000-0000-00009DDB0000}"/>
    <cellStyle name="Normal 9 3 7 4 4" xfId="17259" xr:uid="{00000000-0005-0000-0000-00009EDB0000}"/>
    <cellStyle name="Normal 9 3 7 5" xfId="42928" xr:uid="{00000000-0005-0000-0000-00009FDB0000}"/>
    <cellStyle name="Normal 9 3 7 6" xfId="26828" xr:uid="{00000000-0005-0000-0000-0000A0DB0000}"/>
    <cellStyle name="Normal 9 3 7 7" xfId="13764" xr:uid="{00000000-0005-0000-0000-0000A1DB0000}"/>
    <cellStyle name="Normal 9 3 8" xfId="3644" xr:uid="{00000000-0005-0000-0000-0000A2DB0000}"/>
    <cellStyle name="Normal 9 3 8 2" xfId="35385" xr:uid="{00000000-0005-0000-0000-0000A3DB0000}"/>
    <cellStyle name="Normal 9 3 8 2 2" xfId="51485" xr:uid="{00000000-0005-0000-0000-0000A4DB0000}"/>
    <cellStyle name="Normal 9 3 8 3" xfId="41918" xr:uid="{00000000-0005-0000-0000-0000A5DB0000}"/>
    <cellStyle name="Normal 9 3 8 4" xfId="25818" xr:uid="{00000000-0005-0000-0000-0000A6DB0000}"/>
    <cellStyle name="Normal 9 3 8 5" xfId="16249" xr:uid="{00000000-0005-0000-0000-0000A7DB0000}"/>
    <cellStyle name="Normal 9 3 9" xfId="6680" xr:uid="{00000000-0005-0000-0000-0000A8DB0000}"/>
    <cellStyle name="Normal 9 3 9 2" xfId="38421" xr:uid="{00000000-0005-0000-0000-0000A9DB0000}"/>
    <cellStyle name="Normal 9 3 9 2 2" xfId="54521" xr:uid="{00000000-0005-0000-0000-0000AADB0000}"/>
    <cellStyle name="Normal 9 3 9 3" xfId="44954" xr:uid="{00000000-0005-0000-0000-0000ABDB0000}"/>
    <cellStyle name="Normal 9 3 9 4" xfId="28854" xr:uid="{00000000-0005-0000-0000-0000ACDB0000}"/>
    <cellStyle name="Normal 9 3 9 5" xfId="19285" xr:uid="{00000000-0005-0000-0000-0000ADDB0000}"/>
    <cellStyle name="Normal 9 4" xfId="80" xr:uid="{00000000-0005-0000-0000-0000AEDB0000}"/>
    <cellStyle name="Normal 9 4 10" xfId="3201" xr:uid="{00000000-0005-0000-0000-0000AFDB0000}"/>
    <cellStyle name="Normal 9 4 10 2" xfId="51043" xr:uid="{00000000-0005-0000-0000-0000B0DB0000}"/>
    <cellStyle name="Normal 9 4 10 3" xfId="34943" xr:uid="{00000000-0005-0000-0000-0000B1DB0000}"/>
    <cellStyle name="Normal 9 4 10 4" xfId="15807" xr:uid="{00000000-0005-0000-0000-0000B2DB0000}"/>
    <cellStyle name="Normal 9 4 11" xfId="41476" xr:uid="{00000000-0005-0000-0000-0000B3DB0000}"/>
    <cellStyle name="Normal 9 4 12" xfId="25376" xr:uid="{00000000-0005-0000-0000-0000B4DB0000}"/>
    <cellStyle name="Normal 9 4 13" xfId="12771" xr:uid="{00000000-0005-0000-0000-0000B5DB0000}"/>
    <cellStyle name="Normal 9 4 2" xfId="261" xr:uid="{00000000-0005-0000-0000-0000B6DB0000}"/>
    <cellStyle name="Normal 9 4 2 10" xfId="25613" xr:uid="{00000000-0005-0000-0000-0000B7DB0000}"/>
    <cellStyle name="Normal 9 4 2 11" xfId="13090" xr:uid="{00000000-0005-0000-0000-0000B8DB0000}"/>
    <cellStyle name="Normal 9 4 2 2" xfId="1041" xr:uid="{00000000-0005-0000-0000-0000B9DB0000}"/>
    <cellStyle name="Normal 9 4 2 2 2" xfId="3069" xr:uid="{00000000-0005-0000-0000-0000BADB0000}"/>
    <cellStyle name="Normal 9 4 2 2 2 2" xfId="9601" xr:uid="{00000000-0005-0000-0000-0000BBDB0000}"/>
    <cellStyle name="Normal 9 4 2 2 2 2 2" xfId="41342" xr:uid="{00000000-0005-0000-0000-0000BCDB0000}"/>
    <cellStyle name="Normal 9 4 2 2 2 2 2 2" xfId="57442" xr:uid="{00000000-0005-0000-0000-0000BDDB0000}"/>
    <cellStyle name="Normal 9 4 2 2 2 2 3" xfId="47875" xr:uid="{00000000-0005-0000-0000-0000BEDB0000}"/>
    <cellStyle name="Normal 9 4 2 2 2 2 4" xfId="31775" xr:uid="{00000000-0005-0000-0000-0000BFDB0000}"/>
    <cellStyle name="Normal 9 4 2 2 2 2 5" xfId="22206" xr:uid="{00000000-0005-0000-0000-0000C0DB0000}"/>
    <cellStyle name="Normal 9 4 2 2 2 3" xfId="12637" xr:uid="{00000000-0005-0000-0000-0000C1DB0000}"/>
    <cellStyle name="Normal 9 4 2 2 2 3 2" xfId="50911" xr:uid="{00000000-0005-0000-0000-0000C2DB0000}"/>
    <cellStyle name="Normal 9 4 2 2 2 3 3" xfId="34811" xr:uid="{00000000-0005-0000-0000-0000C3DB0000}"/>
    <cellStyle name="Normal 9 4 2 2 2 3 4" xfId="25242" xr:uid="{00000000-0005-0000-0000-0000C4DB0000}"/>
    <cellStyle name="Normal 9 4 2 2 2 4" xfId="6565" xr:uid="{00000000-0005-0000-0000-0000C5DB0000}"/>
    <cellStyle name="Normal 9 4 2 2 2 4 2" xfId="54406" xr:uid="{00000000-0005-0000-0000-0000C6DB0000}"/>
    <cellStyle name="Normal 9 4 2 2 2 4 3" xfId="38306" xr:uid="{00000000-0005-0000-0000-0000C7DB0000}"/>
    <cellStyle name="Normal 9 4 2 2 2 4 4" xfId="19170" xr:uid="{00000000-0005-0000-0000-0000C8DB0000}"/>
    <cellStyle name="Normal 9 4 2 2 2 5" xfId="44839" xr:uid="{00000000-0005-0000-0000-0000C9DB0000}"/>
    <cellStyle name="Normal 9 4 2 2 2 6" xfId="28739" xr:uid="{00000000-0005-0000-0000-0000CADB0000}"/>
    <cellStyle name="Normal 9 4 2 2 2 7" xfId="15675" xr:uid="{00000000-0005-0000-0000-0000CBDB0000}"/>
    <cellStyle name="Normal 9 4 2 2 3" xfId="2051" xr:uid="{00000000-0005-0000-0000-0000CCDB0000}"/>
    <cellStyle name="Normal 9 4 2 2 3 2" xfId="8585" xr:uid="{00000000-0005-0000-0000-0000CDDB0000}"/>
    <cellStyle name="Normal 9 4 2 2 3 2 2" xfId="40326" xr:uid="{00000000-0005-0000-0000-0000CEDB0000}"/>
    <cellStyle name="Normal 9 4 2 2 3 2 2 2" xfId="56426" xr:uid="{00000000-0005-0000-0000-0000CFDB0000}"/>
    <cellStyle name="Normal 9 4 2 2 3 2 3" xfId="46859" xr:uid="{00000000-0005-0000-0000-0000D0DB0000}"/>
    <cellStyle name="Normal 9 4 2 2 3 2 4" xfId="30759" xr:uid="{00000000-0005-0000-0000-0000D1DB0000}"/>
    <cellStyle name="Normal 9 4 2 2 3 2 5" xfId="21190" xr:uid="{00000000-0005-0000-0000-0000D2DB0000}"/>
    <cellStyle name="Normal 9 4 2 2 3 3" xfId="11621" xr:uid="{00000000-0005-0000-0000-0000D3DB0000}"/>
    <cellStyle name="Normal 9 4 2 2 3 3 2" xfId="49895" xr:uid="{00000000-0005-0000-0000-0000D4DB0000}"/>
    <cellStyle name="Normal 9 4 2 2 3 3 3" xfId="33795" xr:uid="{00000000-0005-0000-0000-0000D5DB0000}"/>
    <cellStyle name="Normal 9 4 2 2 3 3 4" xfId="24226" xr:uid="{00000000-0005-0000-0000-0000D6DB0000}"/>
    <cellStyle name="Normal 9 4 2 2 3 4" xfId="5549" xr:uid="{00000000-0005-0000-0000-0000D7DB0000}"/>
    <cellStyle name="Normal 9 4 2 2 3 4 2" xfId="53390" xr:uid="{00000000-0005-0000-0000-0000D8DB0000}"/>
    <cellStyle name="Normal 9 4 2 2 3 4 3" xfId="37290" xr:uid="{00000000-0005-0000-0000-0000D9DB0000}"/>
    <cellStyle name="Normal 9 4 2 2 3 4 4" xfId="18154" xr:uid="{00000000-0005-0000-0000-0000DADB0000}"/>
    <cellStyle name="Normal 9 4 2 2 3 5" xfId="43823" xr:uid="{00000000-0005-0000-0000-0000DBDB0000}"/>
    <cellStyle name="Normal 9 4 2 2 3 6" xfId="27723" xr:uid="{00000000-0005-0000-0000-0000DCDB0000}"/>
    <cellStyle name="Normal 9 4 2 2 3 7" xfId="14659" xr:uid="{00000000-0005-0000-0000-0000DDDB0000}"/>
    <cellStyle name="Normal 9 4 2 2 4" xfId="7575" xr:uid="{00000000-0005-0000-0000-0000DEDB0000}"/>
    <cellStyle name="Normal 9 4 2 2 4 2" xfId="39316" xr:uid="{00000000-0005-0000-0000-0000DFDB0000}"/>
    <cellStyle name="Normal 9 4 2 2 4 2 2" xfId="55416" xr:uid="{00000000-0005-0000-0000-0000E0DB0000}"/>
    <cellStyle name="Normal 9 4 2 2 4 3" xfId="45849" xr:uid="{00000000-0005-0000-0000-0000E1DB0000}"/>
    <cellStyle name="Normal 9 4 2 2 4 4" xfId="29749" xr:uid="{00000000-0005-0000-0000-0000E2DB0000}"/>
    <cellStyle name="Normal 9 4 2 2 4 5" xfId="20180" xr:uid="{00000000-0005-0000-0000-0000E3DB0000}"/>
    <cellStyle name="Normal 9 4 2 2 5" xfId="10611" xr:uid="{00000000-0005-0000-0000-0000E4DB0000}"/>
    <cellStyle name="Normal 9 4 2 2 5 2" xfId="48885" xr:uid="{00000000-0005-0000-0000-0000E5DB0000}"/>
    <cellStyle name="Normal 9 4 2 2 5 3" xfId="32785" xr:uid="{00000000-0005-0000-0000-0000E6DB0000}"/>
    <cellStyle name="Normal 9 4 2 2 5 4" xfId="23216" xr:uid="{00000000-0005-0000-0000-0000E7DB0000}"/>
    <cellStyle name="Normal 9 4 2 2 6" xfId="4539" xr:uid="{00000000-0005-0000-0000-0000E8DB0000}"/>
    <cellStyle name="Normal 9 4 2 2 6 2" xfId="52380" xr:uid="{00000000-0005-0000-0000-0000E9DB0000}"/>
    <cellStyle name="Normal 9 4 2 2 6 3" xfId="36280" xr:uid="{00000000-0005-0000-0000-0000EADB0000}"/>
    <cellStyle name="Normal 9 4 2 2 6 4" xfId="17144" xr:uid="{00000000-0005-0000-0000-0000EBDB0000}"/>
    <cellStyle name="Normal 9 4 2 2 7" xfId="42813" xr:uid="{00000000-0005-0000-0000-0000ECDB0000}"/>
    <cellStyle name="Normal 9 4 2 2 8" xfId="26713" xr:uid="{00000000-0005-0000-0000-0000EDDB0000}"/>
    <cellStyle name="Normal 9 4 2 2 9" xfId="13649" xr:uid="{00000000-0005-0000-0000-0000EEDB0000}"/>
    <cellStyle name="Normal 9 4 2 3" xfId="2280" xr:uid="{00000000-0005-0000-0000-0000EFDB0000}"/>
    <cellStyle name="Normal 9 4 2 3 2" xfId="8814" xr:uid="{00000000-0005-0000-0000-0000F0DB0000}"/>
    <cellStyle name="Normal 9 4 2 3 2 2" xfId="40555" xr:uid="{00000000-0005-0000-0000-0000F1DB0000}"/>
    <cellStyle name="Normal 9 4 2 3 2 2 2" xfId="56655" xr:uid="{00000000-0005-0000-0000-0000F2DB0000}"/>
    <cellStyle name="Normal 9 4 2 3 2 3" xfId="47088" xr:uid="{00000000-0005-0000-0000-0000F3DB0000}"/>
    <cellStyle name="Normal 9 4 2 3 2 4" xfId="30988" xr:uid="{00000000-0005-0000-0000-0000F4DB0000}"/>
    <cellStyle name="Normal 9 4 2 3 2 5" xfId="21419" xr:uid="{00000000-0005-0000-0000-0000F5DB0000}"/>
    <cellStyle name="Normal 9 4 2 3 3" xfId="11850" xr:uid="{00000000-0005-0000-0000-0000F6DB0000}"/>
    <cellStyle name="Normal 9 4 2 3 3 2" xfId="50124" xr:uid="{00000000-0005-0000-0000-0000F7DB0000}"/>
    <cellStyle name="Normal 9 4 2 3 3 3" xfId="34024" xr:uid="{00000000-0005-0000-0000-0000F8DB0000}"/>
    <cellStyle name="Normal 9 4 2 3 3 4" xfId="24455" xr:uid="{00000000-0005-0000-0000-0000F9DB0000}"/>
    <cellStyle name="Normal 9 4 2 3 4" xfId="5778" xr:uid="{00000000-0005-0000-0000-0000FADB0000}"/>
    <cellStyle name="Normal 9 4 2 3 4 2" xfId="53619" xr:uid="{00000000-0005-0000-0000-0000FBDB0000}"/>
    <cellStyle name="Normal 9 4 2 3 4 3" xfId="37519" xr:uid="{00000000-0005-0000-0000-0000FCDB0000}"/>
    <cellStyle name="Normal 9 4 2 3 4 4" xfId="18383" xr:uid="{00000000-0005-0000-0000-0000FDDB0000}"/>
    <cellStyle name="Normal 9 4 2 3 5" xfId="44052" xr:uid="{00000000-0005-0000-0000-0000FEDB0000}"/>
    <cellStyle name="Normal 9 4 2 3 6" xfId="27952" xr:uid="{00000000-0005-0000-0000-0000FFDB0000}"/>
    <cellStyle name="Normal 9 4 2 3 7" xfId="14888" xr:uid="{00000000-0005-0000-0000-000000DC0000}"/>
    <cellStyle name="Normal 9 4 2 4" xfId="1492" xr:uid="{00000000-0005-0000-0000-000001DC0000}"/>
    <cellStyle name="Normal 9 4 2 4 2" xfId="8026" xr:uid="{00000000-0005-0000-0000-000002DC0000}"/>
    <cellStyle name="Normal 9 4 2 4 2 2" xfId="39767" xr:uid="{00000000-0005-0000-0000-000003DC0000}"/>
    <cellStyle name="Normal 9 4 2 4 2 2 2" xfId="55867" xr:uid="{00000000-0005-0000-0000-000004DC0000}"/>
    <cellStyle name="Normal 9 4 2 4 2 3" xfId="46300" xr:uid="{00000000-0005-0000-0000-000005DC0000}"/>
    <cellStyle name="Normal 9 4 2 4 2 4" xfId="30200" xr:uid="{00000000-0005-0000-0000-000006DC0000}"/>
    <cellStyle name="Normal 9 4 2 4 2 5" xfId="20631" xr:uid="{00000000-0005-0000-0000-000007DC0000}"/>
    <cellStyle name="Normal 9 4 2 4 3" xfId="11062" xr:uid="{00000000-0005-0000-0000-000008DC0000}"/>
    <cellStyle name="Normal 9 4 2 4 3 2" xfId="49336" xr:uid="{00000000-0005-0000-0000-000009DC0000}"/>
    <cellStyle name="Normal 9 4 2 4 3 3" xfId="33236" xr:uid="{00000000-0005-0000-0000-00000ADC0000}"/>
    <cellStyle name="Normal 9 4 2 4 3 4" xfId="23667" xr:uid="{00000000-0005-0000-0000-00000BDC0000}"/>
    <cellStyle name="Normal 9 4 2 4 4" xfId="4990" xr:uid="{00000000-0005-0000-0000-00000CDC0000}"/>
    <cellStyle name="Normal 9 4 2 4 4 2" xfId="52831" xr:uid="{00000000-0005-0000-0000-00000DDC0000}"/>
    <cellStyle name="Normal 9 4 2 4 4 3" xfId="36731" xr:uid="{00000000-0005-0000-0000-00000EDC0000}"/>
    <cellStyle name="Normal 9 4 2 4 4 4" xfId="17595" xr:uid="{00000000-0005-0000-0000-00000FDC0000}"/>
    <cellStyle name="Normal 9 4 2 4 5" xfId="43264" xr:uid="{00000000-0005-0000-0000-000010DC0000}"/>
    <cellStyle name="Normal 9 4 2 4 6" xfId="27164" xr:uid="{00000000-0005-0000-0000-000011DC0000}"/>
    <cellStyle name="Normal 9 4 2 4 7" xfId="14100" xr:uid="{00000000-0005-0000-0000-000012DC0000}"/>
    <cellStyle name="Normal 9 4 2 5" xfId="3980" xr:uid="{00000000-0005-0000-0000-000013DC0000}"/>
    <cellStyle name="Normal 9 4 2 5 2" xfId="35721" xr:uid="{00000000-0005-0000-0000-000014DC0000}"/>
    <cellStyle name="Normal 9 4 2 5 2 2" xfId="51821" xr:uid="{00000000-0005-0000-0000-000015DC0000}"/>
    <cellStyle name="Normal 9 4 2 5 3" xfId="42254" xr:uid="{00000000-0005-0000-0000-000016DC0000}"/>
    <cellStyle name="Normal 9 4 2 5 4" xfId="26154" xr:uid="{00000000-0005-0000-0000-000017DC0000}"/>
    <cellStyle name="Normal 9 4 2 5 5" xfId="16585" xr:uid="{00000000-0005-0000-0000-000018DC0000}"/>
    <cellStyle name="Normal 9 4 2 6" xfId="7016" xr:uid="{00000000-0005-0000-0000-000019DC0000}"/>
    <cellStyle name="Normal 9 4 2 6 2" xfId="38757" xr:uid="{00000000-0005-0000-0000-00001ADC0000}"/>
    <cellStyle name="Normal 9 4 2 6 2 2" xfId="54857" xr:uid="{00000000-0005-0000-0000-00001BDC0000}"/>
    <cellStyle name="Normal 9 4 2 6 3" xfId="45290" xr:uid="{00000000-0005-0000-0000-00001CDC0000}"/>
    <cellStyle name="Normal 9 4 2 6 4" xfId="29190" xr:uid="{00000000-0005-0000-0000-00001DDC0000}"/>
    <cellStyle name="Normal 9 4 2 6 5" xfId="19621" xr:uid="{00000000-0005-0000-0000-00001EDC0000}"/>
    <cellStyle name="Normal 9 4 2 7" xfId="10052" xr:uid="{00000000-0005-0000-0000-00001FDC0000}"/>
    <cellStyle name="Normal 9 4 2 7 2" xfId="48326" xr:uid="{00000000-0005-0000-0000-000020DC0000}"/>
    <cellStyle name="Normal 9 4 2 7 3" xfId="32226" xr:uid="{00000000-0005-0000-0000-000021DC0000}"/>
    <cellStyle name="Normal 9 4 2 7 4" xfId="22657" xr:uid="{00000000-0005-0000-0000-000022DC0000}"/>
    <cellStyle name="Normal 9 4 2 8" xfId="3439" xr:uid="{00000000-0005-0000-0000-000023DC0000}"/>
    <cellStyle name="Normal 9 4 2 8 2" xfId="51280" xr:uid="{00000000-0005-0000-0000-000024DC0000}"/>
    <cellStyle name="Normal 9 4 2 8 3" xfId="35180" xr:uid="{00000000-0005-0000-0000-000025DC0000}"/>
    <cellStyle name="Normal 9 4 2 8 4" xfId="16044" xr:uid="{00000000-0005-0000-0000-000026DC0000}"/>
    <cellStyle name="Normal 9 4 2 9" xfId="41713" xr:uid="{00000000-0005-0000-0000-000027DC0000}"/>
    <cellStyle name="Normal 9 4 3" xfId="536" xr:uid="{00000000-0005-0000-0000-000028DC0000}"/>
    <cellStyle name="Normal 9 4 3 2" xfId="2566" xr:uid="{00000000-0005-0000-0000-000029DC0000}"/>
    <cellStyle name="Normal 9 4 3 2 2" xfId="9098" xr:uid="{00000000-0005-0000-0000-00002ADC0000}"/>
    <cellStyle name="Normal 9 4 3 2 2 2" xfId="40839" xr:uid="{00000000-0005-0000-0000-00002BDC0000}"/>
    <cellStyle name="Normal 9 4 3 2 2 2 2" xfId="56939" xr:uid="{00000000-0005-0000-0000-00002CDC0000}"/>
    <cellStyle name="Normal 9 4 3 2 2 3" xfId="47372" xr:uid="{00000000-0005-0000-0000-00002DDC0000}"/>
    <cellStyle name="Normal 9 4 3 2 2 4" xfId="31272" xr:uid="{00000000-0005-0000-0000-00002EDC0000}"/>
    <cellStyle name="Normal 9 4 3 2 2 5" xfId="21703" xr:uid="{00000000-0005-0000-0000-00002FDC0000}"/>
    <cellStyle name="Normal 9 4 3 2 3" xfId="12134" xr:uid="{00000000-0005-0000-0000-000030DC0000}"/>
    <cellStyle name="Normal 9 4 3 2 3 2" xfId="50408" xr:uid="{00000000-0005-0000-0000-000031DC0000}"/>
    <cellStyle name="Normal 9 4 3 2 3 3" xfId="34308" xr:uid="{00000000-0005-0000-0000-000032DC0000}"/>
    <cellStyle name="Normal 9 4 3 2 3 4" xfId="24739" xr:uid="{00000000-0005-0000-0000-000033DC0000}"/>
    <cellStyle name="Normal 9 4 3 2 4" xfId="6062" xr:uid="{00000000-0005-0000-0000-000034DC0000}"/>
    <cellStyle name="Normal 9 4 3 2 4 2" xfId="53903" xr:uid="{00000000-0005-0000-0000-000035DC0000}"/>
    <cellStyle name="Normal 9 4 3 2 4 3" xfId="37803" xr:uid="{00000000-0005-0000-0000-000036DC0000}"/>
    <cellStyle name="Normal 9 4 3 2 4 4" xfId="18667" xr:uid="{00000000-0005-0000-0000-000037DC0000}"/>
    <cellStyle name="Normal 9 4 3 2 5" xfId="44336" xr:uid="{00000000-0005-0000-0000-000038DC0000}"/>
    <cellStyle name="Normal 9 4 3 2 6" xfId="28236" xr:uid="{00000000-0005-0000-0000-000039DC0000}"/>
    <cellStyle name="Normal 9 4 3 2 7" xfId="15172" xr:uid="{00000000-0005-0000-0000-00003ADC0000}"/>
    <cellStyle name="Normal 9 4 3 3" xfId="1315" xr:uid="{00000000-0005-0000-0000-00003BDC0000}"/>
    <cellStyle name="Normal 9 4 3 3 2" xfId="7849" xr:uid="{00000000-0005-0000-0000-00003CDC0000}"/>
    <cellStyle name="Normal 9 4 3 3 2 2" xfId="39590" xr:uid="{00000000-0005-0000-0000-00003DDC0000}"/>
    <cellStyle name="Normal 9 4 3 3 2 2 2" xfId="55690" xr:uid="{00000000-0005-0000-0000-00003EDC0000}"/>
    <cellStyle name="Normal 9 4 3 3 2 3" xfId="46123" xr:uid="{00000000-0005-0000-0000-00003FDC0000}"/>
    <cellStyle name="Normal 9 4 3 3 2 4" xfId="30023" xr:uid="{00000000-0005-0000-0000-000040DC0000}"/>
    <cellStyle name="Normal 9 4 3 3 2 5" xfId="20454" xr:uid="{00000000-0005-0000-0000-000041DC0000}"/>
    <cellStyle name="Normal 9 4 3 3 3" xfId="10885" xr:uid="{00000000-0005-0000-0000-000042DC0000}"/>
    <cellStyle name="Normal 9 4 3 3 3 2" xfId="49159" xr:uid="{00000000-0005-0000-0000-000043DC0000}"/>
    <cellStyle name="Normal 9 4 3 3 3 3" xfId="33059" xr:uid="{00000000-0005-0000-0000-000044DC0000}"/>
    <cellStyle name="Normal 9 4 3 3 3 4" xfId="23490" xr:uid="{00000000-0005-0000-0000-000045DC0000}"/>
    <cellStyle name="Normal 9 4 3 3 4" xfId="4813" xr:uid="{00000000-0005-0000-0000-000046DC0000}"/>
    <cellStyle name="Normal 9 4 3 3 4 2" xfId="52654" xr:uid="{00000000-0005-0000-0000-000047DC0000}"/>
    <cellStyle name="Normal 9 4 3 3 4 3" xfId="36554" xr:uid="{00000000-0005-0000-0000-000048DC0000}"/>
    <cellStyle name="Normal 9 4 3 3 4 4" xfId="17418" xr:uid="{00000000-0005-0000-0000-000049DC0000}"/>
    <cellStyle name="Normal 9 4 3 3 5" xfId="43087" xr:uid="{00000000-0005-0000-0000-00004ADC0000}"/>
    <cellStyle name="Normal 9 4 3 3 6" xfId="26987" xr:uid="{00000000-0005-0000-0000-00004BDC0000}"/>
    <cellStyle name="Normal 9 4 3 3 7" xfId="13923" xr:uid="{00000000-0005-0000-0000-00004CDC0000}"/>
    <cellStyle name="Normal 9 4 3 4" xfId="6839" xr:uid="{00000000-0005-0000-0000-00004DDC0000}"/>
    <cellStyle name="Normal 9 4 3 4 2" xfId="38580" xr:uid="{00000000-0005-0000-0000-00004EDC0000}"/>
    <cellStyle name="Normal 9 4 3 4 2 2" xfId="54680" xr:uid="{00000000-0005-0000-0000-00004FDC0000}"/>
    <cellStyle name="Normal 9 4 3 4 3" xfId="45113" xr:uid="{00000000-0005-0000-0000-000050DC0000}"/>
    <cellStyle name="Normal 9 4 3 4 4" xfId="29013" xr:uid="{00000000-0005-0000-0000-000051DC0000}"/>
    <cellStyle name="Normal 9 4 3 4 5" xfId="19444" xr:uid="{00000000-0005-0000-0000-000052DC0000}"/>
    <cellStyle name="Normal 9 4 3 5" xfId="9875" xr:uid="{00000000-0005-0000-0000-000053DC0000}"/>
    <cellStyle name="Normal 9 4 3 5 2" xfId="48149" xr:uid="{00000000-0005-0000-0000-000054DC0000}"/>
    <cellStyle name="Normal 9 4 3 5 3" xfId="32049" xr:uid="{00000000-0005-0000-0000-000055DC0000}"/>
    <cellStyle name="Normal 9 4 3 5 4" xfId="22480" xr:uid="{00000000-0005-0000-0000-000056DC0000}"/>
    <cellStyle name="Normal 9 4 3 6" xfId="3803" xr:uid="{00000000-0005-0000-0000-000057DC0000}"/>
    <cellStyle name="Normal 9 4 3 6 2" xfId="51644" xr:uid="{00000000-0005-0000-0000-000058DC0000}"/>
    <cellStyle name="Normal 9 4 3 6 3" xfId="35544" xr:uid="{00000000-0005-0000-0000-000059DC0000}"/>
    <cellStyle name="Normal 9 4 3 6 4" xfId="16408" xr:uid="{00000000-0005-0000-0000-00005ADC0000}"/>
    <cellStyle name="Normal 9 4 3 7" xfId="42077" xr:uid="{00000000-0005-0000-0000-00005BDC0000}"/>
    <cellStyle name="Normal 9 4 3 8" xfId="25977" xr:uid="{00000000-0005-0000-0000-00005CDC0000}"/>
    <cellStyle name="Normal 9 4 3 9" xfId="12913" xr:uid="{00000000-0005-0000-0000-00005DDC0000}"/>
    <cellStyle name="Normal 9 4 4" xfId="846" xr:uid="{00000000-0005-0000-0000-00005EDC0000}"/>
    <cellStyle name="Normal 9 4 4 2" xfId="2874" xr:uid="{00000000-0005-0000-0000-00005FDC0000}"/>
    <cellStyle name="Normal 9 4 4 2 2" xfId="9406" xr:uid="{00000000-0005-0000-0000-000060DC0000}"/>
    <cellStyle name="Normal 9 4 4 2 2 2" xfId="41147" xr:uid="{00000000-0005-0000-0000-000061DC0000}"/>
    <cellStyle name="Normal 9 4 4 2 2 2 2" xfId="57247" xr:uid="{00000000-0005-0000-0000-000062DC0000}"/>
    <cellStyle name="Normal 9 4 4 2 2 3" xfId="47680" xr:uid="{00000000-0005-0000-0000-000063DC0000}"/>
    <cellStyle name="Normal 9 4 4 2 2 4" xfId="31580" xr:uid="{00000000-0005-0000-0000-000064DC0000}"/>
    <cellStyle name="Normal 9 4 4 2 2 5" xfId="22011" xr:uid="{00000000-0005-0000-0000-000065DC0000}"/>
    <cellStyle name="Normal 9 4 4 2 3" xfId="12442" xr:uid="{00000000-0005-0000-0000-000066DC0000}"/>
    <cellStyle name="Normal 9 4 4 2 3 2" xfId="50716" xr:uid="{00000000-0005-0000-0000-000067DC0000}"/>
    <cellStyle name="Normal 9 4 4 2 3 3" xfId="34616" xr:uid="{00000000-0005-0000-0000-000068DC0000}"/>
    <cellStyle name="Normal 9 4 4 2 3 4" xfId="25047" xr:uid="{00000000-0005-0000-0000-000069DC0000}"/>
    <cellStyle name="Normal 9 4 4 2 4" xfId="6370" xr:uid="{00000000-0005-0000-0000-00006ADC0000}"/>
    <cellStyle name="Normal 9 4 4 2 4 2" xfId="54211" xr:uid="{00000000-0005-0000-0000-00006BDC0000}"/>
    <cellStyle name="Normal 9 4 4 2 4 3" xfId="38111" xr:uid="{00000000-0005-0000-0000-00006CDC0000}"/>
    <cellStyle name="Normal 9 4 4 2 4 4" xfId="18975" xr:uid="{00000000-0005-0000-0000-00006DDC0000}"/>
    <cellStyle name="Normal 9 4 4 2 5" xfId="44644" xr:uid="{00000000-0005-0000-0000-00006EDC0000}"/>
    <cellStyle name="Normal 9 4 4 2 6" xfId="28544" xr:uid="{00000000-0005-0000-0000-00006FDC0000}"/>
    <cellStyle name="Normal 9 4 4 2 7" xfId="15480" xr:uid="{00000000-0005-0000-0000-000070DC0000}"/>
    <cellStyle name="Normal 9 4 4 3" xfId="1856" xr:uid="{00000000-0005-0000-0000-000071DC0000}"/>
    <cellStyle name="Normal 9 4 4 3 2" xfId="8390" xr:uid="{00000000-0005-0000-0000-000072DC0000}"/>
    <cellStyle name="Normal 9 4 4 3 2 2" xfId="40131" xr:uid="{00000000-0005-0000-0000-000073DC0000}"/>
    <cellStyle name="Normal 9 4 4 3 2 2 2" xfId="56231" xr:uid="{00000000-0005-0000-0000-000074DC0000}"/>
    <cellStyle name="Normal 9 4 4 3 2 3" xfId="46664" xr:uid="{00000000-0005-0000-0000-000075DC0000}"/>
    <cellStyle name="Normal 9 4 4 3 2 4" xfId="30564" xr:uid="{00000000-0005-0000-0000-000076DC0000}"/>
    <cellStyle name="Normal 9 4 4 3 2 5" xfId="20995" xr:uid="{00000000-0005-0000-0000-000077DC0000}"/>
    <cellStyle name="Normal 9 4 4 3 3" xfId="11426" xr:uid="{00000000-0005-0000-0000-000078DC0000}"/>
    <cellStyle name="Normal 9 4 4 3 3 2" xfId="49700" xr:uid="{00000000-0005-0000-0000-000079DC0000}"/>
    <cellStyle name="Normal 9 4 4 3 3 3" xfId="33600" xr:uid="{00000000-0005-0000-0000-00007ADC0000}"/>
    <cellStyle name="Normal 9 4 4 3 3 4" xfId="24031" xr:uid="{00000000-0005-0000-0000-00007BDC0000}"/>
    <cellStyle name="Normal 9 4 4 3 4" xfId="5354" xr:uid="{00000000-0005-0000-0000-00007CDC0000}"/>
    <cellStyle name="Normal 9 4 4 3 4 2" xfId="53195" xr:uid="{00000000-0005-0000-0000-00007DDC0000}"/>
    <cellStyle name="Normal 9 4 4 3 4 3" xfId="37095" xr:uid="{00000000-0005-0000-0000-00007EDC0000}"/>
    <cellStyle name="Normal 9 4 4 3 4 4" xfId="17959" xr:uid="{00000000-0005-0000-0000-00007FDC0000}"/>
    <cellStyle name="Normal 9 4 4 3 5" xfId="43628" xr:uid="{00000000-0005-0000-0000-000080DC0000}"/>
    <cellStyle name="Normal 9 4 4 3 6" xfId="27528" xr:uid="{00000000-0005-0000-0000-000081DC0000}"/>
    <cellStyle name="Normal 9 4 4 3 7" xfId="14464" xr:uid="{00000000-0005-0000-0000-000082DC0000}"/>
    <cellStyle name="Normal 9 4 4 4" xfId="7380" xr:uid="{00000000-0005-0000-0000-000083DC0000}"/>
    <cellStyle name="Normal 9 4 4 4 2" xfId="39121" xr:uid="{00000000-0005-0000-0000-000084DC0000}"/>
    <cellStyle name="Normal 9 4 4 4 2 2" xfId="55221" xr:uid="{00000000-0005-0000-0000-000085DC0000}"/>
    <cellStyle name="Normal 9 4 4 4 3" xfId="45654" xr:uid="{00000000-0005-0000-0000-000086DC0000}"/>
    <cellStyle name="Normal 9 4 4 4 4" xfId="29554" xr:uid="{00000000-0005-0000-0000-000087DC0000}"/>
    <cellStyle name="Normal 9 4 4 4 5" xfId="19985" xr:uid="{00000000-0005-0000-0000-000088DC0000}"/>
    <cellStyle name="Normal 9 4 4 5" xfId="10416" xr:uid="{00000000-0005-0000-0000-000089DC0000}"/>
    <cellStyle name="Normal 9 4 4 5 2" xfId="48690" xr:uid="{00000000-0005-0000-0000-00008ADC0000}"/>
    <cellStyle name="Normal 9 4 4 5 3" xfId="32590" xr:uid="{00000000-0005-0000-0000-00008BDC0000}"/>
    <cellStyle name="Normal 9 4 4 5 4" xfId="23021" xr:uid="{00000000-0005-0000-0000-00008CDC0000}"/>
    <cellStyle name="Normal 9 4 4 6" xfId="4344" xr:uid="{00000000-0005-0000-0000-00008DDC0000}"/>
    <cellStyle name="Normal 9 4 4 6 2" xfId="52185" xr:uid="{00000000-0005-0000-0000-00008EDC0000}"/>
    <cellStyle name="Normal 9 4 4 6 3" xfId="36085" xr:uid="{00000000-0005-0000-0000-00008FDC0000}"/>
    <cellStyle name="Normal 9 4 4 6 4" xfId="16949" xr:uid="{00000000-0005-0000-0000-000090DC0000}"/>
    <cellStyle name="Normal 9 4 4 7" xfId="42618" xr:uid="{00000000-0005-0000-0000-000091DC0000}"/>
    <cellStyle name="Normal 9 4 4 8" xfId="26518" xr:uid="{00000000-0005-0000-0000-000092DC0000}"/>
    <cellStyle name="Normal 9 4 4 9" xfId="13454" xr:uid="{00000000-0005-0000-0000-000093DC0000}"/>
    <cellStyle name="Normal 9 4 5" xfId="2103" xr:uid="{00000000-0005-0000-0000-000094DC0000}"/>
    <cellStyle name="Normal 9 4 5 2" xfId="8637" xr:uid="{00000000-0005-0000-0000-000095DC0000}"/>
    <cellStyle name="Normal 9 4 5 2 2" xfId="40378" xr:uid="{00000000-0005-0000-0000-000096DC0000}"/>
    <cellStyle name="Normal 9 4 5 2 2 2" xfId="56478" xr:uid="{00000000-0005-0000-0000-000097DC0000}"/>
    <cellStyle name="Normal 9 4 5 2 3" xfId="46911" xr:uid="{00000000-0005-0000-0000-000098DC0000}"/>
    <cellStyle name="Normal 9 4 5 2 4" xfId="30811" xr:uid="{00000000-0005-0000-0000-000099DC0000}"/>
    <cellStyle name="Normal 9 4 5 2 5" xfId="21242" xr:uid="{00000000-0005-0000-0000-00009ADC0000}"/>
    <cellStyle name="Normal 9 4 5 3" xfId="11673" xr:uid="{00000000-0005-0000-0000-00009BDC0000}"/>
    <cellStyle name="Normal 9 4 5 3 2" xfId="49947" xr:uid="{00000000-0005-0000-0000-00009CDC0000}"/>
    <cellStyle name="Normal 9 4 5 3 3" xfId="33847" xr:uid="{00000000-0005-0000-0000-00009DDC0000}"/>
    <cellStyle name="Normal 9 4 5 3 4" xfId="24278" xr:uid="{00000000-0005-0000-0000-00009EDC0000}"/>
    <cellStyle name="Normal 9 4 5 4" xfId="5601" xr:uid="{00000000-0005-0000-0000-00009FDC0000}"/>
    <cellStyle name="Normal 9 4 5 4 2" xfId="53442" xr:uid="{00000000-0005-0000-0000-0000A0DC0000}"/>
    <cellStyle name="Normal 9 4 5 4 3" xfId="37342" xr:uid="{00000000-0005-0000-0000-0000A1DC0000}"/>
    <cellStyle name="Normal 9 4 5 4 4" xfId="18206" xr:uid="{00000000-0005-0000-0000-0000A2DC0000}"/>
    <cellStyle name="Normal 9 4 5 5" xfId="43875" xr:uid="{00000000-0005-0000-0000-0000A3DC0000}"/>
    <cellStyle name="Normal 9 4 5 6" xfId="27775" xr:uid="{00000000-0005-0000-0000-0000A4DC0000}"/>
    <cellStyle name="Normal 9 4 5 7" xfId="14711" xr:uid="{00000000-0005-0000-0000-0000A5DC0000}"/>
    <cellStyle name="Normal 9 4 6" xfId="1173" xr:uid="{00000000-0005-0000-0000-0000A6DC0000}"/>
    <cellStyle name="Normal 9 4 6 2" xfId="7707" xr:uid="{00000000-0005-0000-0000-0000A7DC0000}"/>
    <cellStyle name="Normal 9 4 6 2 2" xfId="39448" xr:uid="{00000000-0005-0000-0000-0000A8DC0000}"/>
    <cellStyle name="Normal 9 4 6 2 2 2" xfId="55548" xr:uid="{00000000-0005-0000-0000-0000A9DC0000}"/>
    <cellStyle name="Normal 9 4 6 2 3" xfId="45981" xr:uid="{00000000-0005-0000-0000-0000AADC0000}"/>
    <cellStyle name="Normal 9 4 6 2 4" xfId="29881" xr:uid="{00000000-0005-0000-0000-0000ABDC0000}"/>
    <cellStyle name="Normal 9 4 6 2 5" xfId="20312" xr:uid="{00000000-0005-0000-0000-0000ACDC0000}"/>
    <cellStyle name="Normal 9 4 6 3" xfId="10743" xr:uid="{00000000-0005-0000-0000-0000ADDC0000}"/>
    <cellStyle name="Normal 9 4 6 3 2" xfId="49017" xr:uid="{00000000-0005-0000-0000-0000AEDC0000}"/>
    <cellStyle name="Normal 9 4 6 3 3" xfId="32917" xr:uid="{00000000-0005-0000-0000-0000AFDC0000}"/>
    <cellStyle name="Normal 9 4 6 3 4" xfId="23348" xr:uid="{00000000-0005-0000-0000-0000B0DC0000}"/>
    <cellStyle name="Normal 9 4 6 4" xfId="4671" xr:uid="{00000000-0005-0000-0000-0000B1DC0000}"/>
    <cellStyle name="Normal 9 4 6 4 2" xfId="52512" xr:uid="{00000000-0005-0000-0000-0000B2DC0000}"/>
    <cellStyle name="Normal 9 4 6 4 3" xfId="36412" xr:uid="{00000000-0005-0000-0000-0000B3DC0000}"/>
    <cellStyle name="Normal 9 4 6 4 4" xfId="17276" xr:uid="{00000000-0005-0000-0000-0000B4DC0000}"/>
    <cellStyle name="Normal 9 4 6 5" xfId="42945" xr:uid="{00000000-0005-0000-0000-0000B5DC0000}"/>
    <cellStyle name="Normal 9 4 6 6" xfId="26845" xr:uid="{00000000-0005-0000-0000-0000B6DC0000}"/>
    <cellStyle name="Normal 9 4 6 7" xfId="13781" xr:uid="{00000000-0005-0000-0000-0000B7DC0000}"/>
    <cellStyle name="Normal 9 4 7" xfId="3661" xr:uid="{00000000-0005-0000-0000-0000B8DC0000}"/>
    <cellStyle name="Normal 9 4 7 2" xfId="35402" xr:uid="{00000000-0005-0000-0000-0000B9DC0000}"/>
    <cellStyle name="Normal 9 4 7 2 2" xfId="51502" xr:uid="{00000000-0005-0000-0000-0000BADC0000}"/>
    <cellStyle name="Normal 9 4 7 3" xfId="41935" xr:uid="{00000000-0005-0000-0000-0000BBDC0000}"/>
    <cellStyle name="Normal 9 4 7 4" xfId="25835" xr:uid="{00000000-0005-0000-0000-0000BCDC0000}"/>
    <cellStyle name="Normal 9 4 7 5" xfId="16266" xr:uid="{00000000-0005-0000-0000-0000BDDC0000}"/>
    <cellStyle name="Normal 9 4 8" xfId="6697" xr:uid="{00000000-0005-0000-0000-0000BEDC0000}"/>
    <cellStyle name="Normal 9 4 8 2" xfId="38438" xr:uid="{00000000-0005-0000-0000-0000BFDC0000}"/>
    <cellStyle name="Normal 9 4 8 2 2" xfId="54538" xr:uid="{00000000-0005-0000-0000-0000C0DC0000}"/>
    <cellStyle name="Normal 9 4 8 3" xfId="44971" xr:uid="{00000000-0005-0000-0000-0000C1DC0000}"/>
    <cellStyle name="Normal 9 4 8 4" xfId="28871" xr:uid="{00000000-0005-0000-0000-0000C2DC0000}"/>
    <cellStyle name="Normal 9 4 8 5" xfId="19302" xr:uid="{00000000-0005-0000-0000-0000C3DC0000}"/>
    <cellStyle name="Normal 9 4 9" xfId="9733" xr:uid="{00000000-0005-0000-0000-0000C4DC0000}"/>
    <cellStyle name="Normal 9 4 9 2" xfId="48007" xr:uid="{00000000-0005-0000-0000-0000C5DC0000}"/>
    <cellStyle name="Normal 9 4 9 3" xfId="31907" xr:uid="{00000000-0005-0000-0000-0000C6DC0000}"/>
    <cellStyle name="Normal 9 4 9 4" xfId="22338" xr:uid="{00000000-0005-0000-0000-0000C7DC0000}"/>
    <cellStyle name="Normal 9 5" xfId="155" xr:uid="{00000000-0005-0000-0000-0000C8DC0000}"/>
    <cellStyle name="Normal 9 5 10" xfId="3218" xr:uid="{00000000-0005-0000-0000-0000C9DC0000}"/>
    <cellStyle name="Normal 9 5 10 2" xfId="51060" xr:uid="{00000000-0005-0000-0000-0000CADC0000}"/>
    <cellStyle name="Normal 9 5 10 3" xfId="34960" xr:uid="{00000000-0005-0000-0000-0000CBDC0000}"/>
    <cellStyle name="Normal 9 5 10 4" xfId="15824" xr:uid="{00000000-0005-0000-0000-0000CCDC0000}"/>
    <cellStyle name="Normal 9 5 11" xfId="41493" xr:uid="{00000000-0005-0000-0000-0000CDDC0000}"/>
    <cellStyle name="Normal 9 5 12" xfId="25393" xr:uid="{00000000-0005-0000-0000-0000CEDC0000}"/>
    <cellStyle name="Normal 9 5 13" xfId="12788" xr:uid="{00000000-0005-0000-0000-0000CFDC0000}"/>
    <cellStyle name="Normal 9 5 2" xfId="332" xr:uid="{00000000-0005-0000-0000-0000D0DC0000}"/>
    <cellStyle name="Normal 9 5 2 10" xfId="13161" xr:uid="{00000000-0005-0000-0000-0000D1DC0000}"/>
    <cellStyle name="Normal 9 5 2 2" xfId="2351" xr:uid="{00000000-0005-0000-0000-0000D2DC0000}"/>
    <cellStyle name="Normal 9 5 2 2 2" xfId="8885" xr:uid="{00000000-0005-0000-0000-0000D3DC0000}"/>
    <cellStyle name="Normal 9 5 2 2 2 2" xfId="40626" xr:uid="{00000000-0005-0000-0000-0000D4DC0000}"/>
    <cellStyle name="Normal 9 5 2 2 2 2 2" xfId="56726" xr:uid="{00000000-0005-0000-0000-0000D5DC0000}"/>
    <cellStyle name="Normal 9 5 2 2 2 3" xfId="47159" xr:uid="{00000000-0005-0000-0000-0000D6DC0000}"/>
    <cellStyle name="Normal 9 5 2 2 2 4" xfId="31059" xr:uid="{00000000-0005-0000-0000-0000D7DC0000}"/>
    <cellStyle name="Normal 9 5 2 2 2 5" xfId="21490" xr:uid="{00000000-0005-0000-0000-0000D8DC0000}"/>
    <cellStyle name="Normal 9 5 2 2 3" xfId="11921" xr:uid="{00000000-0005-0000-0000-0000D9DC0000}"/>
    <cellStyle name="Normal 9 5 2 2 3 2" xfId="50195" xr:uid="{00000000-0005-0000-0000-0000DADC0000}"/>
    <cellStyle name="Normal 9 5 2 2 3 3" xfId="34095" xr:uid="{00000000-0005-0000-0000-0000DBDC0000}"/>
    <cellStyle name="Normal 9 5 2 2 3 4" xfId="24526" xr:uid="{00000000-0005-0000-0000-0000DCDC0000}"/>
    <cellStyle name="Normal 9 5 2 2 4" xfId="5849" xr:uid="{00000000-0005-0000-0000-0000DDDC0000}"/>
    <cellStyle name="Normal 9 5 2 2 4 2" xfId="53690" xr:uid="{00000000-0005-0000-0000-0000DEDC0000}"/>
    <cellStyle name="Normal 9 5 2 2 4 3" xfId="37590" xr:uid="{00000000-0005-0000-0000-0000DFDC0000}"/>
    <cellStyle name="Normal 9 5 2 2 4 4" xfId="18454" xr:uid="{00000000-0005-0000-0000-0000E0DC0000}"/>
    <cellStyle name="Normal 9 5 2 2 5" xfId="44123" xr:uid="{00000000-0005-0000-0000-0000E1DC0000}"/>
    <cellStyle name="Normal 9 5 2 2 6" xfId="28023" xr:uid="{00000000-0005-0000-0000-0000E2DC0000}"/>
    <cellStyle name="Normal 9 5 2 2 7" xfId="14959" xr:uid="{00000000-0005-0000-0000-0000E3DC0000}"/>
    <cellStyle name="Normal 9 5 2 3" xfId="1563" xr:uid="{00000000-0005-0000-0000-0000E4DC0000}"/>
    <cellStyle name="Normal 9 5 2 3 2" xfId="8097" xr:uid="{00000000-0005-0000-0000-0000E5DC0000}"/>
    <cellStyle name="Normal 9 5 2 3 2 2" xfId="39838" xr:uid="{00000000-0005-0000-0000-0000E6DC0000}"/>
    <cellStyle name="Normal 9 5 2 3 2 2 2" xfId="55938" xr:uid="{00000000-0005-0000-0000-0000E7DC0000}"/>
    <cellStyle name="Normal 9 5 2 3 2 3" xfId="46371" xr:uid="{00000000-0005-0000-0000-0000E8DC0000}"/>
    <cellStyle name="Normal 9 5 2 3 2 4" xfId="30271" xr:uid="{00000000-0005-0000-0000-0000E9DC0000}"/>
    <cellStyle name="Normal 9 5 2 3 2 5" xfId="20702" xr:uid="{00000000-0005-0000-0000-0000EADC0000}"/>
    <cellStyle name="Normal 9 5 2 3 3" xfId="11133" xr:uid="{00000000-0005-0000-0000-0000EBDC0000}"/>
    <cellStyle name="Normal 9 5 2 3 3 2" xfId="49407" xr:uid="{00000000-0005-0000-0000-0000ECDC0000}"/>
    <cellStyle name="Normal 9 5 2 3 3 3" xfId="33307" xr:uid="{00000000-0005-0000-0000-0000EDDC0000}"/>
    <cellStyle name="Normal 9 5 2 3 3 4" xfId="23738" xr:uid="{00000000-0005-0000-0000-0000EEDC0000}"/>
    <cellStyle name="Normal 9 5 2 3 4" xfId="5061" xr:uid="{00000000-0005-0000-0000-0000EFDC0000}"/>
    <cellStyle name="Normal 9 5 2 3 4 2" xfId="52902" xr:uid="{00000000-0005-0000-0000-0000F0DC0000}"/>
    <cellStyle name="Normal 9 5 2 3 4 3" xfId="36802" xr:uid="{00000000-0005-0000-0000-0000F1DC0000}"/>
    <cellStyle name="Normal 9 5 2 3 4 4" xfId="17666" xr:uid="{00000000-0005-0000-0000-0000F2DC0000}"/>
    <cellStyle name="Normal 9 5 2 3 5" xfId="43335" xr:uid="{00000000-0005-0000-0000-0000F3DC0000}"/>
    <cellStyle name="Normal 9 5 2 3 6" xfId="27235" xr:uid="{00000000-0005-0000-0000-0000F4DC0000}"/>
    <cellStyle name="Normal 9 5 2 3 7" xfId="14171" xr:uid="{00000000-0005-0000-0000-0000F5DC0000}"/>
    <cellStyle name="Normal 9 5 2 4" xfId="4051" xr:uid="{00000000-0005-0000-0000-0000F6DC0000}"/>
    <cellStyle name="Normal 9 5 2 4 2" xfId="35792" xr:uid="{00000000-0005-0000-0000-0000F7DC0000}"/>
    <cellStyle name="Normal 9 5 2 4 2 2" xfId="51892" xr:uid="{00000000-0005-0000-0000-0000F8DC0000}"/>
    <cellStyle name="Normal 9 5 2 4 3" xfId="42325" xr:uid="{00000000-0005-0000-0000-0000F9DC0000}"/>
    <cellStyle name="Normal 9 5 2 4 4" xfId="26225" xr:uid="{00000000-0005-0000-0000-0000FADC0000}"/>
    <cellStyle name="Normal 9 5 2 4 5" xfId="16656" xr:uid="{00000000-0005-0000-0000-0000FBDC0000}"/>
    <cellStyle name="Normal 9 5 2 5" xfId="7087" xr:uid="{00000000-0005-0000-0000-0000FCDC0000}"/>
    <cellStyle name="Normal 9 5 2 5 2" xfId="38828" xr:uid="{00000000-0005-0000-0000-0000FDDC0000}"/>
    <cellStyle name="Normal 9 5 2 5 2 2" xfId="54928" xr:uid="{00000000-0005-0000-0000-0000FEDC0000}"/>
    <cellStyle name="Normal 9 5 2 5 3" xfId="45361" xr:uid="{00000000-0005-0000-0000-0000FFDC0000}"/>
    <cellStyle name="Normal 9 5 2 5 4" xfId="29261" xr:uid="{00000000-0005-0000-0000-000000DD0000}"/>
    <cellStyle name="Normal 9 5 2 5 5" xfId="19692" xr:uid="{00000000-0005-0000-0000-000001DD0000}"/>
    <cellStyle name="Normal 9 5 2 6" xfId="10123" xr:uid="{00000000-0005-0000-0000-000002DD0000}"/>
    <cellStyle name="Normal 9 5 2 6 2" xfId="48397" xr:uid="{00000000-0005-0000-0000-000003DD0000}"/>
    <cellStyle name="Normal 9 5 2 6 3" xfId="32297" xr:uid="{00000000-0005-0000-0000-000004DD0000}"/>
    <cellStyle name="Normal 9 5 2 6 4" xfId="22728" xr:uid="{00000000-0005-0000-0000-000005DD0000}"/>
    <cellStyle name="Normal 9 5 2 7" xfId="3456" xr:uid="{00000000-0005-0000-0000-000006DD0000}"/>
    <cellStyle name="Normal 9 5 2 7 2" xfId="51297" xr:uid="{00000000-0005-0000-0000-000007DD0000}"/>
    <cellStyle name="Normal 9 5 2 7 3" xfId="35197" xr:uid="{00000000-0005-0000-0000-000008DD0000}"/>
    <cellStyle name="Normal 9 5 2 7 4" xfId="16061" xr:uid="{00000000-0005-0000-0000-000009DD0000}"/>
    <cellStyle name="Normal 9 5 2 8" xfId="41730" xr:uid="{00000000-0005-0000-0000-00000ADD0000}"/>
    <cellStyle name="Normal 9 5 2 9" xfId="25630" xr:uid="{00000000-0005-0000-0000-00000BDD0000}"/>
    <cellStyle name="Normal 9 5 3" xfId="590" xr:uid="{00000000-0005-0000-0000-00000CDD0000}"/>
    <cellStyle name="Normal 9 5 3 2" xfId="2618" xr:uid="{00000000-0005-0000-0000-00000DDD0000}"/>
    <cellStyle name="Normal 9 5 3 2 2" xfId="9150" xr:uid="{00000000-0005-0000-0000-00000EDD0000}"/>
    <cellStyle name="Normal 9 5 3 2 2 2" xfId="40891" xr:uid="{00000000-0005-0000-0000-00000FDD0000}"/>
    <cellStyle name="Normal 9 5 3 2 2 2 2" xfId="56991" xr:uid="{00000000-0005-0000-0000-000010DD0000}"/>
    <cellStyle name="Normal 9 5 3 2 2 3" xfId="47424" xr:uid="{00000000-0005-0000-0000-000011DD0000}"/>
    <cellStyle name="Normal 9 5 3 2 2 4" xfId="31324" xr:uid="{00000000-0005-0000-0000-000012DD0000}"/>
    <cellStyle name="Normal 9 5 3 2 2 5" xfId="21755" xr:uid="{00000000-0005-0000-0000-000013DD0000}"/>
    <cellStyle name="Normal 9 5 3 2 3" xfId="12186" xr:uid="{00000000-0005-0000-0000-000014DD0000}"/>
    <cellStyle name="Normal 9 5 3 2 3 2" xfId="50460" xr:uid="{00000000-0005-0000-0000-000015DD0000}"/>
    <cellStyle name="Normal 9 5 3 2 3 3" xfId="34360" xr:uid="{00000000-0005-0000-0000-000016DD0000}"/>
    <cellStyle name="Normal 9 5 3 2 3 4" xfId="24791" xr:uid="{00000000-0005-0000-0000-000017DD0000}"/>
    <cellStyle name="Normal 9 5 3 2 4" xfId="6114" xr:uid="{00000000-0005-0000-0000-000018DD0000}"/>
    <cellStyle name="Normal 9 5 3 2 4 2" xfId="53955" xr:uid="{00000000-0005-0000-0000-000019DD0000}"/>
    <cellStyle name="Normal 9 5 3 2 4 3" xfId="37855" xr:uid="{00000000-0005-0000-0000-00001ADD0000}"/>
    <cellStyle name="Normal 9 5 3 2 4 4" xfId="18719" xr:uid="{00000000-0005-0000-0000-00001BDD0000}"/>
    <cellStyle name="Normal 9 5 3 2 5" xfId="44388" xr:uid="{00000000-0005-0000-0000-00001CDD0000}"/>
    <cellStyle name="Normal 9 5 3 2 6" xfId="28288" xr:uid="{00000000-0005-0000-0000-00001DDD0000}"/>
    <cellStyle name="Normal 9 5 3 2 7" xfId="15224" xr:uid="{00000000-0005-0000-0000-00001EDD0000}"/>
    <cellStyle name="Normal 9 5 3 3" xfId="1386" xr:uid="{00000000-0005-0000-0000-00001FDD0000}"/>
    <cellStyle name="Normal 9 5 3 3 2" xfId="7920" xr:uid="{00000000-0005-0000-0000-000020DD0000}"/>
    <cellStyle name="Normal 9 5 3 3 2 2" xfId="39661" xr:uid="{00000000-0005-0000-0000-000021DD0000}"/>
    <cellStyle name="Normal 9 5 3 3 2 2 2" xfId="55761" xr:uid="{00000000-0005-0000-0000-000022DD0000}"/>
    <cellStyle name="Normal 9 5 3 3 2 3" xfId="46194" xr:uid="{00000000-0005-0000-0000-000023DD0000}"/>
    <cellStyle name="Normal 9 5 3 3 2 4" xfId="30094" xr:uid="{00000000-0005-0000-0000-000024DD0000}"/>
    <cellStyle name="Normal 9 5 3 3 2 5" xfId="20525" xr:uid="{00000000-0005-0000-0000-000025DD0000}"/>
    <cellStyle name="Normal 9 5 3 3 3" xfId="10956" xr:uid="{00000000-0005-0000-0000-000026DD0000}"/>
    <cellStyle name="Normal 9 5 3 3 3 2" xfId="49230" xr:uid="{00000000-0005-0000-0000-000027DD0000}"/>
    <cellStyle name="Normal 9 5 3 3 3 3" xfId="33130" xr:uid="{00000000-0005-0000-0000-000028DD0000}"/>
    <cellStyle name="Normal 9 5 3 3 3 4" xfId="23561" xr:uid="{00000000-0005-0000-0000-000029DD0000}"/>
    <cellStyle name="Normal 9 5 3 3 4" xfId="4884" xr:uid="{00000000-0005-0000-0000-00002ADD0000}"/>
    <cellStyle name="Normal 9 5 3 3 4 2" xfId="52725" xr:uid="{00000000-0005-0000-0000-00002BDD0000}"/>
    <cellStyle name="Normal 9 5 3 3 4 3" xfId="36625" xr:uid="{00000000-0005-0000-0000-00002CDD0000}"/>
    <cellStyle name="Normal 9 5 3 3 4 4" xfId="17489" xr:uid="{00000000-0005-0000-0000-00002DDD0000}"/>
    <cellStyle name="Normal 9 5 3 3 5" xfId="43158" xr:uid="{00000000-0005-0000-0000-00002EDD0000}"/>
    <cellStyle name="Normal 9 5 3 3 6" xfId="27058" xr:uid="{00000000-0005-0000-0000-00002FDD0000}"/>
    <cellStyle name="Normal 9 5 3 3 7" xfId="13994" xr:uid="{00000000-0005-0000-0000-000030DD0000}"/>
    <cellStyle name="Normal 9 5 3 4" xfId="6910" xr:uid="{00000000-0005-0000-0000-000031DD0000}"/>
    <cellStyle name="Normal 9 5 3 4 2" xfId="38651" xr:uid="{00000000-0005-0000-0000-000032DD0000}"/>
    <cellStyle name="Normal 9 5 3 4 2 2" xfId="54751" xr:uid="{00000000-0005-0000-0000-000033DD0000}"/>
    <cellStyle name="Normal 9 5 3 4 3" xfId="45184" xr:uid="{00000000-0005-0000-0000-000034DD0000}"/>
    <cellStyle name="Normal 9 5 3 4 4" xfId="29084" xr:uid="{00000000-0005-0000-0000-000035DD0000}"/>
    <cellStyle name="Normal 9 5 3 4 5" xfId="19515" xr:uid="{00000000-0005-0000-0000-000036DD0000}"/>
    <cellStyle name="Normal 9 5 3 5" xfId="9946" xr:uid="{00000000-0005-0000-0000-000037DD0000}"/>
    <cellStyle name="Normal 9 5 3 5 2" xfId="48220" xr:uid="{00000000-0005-0000-0000-000038DD0000}"/>
    <cellStyle name="Normal 9 5 3 5 3" xfId="32120" xr:uid="{00000000-0005-0000-0000-000039DD0000}"/>
    <cellStyle name="Normal 9 5 3 5 4" xfId="22551" xr:uid="{00000000-0005-0000-0000-00003ADD0000}"/>
    <cellStyle name="Normal 9 5 3 6" xfId="3874" xr:uid="{00000000-0005-0000-0000-00003BDD0000}"/>
    <cellStyle name="Normal 9 5 3 6 2" xfId="51715" xr:uid="{00000000-0005-0000-0000-00003CDD0000}"/>
    <cellStyle name="Normal 9 5 3 6 3" xfId="35615" xr:uid="{00000000-0005-0000-0000-00003DDD0000}"/>
    <cellStyle name="Normal 9 5 3 6 4" xfId="16479" xr:uid="{00000000-0005-0000-0000-00003EDD0000}"/>
    <cellStyle name="Normal 9 5 3 7" xfId="42148" xr:uid="{00000000-0005-0000-0000-00003FDD0000}"/>
    <cellStyle name="Normal 9 5 3 8" xfId="26048" xr:uid="{00000000-0005-0000-0000-000040DD0000}"/>
    <cellStyle name="Normal 9 5 3 9" xfId="12984" xr:uid="{00000000-0005-0000-0000-000041DD0000}"/>
    <cellStyle name="Normal 9 5 4" xfId="863" xr:uid="{00000000-0005-0000-0000-000042DD0000}"/>
    <cellStyle name="Normal 9 5 4 2" xfId="2891" xr:uid="{00000000-0005-0000-0000-000043DD0000}"/>
    <cellStyle name="Normal 9 5 4 2 2" xfId="9423" xr:uid="{00000000-0005-0000-0000-000044DD0000}"/>
    <cellStyle name="Normal 9 5 4 2 2 2" xfId="41164" xr:uid="{00000000-0005-0000-0000-000045DD0000}"/>
    <cellStyle name="Normal 9 5 4 2 2 2 2" xfId="57264" xr:uid="{00000000-0005-0000-0000-000046DD0000}"/>
    <cellStyle name="Normal 9 5 4 2 2 3" xfId="47697" xr:uid="{00000000-0005-0000-0000-000047DD0000}"/>
    <cellStyle name="Normal 9 5 4 2 2 4" xfId="31597" xr:uid="{00000000-0005-0000-0000-000048DD0000}"/>
    <cellStyle name="Normal 9 5 4 2 2 5" xfId="22028" xr:uid="{00000000-0005-0000-0000-000049DD0000}"/>
    <cellStyle name="Normal 9 5 4 2 3" xfId="12459" xr:uid="{00000000-0005-0000-0000-00004ADD0000}"/>
    <cellStyle name="Normal 9 5 4 2 3 2" xfId="50733" xr:uid="{00000000-0005-0000-0000-00004BDD0000}"/>
    <cellStyle name="Normal 9 5 4 2 3 3" xfId="34633" xr:uid="{00000000-0005-0000-0000-00004CDD0000}"/>
    <cellStyle name="Normal 9 5 4 2 3 4" xfId="25064" xr:uid="{00000000-0005-0000-0000-00004DDD0000}"/>
    <cellStyle name="Normal 9 5 4 2 4" xfId="6387" xr:uid="{00000000-0005-0000-0000-00004EDD0000}"/>
    <cellStyle name="Normal 9 5 4 2 4 2" xfId="54228" xr:uid="{00000000-0005-0000-0000-00004FDD0000}"/>
    <cellStyle name="Normal 9 5 4 2 4 3" xfId="38128" xr:uid="{00000000-0005-0000-0000-000050DD0000}"/>
    <cellStyle name="Normal 9 5 4 2 4 4" xfId="18992" xr:uid="{00000000-0005-0000-0000-000051DD0000}"/>
    <cellStyle name="Normal 9 5 4 2 5" xfId="44661" xr:uid="{00000000-0005-0000-0000-000052DD0000}"/>
    <cellStyle name="Normal 9 5 4 2 6" xfId="28561" xr:uid="{00000000-0005-0000-0000-000053DD0000}"/>
    <cellStyle name="Normal 9 5 4 2 7" xfId="15497" xr:uid="{00000000-0005-0000-0000-000054DD0000}"/>
    <cellStyle name="Normal 9 5 4 3" xfId="1873" xr:uid="{00000000-0005-0000-0000-000055DD0000}"/>
    <cellStyle name="Normal 9 5 4 3 2" xfId="8407" xr:uid="{00000000-0005-0000-0000-000056DD0000}"/>
    <cellStyle name="Normal 9 5 4 3 2 2" xfId="40148" xr:uid="{00000000-0005-0000-0000-000057DD0000}"/>
    <cellStyle name="Normal 9 5 4 3 2 2 2" xfId="56248" xr:uid="{00000000-0005-0000-0000-000058DD0000}"/>
    <cellStyle name="Normal 9 5 4 3 2 3" xfId="46681" xr:uid="{00000000-0005-0000-0000-000059DD0000}"/>
    <cellStyle name="Normal 9 5 4 3 2 4" xfId="30581" xr:uid="{00000000-0005-0000-0000-00005ADD0000}"/>
    <cellStyle name="Normal 9 5 4 3 2 5" xfId="21012" xr:uid="{00000000-0005-0000-0000-00005BDD0000}"/>
    <cellStyle name="Normal 9 5 4 3 3" xfId="11443" xr:uid="{00000000-0005-0000-0000-00005CDD0000}"/>
    <cellStyle name="Normal 9 5 4 3 3 2" xfId="49717" xr:uid="{00000000-0005-0000-0000-00005DDD0000}"/>
    <cellStyle name="Normal 9 5 4 3 3 3" xfId="33617" xr:uid="{00000000-0005-0000-0000-00005EDD0000}"/>
    <cellStyle name="Normal 9 5 4 3 3 4" xfId="24048" xr:uid="{00000000-0005-0000-0000-00005FDD0000}"/>
    <cellStyle name="Normal 9 5 4 3 4" xfId="5371" xr:uid="{00000000-0005-0000-0000-000060DD0000}"/>
    <cellStyle name="Normal 9 5 4 3 4 2" xfId="53212" xr:uid="{00000000-0005-0000-0000-000061DD0000}"/>
    <cellStyle name="Normal 9 5 4 3 4 3" xfId="37112" xr:uid="{00000000-0005-0000-0000-000062DD0000}"/>
    <cellStyle name="Normal 9 5 4 3 4 4" xfId="17976" xr:uid="{00000000-0005-0000-0000-000063DD0000}"/>
    <cellStyle name="Normal 9 5 4 3 5" xfId="43645" xr:uid="{00000000-0005-0000-0000-000064DD0000}"/>
    <cellStyle name="Normal 9 5 4 3 6" xfId="27545" xr:uid="{00000000-0005-0000-0000-000065DD0000}"/>
    <cellStyle name="Normal 9 5 4 3 7" xfId="14481" xr:uid="{00000000-0005-0000-0000-000066DD0000}"/>
    <cellStyle name="Normal 9 5 4 4" xfId="7397" xr:uid="{00000000-0005-0000-0000-000067DD0000}"/>
    <cellStyle name="Normal 9 5 4 4 2" xfId="39138" xr:uid="{00000000-0005-0000-0000-000068DD0000}"/>
    <cellStyle name="Normal 9 5 4 4 2 2" xfId="55238" xr:uid="{00000000-0005-0000-0000-000069DD0000}"/>
    <cellStyle name="Normal 9 5 4 4 3" xfId="45671" xr:uid="{00000000-0005-0000-0000-00006ADD0000}"/>
    <cellStyle name="Normal 9 5 4 4 4" xfId="29571" xr:uid="{00000000-0005-0000-0000-00006BDD0000}"/>
    <cellStyle name="Normal 9 5 4 4 5" xfId="20002" xr:uid="{00000000-0005-0000-0000-00006CDD0000}"/>
    <cellStyle name="Normal 9 5 4 5" xfId="10433" xr:uid="{00000000-0005-0000-0000-00006DDD0000}"/>
    <cellStyle name="Normal 9 5 4 5 2" xfId="48707" xr:uid="{00000000-0005-0000-0000-00006EDD0000}"/>
    <cellStyle name="Normal 9 5 4 5 3" xfId="32607" xr:uid="{00000000-0005-0000-0000-00006FDD0000}"/>
    <cellStyle name="Normal 9 5 4 5 4" xfId="23038" xr:uid="{00000000-0005-0000-0000-000070DD0000}"/>
    <cellStyle name="Normal 9 5 4 6" xfId="4361" xr:uid="{00000000-0005-0000-0000-000071DD0000}"/>
    <cellStyle name="Normal 9 5 4 6 2" xfId="52202" xr:uid="{00000000-0005-0000-0000-000072DD0000}"/>
    <cellStyle name="Normal 9 5 4 6 3" xfId="36102" xr:uid="{00000000-0005-0000-0000-000073DD0000}"/>
    <cellStyle name="Normal 9 5 4 6 4" xfId="16966" xr:uid="{00000000-0005-0000-0000-000074DD0000}"/>
    <cellStyle name="Normal 9 5 4 7" xfId="42635" xr:uid="{00000000-0005-0000-0000-000075DD0000}"/>
    <cellStyle name="Normal 9 5 4 8" xfId="26535" xr:uid="{00000000-0005-0000-0000-000076DD0000}"/>
    <cellStyle name="Normal 9 5 4 9" xfId="13471" xr:uid="{00000000-0005-0000-0000-000077DD0000}"/>
    <cellStyle name="Normal 9 5 5" xfId="2174" xr:uid="{00000000-0005-0000-0000-000078DD0000}"/>
    <cellStyle name="Normal 9 5 5 2" xfId="8708" xr:uid="{00000000-0005-0000-0000-000079DD0000}"/>
    <cellStyle name="Normal 9 5 5 2 2" xfId="40449" xr:uid="{00000000-0005-0000-0000-00007ADD0000}"/>
    <cellStyle name="Normal 9 5 5 2 2 2" xfId="56549" xr:uid="{00000000-0005-0000-0000-00007BDD0000}"/>
    <cellStyle name="Normal 9 5 5 2 3" xfId="46982" xr:uid="{00000000-0005-0000-0000-00007CDD0000}"/>
    <cellStyle name="Normal 9 5 5 2 4" xfId="30882" xr:uid="{00000000-0005-0000-0000-00007DDD0000}"/>
    <cellStyle name="Normal 9 5 5 2 5" xfId="21313" xr:uid="{00000000-0005-0000-0000-00007EDD0000}"/>
    <cellStyle name="Normal 9 5 5 3" xfId="11744" xr:uid="{00000000-0005-0000-0000-00007FDD0000}"/>
    <cellStyle name="Normal 9 5 5 3 2" xfId="50018" xr:uid="{00000000-0005-0000-0000-000080DD0000}"/>
    <cellStyle name="Normal 9 5 5 3 3" xfId="33918" xr:uid="{00000000-0005-0000-0000-000081DD0000}"/>
    <cellStyle name="Normal 9 5 5 3 4" xfId="24349" xr:uid="{00000000-0005-0000-0000-000082DD0000}"/>
    <cellStyle name="Normal 9 5 5 4" xfId="5672" xr:uid="{00000000-0005-0000-0000-000083DD0000}"/>
    <cellStyle name="Normal 9 5 5 4 2" xfId="53513" xr:uid="{00000000-0005-0000-0000-000084DD0000}"/>
    <cellStyle name="Normal 9 5 5 4 3" xfId="37413" xr:uid="{00000000-0005-0000-0000-000085DD0000}"/>
    <cellStyle name="Normal 9 5 5 4 4" xfId="18277" xr:uid="{00000000-0005-0000-0000-000086DD0000}"/>
    <cellStyle name="Normal 9 5 5 5" xfId="43946" xr:uid="{00000000-0005-0000-0000-000087DD0000}"/>
    <cellStyle name="Normal 9 5 5 6" xfId="27846" xr:uid="{00000000-0005-0000-0000-000088DD0000}"/>
    <cellStyle name="Normal 9 5 5 7" xfId="14782" xr:uid="{00000000-0005-0000-0000-000089DD0000}"/>
    <cellStyle name="Normal 9 5 6" xfId="1190" xr:uid="{00000000-0005-0000-0000-00008ADD0000}"/>
    <cellStyle name="Normal 9 5 6 2" xfId="7724" xr:uid="{00000000-0005-0000-0000-00008BDD0000}"/>
    <cellStyle name="Normal 9 5 6 2 2" xfId="39465" xr:uid="{00000000-0005-0000-0000-00008CDD0000}"/>
    <cellStyle name="Normal 9 5 6 2 2 2" xfId="55565" xr:uid="{00000000-0005-0000-0000-00008DDD0000}"/>
    <cellStyle name="Normal 9 5 6 2 3" xfId="45998" xr:uid="{00000000-0005-0000-0000-00008EDD0000}"/>
    <cellStyle name="Normal 9 5 6 2 4" xfId="29898" xr:uid="{00000000-0005-0000-0000-00008FDD0000}"/>
    <cellStyle name="Normal 9 5 6 2 5" xfId="20329" xr:uid="{00000000-0005-0000-0000-000090DD0000}"/>
    <cellStyle name="Normal 9 5 6 3" xfId="10760" xr:uid="{00000000-0005-0000-0000-000091DD0000}"/>
    <cellStyle name="Normal 9 5 6 3 2" xfId="49034" xr:uid="{00000000-0005-0000-0000-000092DD0000}"/>
    <cellStyle name="Normal 9 5 6 3 3" xfId="32934" xr:uid="{00000000-0005-0000-0000-000093DD0000}"/>
    <cellStyle name="Normal 9 5 6 3 4" xfId="23365" xr:uid="{00000000-0005-0000-0000-000094DD0000}"/>
    <cellStyle name="Normal 9 5 6 4" xfId="4688" xr:uid="{00000000-0005-0000-0000-000095DD0000}"/>
    <cellStyle name="Normal 9 5 6 4 2" xfId="52529" xr:uid="{00000000-0005-0000-0000-000096DD0000}"/>
    <cellStyle name="Normal 9 5 6 4 3" xfId="36429" xr:uid="{00000000-0005-0000-0000-000097DD0000}"/>
    <cellStyle name="Normal 9 5 6 4 4" xfId="17293" xr:uid="{00000000-0005-0000-0000-000098DD0000}"/>
    <cellStyle name="Normal 9 5 6 5" xfId="42962" xr:uid="{00000000-0005-0000-0000-000099DD0000}"/>
    <cellStyle name="Normal 9 5 6 6" xfId="26862" xr:uid="{00000000-0005-0000-0000-00009ADD0000}"/>
    <cellStyle name="Normal 9 5 6 7" xfId="13798" xr:uid="{00000000-0005-0000-0000-00009BDD0000}"/>
    <cellStyle name="Normal 9 5 7" xfId="3678" xr:uid="{00000000-0005-0000-0000-00009CDD0000}"/>
    <cellStyle name="Normal 9 5 7 2" xfId="35419" xr:uid="{00000000-0005-0000-0000-00009DDD0000}"/>
    <cellStyle name="Normal 9 5 7 2 2" xfId="51519" xr:uid="{00000000-0005-0000-0000-00009EDD0000}"/>
    <cellStyle name="Normal 9 5 7 3" xfId="41952" xr:uid="{00000000-0005-0000-0000-00009FDD0000}"/>
    <cellStyle name="Normal 9 5 7 4" xfId="25852" xr:uid="{00000000-0005-0000-0000-0000A0DD0000}"/>
    <cellStyle name="Normal 9 5 7 5" xfId="16283" xr:uid="{00000000-0005-0000-0000-0000A1DD0000}"/>
    <cellStyle name="Normal 9 5 8" xfId="6714" xr:uid="{00000000-0005-0000-0000-0000A2DD0000}"/>
    <cellStyle name="Normal 9 5 8 2" xfId="38455" xr:uid="{00000000-0005-0000-0000-0000A3DD0000}"/>
    <cellStyle name="Normal 9 5 8 2 2" xfId="54555" xr:uid="{00000000-0005-0000-0000-0000A4DD0000}"/>
    <cellStyle name="Normal 9 5 8 3" xfId="44988" xr:uid="{00000000-0005-0000-0000-0000A5DD0000}"/>
    <cellStyle name="Normal 9 5 8 4" xfId="28888" xr:uid="{00000000-0005-0000-0000-0000A6DD0000}"/>
    <cellStyle name="Normal 9 5 8 5" xfId="19319" xr:uid="{00000000-0005-0000-0000-0000A7DD0000}"/>
    <cellStyle name="Normal 9 5 9" xfId="9750" xr:uid="{00000000-0005-0000-0000-0000A8DD0000}"/>
    <cellStyle name="Normal 9 5 9 2" xfId="48024" xr:uid="{00000000-0005-0000-0000-0000A9DD0000}"/>
    <cellStyle name="Normal 9 5 9 3" xfId="31924" xr:uid="{00000000-0005-0000-0000-0000AADD0000}"/>
    <cellStyle name="Normal 9 5 9 4" xfId="22355" xr:uid="{00000000-0005-0000-0000-0000ABDD0000}"/>
    <cellStyle name="Normal 9 6" xfId="226" xr:uid="{00000000-0005-0000-0000-0000ACDD0000}"/>
    <cellStyle name="Normal 9 6 10" xfId="41510" xr:uid="{00000000-0005-0000-0000-0000ADDD0000}"/>
    <cellStyle name="Normal 9 6 11" xfId="25410" xr:uid="{00000000-0005-0000-0000-0000AEDD0000}"/>
    <cellStyle name="Normal 9 6 12" xfId="12805" xr:uid="{00000000-0005-0000-0000-0000AFDD0000}"/>
    <cellStyle name="Normal 9 6 2" xfId="607" xr:uid="{00000000-0005-0000-0000-0000B0DD0000}"/>
    <cellStyle name="Normal 9 6 2 10" xfId="13055" xr:uid="{00000000-0005-0000-0000-0000B1DD0000}"/>
    <cellStyle name="Normal 9 6 2 2" xfId="2635" xr:uid="{00000000-0005-0000-0000-0000B2DD0000}"/>
    <cellStyle name="Normal 9 6 2 2 2" xfId="9167" xr:uid="{00000000-0005-0000-0000-0000B3DD0000}"/>
    <cellStyle name="Normal 9 6 2 2 2 2" xfId="40908" xr:uid="{00000000-0005-0000-0000-0000B4DD0000}"/>
    <cellStyle name="Normal 9 6 2 2 2 2 2" xfId="57008" xr:uid="{00000000-0005-0000-0000-0000B5DD0000}"/>
    <cellStyle name="Normal 9 6 2 2 2 3" xfId="47441" xr:uid="{00000000-0005-0000-0000-0000B6DD0000}"/>
    <cellStyle name="Normal 9 6 2 2 2 4" xfId="31341" xr:uid="{00000000-0005-0000-0000-0000B7DD0000}"/>
    <cellStyle name="Normal 9 6 2 2 2 5" xfId="21772" xr:uid="{00000000-0005-0000-0000-0000B8DD0000}"/>
    <cellStyle name="Normal 9 6 2 2 3" xfId="12203" xr:uid="{00000000-0005-0000-0000-0000B9DD0000}"/>
    <cellStyle name="Normal 9 6 2 2 3 2" xfId="50477" xr:uid="{00000000-0005-0000-0000-0000BADD0000}"/>
    <cellStyle name="Normal 9 6 2 2 3 3" xfId="34377" xr:uid="{00000000-0005-0000-0000-0000BBDD0000}"/>
    <cellStyle name="Normal 9 6 2 2 3 4" xfId="24808" xr:uid="{00000000-0005-0000-0000-0000BCDD0000}"/>
    <cellStyle name="Normal 9 6 2 2 4" xfId="6131" xr:uid="{00000000-0005-0000-0000-0000BDDD0000}"/>
    <cellStyle name="Normal 9 6 2 2 4 2" xfId="53972" xr:uid="{00000000-0005-0000-0000-0000BEDD0000}"/>
    <cellStyle name="Normal 9 6 2 2 4 3" xfId="37872" xr:uid="{00000000-0005-0000-0000-0000BFDD0000}"/>
    <cellStyle name="Normal 9 6 2 2 4 4" xfId="18736" xr:uid="{00000000-0005-0000-0000-0000C0DD0000}"/>
    <cellStyle name="Normal 9 6 2 2 5" xfId="44405" xr:uid="{00000000-0005-0000-0000-0000C1DD0000}"/>
    <cellStyle name="Normal 9 6 2 2 6" xfId="28305" xr:uid="{00000000-0005-0000-0000-0000C2DD0000}"/>
    <cellStyle name="Normal 9 6 2 2 7" xfId="15241" xr:uid="{00000000-0005-0000-0000-0000C3DD0000}"/>
    <cellStyle name="Normal 9 6 2 3" xfId="1457" xr:uid="{00000000-0005-0000-0000-0000C4DD0000}"/>
    <cellStyle name="Normal 9 6 2 3 2" xfId="7991" xr:uid="{00000000-0005-0000-0000-0000C5DD0000}"/>
    <cellStyle name="Normal 9 6 2 3 2 2" xfId="39732" xr:uid="{00000000-0005-0000-0000-0000C6DD0000}"/>
    <cellStyle name="Normal 9 6 2 3 2 2 2" xfId="55832" xr:uid="{00000000-0005-0000-0000-0000C7DD0000}"/>
    <cellStyle name="Normal 9 6 2 3 2 3" xfId="46265" xr:uid="{00000000-0005-0000-0000-0000C8DD0000}"/>
    <cellStyle name="Normal 9 6 2 3 2 4" xfId="30165" xr:uid="{00000000-0005-0000-0000-0000C9DD0000}"/>
    <cellStyle name="Normal 9 6 2 3 2 5" xfId="20596" xr:uid="{00000000-0005-0000-0000-0000CADD0000}"/>
    <cellStyle name="Normal 9 6 2 3 3" xfId="11027" xr:uid="{00000000-0005-0000-0000-0000CBDD0000}"/>
    <cellStyle name="Normal 9 6 2 3 3 2" xfId="49301" xr:uid="{00000000-0005-0000-0000-0000CCDD0000}"/>
    <cellStyle name="Normal 9 6 2 3 3 3" xfId="33201" xr:uid="{00000000-0005-0000-0000-0000CDDD0000}"/>
    <cellStyle name="Normal 9 6 2 3 3 4" xfId="23632" xr:uid="{00000000-0005-0000-0000-0000CEDD0000}"/>
    <cellStyle name="Normal 9 6 2 3 4" xfId="4955" xr:uid="{00000000-0005-0000-0000-0000CFDD0000}"/>
    <cellStyle name="Normal 9 6 2 3 4 2" xfId="52796" xr:uid="{00000000-0005-0000-0000-0000D0DD0000}"/>
    <cellStyle name="Normal 9 6 2 3 4 3" xfId="36696" xr:uid="{00000000-0005-0000-0000-0000D1DD0000}"/>
    <cellStyle name="Normal 9 6 2 3 4 4" xfId="17560" xr:uid="{00000000-0005-0000-0000-0000D2DD0000}"/>
    <cellStyle name="Normal 9 6 2 3 5" xfId="43229" xr:uid="{00000000-0005-0000-0000-0000D3DD0000}"/>
    <cellStyle name="Normal 9 6 2 3 6" xfId="27129" xr:uid="{00000000-0005-0000-0000-0000D4DD0000}"/>
    <cellStyle name="Normal 9 6 2 3 7" xfId="14065" xr:uid="{00000000-0005-0000-0000-0000D5DD0000}"/>
    <cellStyle name="Normal 9 6 2 4" xfId="3945" xr:uid="{00000000-0005-0000-0000-0000D6DD0000}"/>
    <cellStyle name="Normal 9 6 2 4 2" xfId="35686" xr:uid="{00000000-0005-0000-0000-0000D7DD0000}"/>
    <cellStyle name="Normal 9 6 2 4 2 2" xfId="51786" xr:uid="{00000000-0005-0000-0000-0000D8DD0000}"/>
    <cellStyle name="Normal 9 6 2 4 3" xfId="42219" xr:uid="{00000000-0005-0000-0000-0000D9DD0000}"/>
    <cellStyle name="Normal 9 6 2 4 4" xfId="26119" xr:uid="{00000000-0005-0000-0000-0000DADD0000}"/>
    <cellStyle name="Normal 9 6 2 4 5" xfId="16550" xr:uid="{00000000-0005-0000-0000-0000DBDD0000}"/>
    <cellStyle name="Normal 9 6 2 5" xfId="6981" xr:uid="{00000000-0005-0000-0000-0000DCDD0000}"/>
    <cellStyle name="Normal 9 6 2 5 2" xfId="38722" xr:uid="{00000000-0005-0000-0000-0000DDDD0000}"/>
    <cellStyle name="Normal 9 6 2 5 2 2" xfId="54822" xr:uid="{00000000-0005-0000-0000-0000DEDD0000}"/>
    <cellStyle name="Normal 9 6 2 5 3" xfId="45255" xr:uid="{00000000-0005-0000-0000-0000DFDD0000}"/>
    <cellStyle name="Normal 9 6 2 5 4" xfId="29155" xr:uid="{00000000-0005-0000-0000-0000E0DD0000}"/>
    <cellStyle name="Normal 9 6 2 5 5" xfId="19586" xr:uid="{00000000-0005-0000-0000-0000E1DD0000}"/>
    <cellStyle name="Normal 9 6 2 6" xfId="10017" xr:uid="{00000000-0005-0000-0000-0000E2DD0000}"/>
    <cellStyle name="Normal 9 6 2 6 2" xfId="48291" xr:uid="{00000000-0005-0000-0000-0000E3DD0000}"/>
    <cellStyle name="Normal 9 6 2 6 3" xfId="32191" xr:uid="{00000000-0005-0000-0000-0000E4DD0000}"/>
    <cellStyle name="Normal 9 6 2 6 4" xfId="22622" xr:uid="{00000000-0005-0000-0000-0000E5DD0000}"/>
    <cellStyle name="Normal 9 6 2 7" xfId="3473" xr:uid="{00000000-0005-0000-0000-0000E6DD0000}"/>
    <cellStyle name="Normal 9 6 2 7 2" xfId="51314" xr:uid="{00000000-0005-0000-0000-0000E7DD0000}"/>
    <cellStyle name="Normal 9 6 2 7 3" xfId="35214" xr:uid="{00000000-0005-0000-0000-0000E8DD0000}"/>
    <cellStyle name="Normal 9 6 2 7 4" xfId="16078" xr:uid="{00000000-0005-0000-0000-0000E9DD0000}"/>
    <cellStyle name="Normal 9 6 2 8" xfId="41747" xr:uid="{00000000-0005-0000-0000-0000EADD0000}"/>
    <cellStyle name="Normal 9 6 2 9" xfId="25647" xr:uid="{00000000-0005-0000-0000-0000EBDD0000}"/>
    <cellStyle name="Normal 9 6 3" xfId="880" xr:uid="{00000000-0005-0000-0000-0000ECDD0000}"/>
    <cellStyle name="Normal 9 6 3 2" xfId="2908" xr:uid="{00000000-0005-0000-0000-0000EDDD0000}"/>
    <cellStyle name="Normal 9 6 3 2 2" xfId="9440" xr:uid="{00000000-0005-0000-0000-0000EEDD0000}"/>
    <cellStyle name="Normal 9 6 3 2 2 2" xfId="41181" xr:uid="{00000000-0005-0000-0000-0000EFDD0000}"/>
    <cellStyle name="Normal 9 6 3 2 2 2 2" xfId="57281" xr:uid="{00000000-0005-0000-0000-0000F0DD0000}"/>
    <cellStyle name="Normal 9 6 3 2 2 3" xfId="47714" xr:uid="{00000000-0005-0000-0000-0000F1DD0000}"/>
    <cellStyle name="Normal 9 6 3 2 2 4" xfId="31614" xr:uid="{00000000-0005-0000-0000-0000F2DD0000}"/>
    <cellStyle name="Normal 9 6 3 2 2 5" xfId="22045" xr:uid="{00000000-0005-0000-0000-0000F3DD0000}"/>
    <cellStyle name="Normal 9 6 3 2 3" xfId="12476" xr:uid="{00000000-0005-0000-0000-0000F4DD0000}"/>
    <cellStyle name="Normal 9 6 3 2 3 2" xfId="50750" xr:uid="{00000000-0005-0000-0000-0000F5DD0000}"/>
    <cellStyle name="Normal 9 6 3 2 3 3" xfId="34650" xr:uid="{00000000-0005-0000-0000-0000F6DD0000}"/>
    <cellStyle name="Normal 9 6 3 2 3 4" xfId="25081" xr:uid="{00000000-0005-0000-0000-0000F7DD0000}"/>
    <cellStyle name="Normal 9 6 3 2 4" xfId="6404" xr:uid="{00000000-0005-0000-0000-0000F8DD0000}"/>
    <cellStyle name="Normal 9 6 3 2 4 2" xfId="54245" xr:uid="{00000000-0005-0000-0000-0000F9DD0000}"/>
    <cellStyle name="Normal 9 6 3 2 4 3" xfId="38145" xr:uid="{00000000-0005-0000-0000-0000FADD0000}"/>
    <cellStyle name="Normal 9 6 3 2 4 4" xfId="19009" xr:uid="{00000000-0005-0000-0000-0000FBDD0000}"/>
    <cellStyle name="Normal 9 6 3 2 5" xfId="44678" xr:uid="{00000000-0005-0000-0000-0000FCDD0000}"/>
    <cellStyle name="Normal 9 6 3 2 6" xfId="28578" xr:uid="{00000000-0005-0000-0000-0000FDDD0000}"/>
    <cellStyle name="Normal 9 6 3 2 7" xfId="15514" xr:uid="{00000000-0005-0000-0000-0000FEDD0000}"/>
    <cellStyle name="Normal 9 6 3 3" xfId="1890" xr:uid="{00000000-0005-0000-0000-0000FFDD0000}"/>
    <cellStyle name="Normal 9 6 3 3 2" xfId="8424" xr:uid="{00000000-0005-0000-0000-000000DE0000}"/>
    <cellStyle name="Normal 9 6 3 3 2 2" xfId="40165" xr:uid="{00000000-0005-0000-0000-000001DE0000}"/>
    <cellStyle name="Normal 9 6 3 3 2 2 2" xfId="56265" xr:uid="{00000000-0005-0000-0000-000002DE0000}"/>
    <cellStyle name="Normal 9 6 3 3 2 3" xfId="46698" xr:uid="{00000000-0005-0000-0000-000003DE0000}"/>
    <cellStyle name="Normal 9 6 3 3 2 4" xfId="30598" xr:uid="{00000000-0005-0000-0000-000004DE0000}"/>
    <cellStyle name="Normal 9 6 3 3 2 5" xfId="21029" xr:uid="{00000000-0005-0000-0000-000005DE0000}"/>
    <cellStyle name="Normal 9 6 3 3 3" xfId="11460" xr:uid="{00000000-0005-0000-0000-000006DE0000}"/>
    <cellStyle name="Normal 9 6 3 3 3 2" xfId="49734" xr:uid="{00000000-0005-0000-0000-000007DE0000}"/>
    <cellStyle name="Normal 9 6 3 3 3 3" xfId="33634" xr:uid="{00000000-0005-0000-0000-000008DE0000}"/>
    <cellStyle name="Normal 9 6 3 3 3 4" xfId="24065" xr:uid="{00000000-0005-0000-0000-000009DE0000}"/>
    <cellStyle name="Normal 9 6 3 3 4" xfId="5388" xr:uid="{00000000-0005-0000-0000-00000ADE0000}"/>
    <cellStyle name="Normal 9 6 3 3 4 2" xfId="53229" xr:uid="{00000000-0005-0000-0000-00000BDE0000}"/>
    <cellStyle name="Normal 9 6 3 3 4 3" xfId="37129" xr:uid="{00000000-0005-0000-0000-00000CDE0000}"/>
    <cellStyle name="Normal 9 6 3 3 4 4" xfId="17993" xr:uid="{00000000-0005-0000-0000-00000DDE0000}"/>
    <cellStyle name="Normal 9 6 3 3 5" xfId="43662" xr:uid="{00000000-0005-0000-0000-00000EDE0000}"/>
    <cellStyle name="Normal 9 6 3 3 6" xfId="27562" xr:uid="{00000000-0005-0000-0000-00000FDE0000}"/>
    <cellStyle name="Normal 9 6 3 3 7" xfId="14498" xr:uid="{00000000-0005-0000-0000-000010DE0000}"/>
    <cellStyle name="Normal 9 6 3 4" xfId="7414" xr:uid="{00000000-0005-0000-0000-000011DE0000}"/>
    <cellStyle name="Normal 9 6 3 4 2" xfId="39155" xr:uid="{00000000-0005-0000-0000-000012DE0000}"/>
    <cellStyle name="Normal 9 6 3 4 2 2" xfId="55255" xr:uid="{00000000-0005-0000-0000-000013DE0000}"/>
    <cellStyle name="Normal 9 6 3 4 3" xfId="45688" xr:uid="{00000000-0005-0000-0000-000014DE0000}"/>
    <cellStyle name="Normal 9 6 3 4 4" xfId="29588" xr:uid="{00000000-0005-0000-0000-000015DE0000}"/>
    <cellStyle name="Normal 9 6 3 4 5" xfId="20019" xr:uid="{00000000-0005-0000-0000-000016DE0000}"/>
    <cellStyle name="Normal 9 6 3 5" xfId="10450" xr:uid="{00000000-0005-0000-0000-000017DE0000}"/>
    <cellStyle name="Normal 9 6 3 5 2" xfId="48724" xr:uid="{00000000-0005-0000-0000-000018DE0000}"/>
    <cellStyle name="Normal 9 6 3 5 3" xfId="32624" xr:uid="{00000000-0005-0000-0000-000019DE0000}"/>
    <cellStyle name="Normal 9 6 3 5 4" xfId="23055" xr:uid="{00000000-0005-0000-0000-00001ADE0000}"/>
    <cellStyle name="Normal 9 6 3 6" xfId="4378" xr:uid="{00000000-0005-0000-0000-00001BDE0000}"/>
    <cellStyle name="Normal 9 6 3 6 2" xfId="52219" xr:uid="{00000000-0005-0000-0000-00001CDE0000}"/>
    <cellStyle name="Normal 9 6 3 6 3" xfId="36119" xr:uid="{00000000-0005-0000-0000-00001DDE0000}"/>
    <cellStyle name="Normal 9 6 3 6 4" xfId="16983" xr:uid="{00000000-0005-0000-0000-00001EDE0000}"/>
    <cellStyle name="Normal 9 6 3 7" xfId="42652" xr:uid="{00000000-0005-0000-0000-00001FDE0000}"/>
    <cellStyle name="Normal 9 6 3 8" xfId="26552" xr:uid="{00000000-0005-0000-0000-000020DE0000}"/>
    <cellStyle name="Normal 9 6 3 9" xfId="13488" xr:uid="{00000000-0005-0000-0000-000021DE0000}"/>
    <cellStyle name="Normal 9 6 4" xfId="2245" xr:uid="{00000000-0005-0000-0000-000022DE0000}"/>
    <cellStyle name="Normal 9 6 4 2" xfId="8779" xr:uid="{00000000-0005-0000-0000-000023DE0000}"/>
    <cellStyle name="Normal 9 6 4 2 2" xfId="40520" xr:uid="{00000000-0005-0000-0000-000024DE0000}"/>
    <cellStyle name="Normal 9 6 4 2 2 2" xfId="56620" xr:uid="{00000000-0005-0000-0000-000025DE0000}"/>
    <cellStyle name="Normal 9 6 4 2 3" xfId="47053" xr:uid="{00000000-0005-0000-0000-000026DE0000}"/>
    <cellStyle name="Normal 9 6 4 2 4" xfId="30953" xr:uid="{00000000-0005-0000-0000-000027DE0000}"/>
    <cellStyle name="Normal 9 6 4 2 5" xfId="21384" xr:uid="{00000000-0005-0000-0000-000028DE0000}"/>
    <cellStyle name="Normal 9 6 4 3" xfId="11815" xr:uid="{00000000-0005-0000-0000-000029DE0000}"/>
    <cellStyle name="Normal 9 6 4 3 2" xfId="50089" xr:uid="{00000000-0005-0000-0000-00002ADE0000}"/>
    <cellStyle name="Normal 9 6 4 3 3" xfId="33989" xr:uid="{00000000-0005-0000-0000-00002BDE0000}"/>
    <cellStyle name="Normal 9 6 4 3 4" xfId="24420" xr:uid="{00000000-0005-0000-0000-00002CDE0000}"/>
    <cellStyle name="Normal 9 6 4 4" xfId="5743" xr:uid="{00000000-0005-0000-0000-00002DDE0000}"/>
    <cellStyle name="Normal 9 6 4 4 2" xfId="53584" xr:uid="{00000000-0005-0000-0000-00002EDE0000}"/>
    <cellStyle name="Normal 9 6 4 4 3" xfId="37484" xr:uid="{00000000-0005-0000-0000-00002FDE0000}"/>
    <cellStyle name="Normal 9 6 4 4 4" xfId="18348" xr:uid="{00000000-0005-0000-0000-000030DE0000}"/>
    <cellStyle name="Normal 9 6 4 5" xfId="44017" xr:uid="{00000000-0005-0000-0000-000031DE0000}"/>
    <cellStyle name="Normal 9 6 4 6" xfId="27917" xr:uid="{00000000-0005-0000-0000-000032DE0000}"/>
    <cellStyle name="Normal 9 6 4 7" xfId="14853" xr:uid="{00000000-0005-0000-0000-000033DE0000}"/>
    <cellStyle name="Normal 9 6 5" xfId="1207" xr:uid="{00000000-0005-0000-0000-000034DE0000}"/>
    <cellStyle name="Normal 9 6 5 2" xfId="7741" xr:uid="{00000000-0005-0000-0000-000035DE0000}"/>
    <cellStyle name="Normal 9 6 5 2 2" xfId="39482" xr:uid="{00000000-0005-0000-0000-000036DE0000}"/>
    <cellStyle name="Normal 9 6 5 2 2 2" xfId="55582" xr:uid="{00000000-0005-0000-0000-000037DE0000}"/>
    <cellStyle name="Normal 9 6 5 2 3" xfId="46015" xr:uid="{00000000-0005-0000-0000-000038DE0000}"/>
    <cellStyle name="Normal 9 6 5 2 4" xfId="29915" xr:uid="{00000000-0005-0000-0000-000039DE0000}"/>
    <cellStyle name="Normal 9 6 5 2 5" xfId="20346" xr:uid="{00000000-0005-0000-0000-00003ADE0000}"/>
    <cellStyle name="Normal 9 6 5 3" xfId="10777" xr:uid="{00000000-0005-0000-0000-00003BDE0000}"/>
    <cellStyle name="Normal 9 6 5 3 2" xfId="49051" xr:uid="{00000000-0005-0000-0000-00003CDE0000}"/>
    <cellStyle name="Normal 9 6 5 3 3" xfId="32951" xr:uid="{00000000-0005-0000-0000-00003DDE0000}"/>
    <cellStyle name="Normal 9 6 5 3 4" xfId="23382" xr:uid="{00000000-0005-0000-0000-00003EDE0000}"/>
    <cellStyle name="Normal 9 6 5 4" xfId="4705" xr:uid="{00000000-0005-0000-0000-00003FDE0000}"/>
    <cellStyle name="Normal 9 6 5 4 2" xfId="52546" xr:uid="{00000000-0005-0000-0000-000040DE0000}"/>
    <cellStyle name="Normal 9 6 5 4 3" xfId="36446" xr:uid="{00000000-0005-0000-0000-000041DE0000}"/>
    <cellStyle name="Normal 9 6 5 4 4" xfId="17310" xr:uid="{00000000-0005-0000-0000-000042DE0000}"/>
    <cellStyle name="Normal 9 6 5 5" xfId="42979" xr:uid="{00000000-0005-0000-0000-000043DE0000}"/>
    <cellStyle name="Normal 9 6 5 6" xfId="26879" xr:uid="{00000000-0005-0000-0000-000044DE0000}"/>
    <cellStyle name="Normal 9 6 5 7" xfId="13815" xr:uid="{00000000-0005-0000-0000-000045DE0000}"/>
    <cellStyle name="Normal 9 6 6" xfId="3695" xr:uid="{00000000-0005-0000-0000-000046DE0000}"/>
    <cellStyle name="Normal 9 6 6 2" xfId="35436" xr:uid="{00000000-0005-0000-0000-000047DE0000}"/>
    <cellStyle name="Normal 9 6 6 2 2" xfId="51536" xr:uid="{00000000-0005-0000-0000-000048DE0000}"/>
    <cellStyle name="Normal 9 6 6 3" xfId="41969" xr:uid="{00000000-0005-0000-0000-000049DE0000}"/>
    <cellStyle name="Normal 9 6 6 4" xfId="25869" xr:uid="{00000000-0005-0000-0000-00004ADE0000}"/>
    <cellStyle name="Normal 9 6 6 5" xfId="16300" xr:uid="{00000000-0005-0000-0000-00004BDE0000}"/>
    <cellStyle name="Normal 9 6 7" xfId="6731" xr:uid="{00000000-0005-0000-0000-00004CDE0000}"/>
    <cellStyle name="Normal 9 6 7 2" xfId="38472" xr:uid="{00000000-0005-0000-0000-00004DDE0000}"/>
    <cellStyle name="Normal 9 6 7 2 2" xfId="54572" xr:uid="{00000000-0005-0000-0000-00004EDE0000}"/>
    <cellStyle name="Normal 9 6 7 3" xfId="45005" xr:uid="{00000000-0005-0000-0000-00004FDE0000}"/>
    <cellStyle name="Normal 9 6 7 4" xfId="28905" xr:uid="{00000000-0005-0000-0000-000050DE0000}"/>
    <cellStyle name="Normal 9 6 7 5" xfId="19336" xr:uid="{00000000-0005-0000-0000-000051DE0000}"/>
    <cellStyle name="Normal 9 6 8" xfId="9767" xr:uid="{00000000-0005-0000-0000-000052DE0000}"/>
    <cellStyle name="Normal 9 6 8 2" xfId="48041" xr:uid="{00000000-0005-0000-0000-000053DE0000}"/>
    <cellStyle name="Normal 9 6 8 3" xfId="31941" xr:uid="{00000000-0005-0000-0000-000054DE0000}"/>
    <cellStyle name="Normal 9 6 8 4" xfId="22372" xr:uid="{00000000-0005-0000-0000-000055DE0000}"/>
    <cellStyle name="Normal 9 6 9" xfId="3235" xr:uid="{00000000-0005-0000-0000-000056DE0000}"/>
    <cellStyle name="Normal 9 6 9 2" xfId="51077" xr:uid="{00000000-0005-0000-0000-000057DE0000}"/>
    <cellStyle name="Normal 9 6 9 3" xfId="34977" xr:uid="{00000000-0005-0000-0000-000058DE0000}"/>
    <cellStyle name="Normal 9 6 9 4" xfId="15841" xr:uid="{00000000-0005-0000-0000-000059DE0000}"/>
    <cellStyle name="Normal 9 7" xfId="43" xr:uid="{00000000-0005-0000-0000-00005ADE0000}"/>
    <cellStyle name="Normal 9 7 10" xfId="41527" xr:uid="{00000000-0005-0000-0000-00005BDE0000}"/>
    <cellStyle name="Normal 9 7 11" xfId="25427" xr:uid="{00000000-0005-0000-0000-00005CDE0000}"/>
    <cellStyle name="Normal 9 7 12" xfId="12822" xr:uid="{00000000-0005-0000-0000-00005DDE0000}"/>
    <cellStyle name="Normal 9 7 2" xfId="897" xr:uid="{00000000-0005-0000-0000-00005EDE0000}"/>
    <cellStyle name="Normal 9 7 2 10" xfId="13505" xr:uid="{00000000-0005-0000-0000-00005FDE0000}"/>
    <cellStyle name="Normal 9 7 2 2" xfId="2925" xr:uid="{00000000-0005-0000-0000-000060DE0000}"/>
    <cellStyle name="Normal 9 7 2 2 2" xfId="9457" xr:uid="{00000000-0005-0000-0000-000061DE0000}"/>
    <cellStyle name="Normal 9 7 2 2 2 2" xfId="41198" xr:uid="{00000000-0005-0000-0000-000062DE0000}"/>
    <cellStyle name="Normal 9 7 2 2 2 2 2" xfId="57298" xr:uid="{00000000-0005-0000-0000-000063DE0000}"/>
    <cellStyle name="Normal 9 7 2 2 2 3" xfId="47731" xr:uid="{00000000-0005-0000-0000-000064DE0000}"/>
    <cellStyle name="Normal 9 7 2 2 2 4" xfId="31631" xr:uid="{00000000-0005-0000-0000-000065DE0000}"/>
    <cellStyle name="Normal 9 7 2 2 2 5" xfId="22062" xr:uid="{00000000-0005-0000-0000-000066DE0000}"/>
    <cellStyle name="Normal 9 7 2 2 3" xfId="12493" xr:uid="{00000000-0005-0000-0000-000067DE0000}"/>
    <cellStyle name="Normal 9 7 2 2 3 2" xfId="50767" xr:uid="{00000000-0005-0000-0000-000068DE0000}"/>
    <cellStyle name="Normal 9 7 2 2 3 3" xfId="34667" xr:uid="{00000000-0005-0000-0000-000069DE0000}"/>
    <cellStyle name="Normal 9 7 2 2 3 4" xfId="25098" xr:uid="{00000000-0005-0000-0000-00006ADE0000}"/>
    <cellStyle name="Normal 9 7 2 2 4" xfId="6421" xr:uid="{00000000-0005-0000-0000-00006BDE0000}"/>
    <cellStyle name="Normal 9 7 2 2 4 2" xfId="54262" xr:uid="{00000000-0005-0000-0000-00006CDE0000}"/>
    <cellStyle name="Normal 9 7 2 2 4 3" xfId="38162" xr:uid="{00000000-0005-0000-0000-00006DDE0000}"/>
    <cellStyle name="Normal 9 7 2 2 4 4" xfId="19026" xr:uid="{00000000-0005-0000-0000-00006EDE0000}"/>
    <cellStyle name="Normal 9 7 2 2 5" xfId="44695" xr:uid="{00000000-0005-0000-0000-00006FDE0000}"/>
    <cellStyle name="Normal 9 7 2 2 6" xfId="28595" xr:uid="{00000000-0005-0000-0000-000070DE0000}"/>
    <cellStyle name="Normal 9 7 2 2 7" xfId="15531" xr:uid="{00000000-0005-0000-0000-000071DE0000}"/>
    <cellStyle name="Normal 9 7 2 3" xfId="1907" xr:uid="{00000000-0005-0000-0000-000072DE0000}"/>
    <cellStyle name="Normal 9 7 2 3 2" xfId="8441" xr:uid="{00000000-0005-0000-0000-000073DE0000}"/>
    <cellStyle name="Normal 9 7 2 3 2 2" xfId="40182" xr:uid="{00000000-0005-0000-0000-000074DE0000}"/>
    <cellStyle name="Normal 9 7 2 3 2 2 2" xfId="56282" xr:uid="{00000000-0005-0000-0000-000075DE0000}"/>
    <cellStyle name="Normal 9 7 2 3 2 3" xfId="46715" xr:uid="{00000000-0005-0000-0000-000076DE0000}"/>
    <cellStyle name="Normal 9 7 2 3 2 4" xfId="30615" xr:uid="{00000000-0005-0000-0000-000077DE0000}"/>
    <cellStyle name="Normal 9 7 2 3 2 5" xfId="21046" xr:uid="{00000000-0005-0000-0000-000078DE0000}"/>
    <cellStyle name="Normal 9 7 2 3 3" xfId="11477" xr:uid="{00000000-0005-0000-0000-000079DE0000}"/>
    <cellStyle name="Normal 9 7 2 3 3 2" xfId="49751" xr:uid="{00000000-0005-0000-0000-00007ADE0000}"/>
    <cellStyle name="Normal 9 7 2 3 3 3" xfId="33651" xr:uid="{00000000-0005-0000-0000-00007BDE0000}"/>
    <cellStyle name="Normal 9 7 2 3 3 4" xfId="24082" xr:uid="{00000000-0005-0000-0000-00007CDE0000}"/>
    <cellStyle name="Normal 9 7 2 3 4" xfId="5405" xr:uid="{00000000-0005-0000-0000-00007DDE0000}"/>
    <cellStyle name="Normal 9 7 2 3 4 2" xfId="53246" xr:uid="{00000000-0005-0000-0000-00007EDE0000}"/>
    <cellStyle name="Normal 9 7 2 3 4 3" xfId="37146" xr:uid="{00000000-0005-0000-0000-00007FDE0000}"/>
    <cellStyle name="Normal 9 7 2 3 4 4" xfId="18010" xr:uid="{00000000-0005-0000-0000-000080DE0000}"/>
    <cellStyle name="Normal 9 7 2 3 5" xfId="43679" xr:uid="{00000000-0005-0000-0000-000081DE0000}"/>
    <cellStyle name="Normal 9 7 2 3 6" xfId="27579" xr:uid="{00000000-0005-0000-0000-000082DE0000}"/>
    <cellStyle name="Normal 9 7 2 3 7" xfId="14515" xr:uid="{00000000-0005-0000-0000-000083DE0000}"/>
    <cellStyle name="Normal 9 7 2 4" xfId="4395" xr:uid="{00000000-0005-0000-0000-000084DE0000}"/>
    <cellStyle name="Normal 9 7 2 4 2" xfId="36136" xr:uid="{00000000-0005-0000-0000-000085DE0000}"/>
    <cellStyle name="Normal 9 7 2 4 2 2" xfId="52236" xr:uid="{00000000-0005-0000-0000-000086DE0000}"/>
    <cellStyle name="Normal 9 7 2 4 3" xfId="42669" xr:uid="{00000000-0005-0000-0000-000087DE0000}"/>
    <cellStyle name="Normal 9 7 2 4 4" xfId="26569" xr:uid="{00000000-0005-0000-0000-000088DE0000}"/>
    <cellStyle name="Normal 9 7 2 4 5" xfId="17000" xr:uid="{00000000-0005-0000-0000-000089DE0000}"/>
    <cellStyle name="Normal 9 7 2 5" xfId="7431" xr:uid="{00000000-0005-0000-0000-00008ADE0000}"/>
    <cellStyle name="Normal 9 7 2 5 2" xfId="39172" xr:uid="{00000000-0005-0000-0000-00008BDE0000}"/>
    <cellStyle name="Normal 9 7 2 5 2 2" xfId="55272" xr:uid="{00000000-0005-0000-0000-00008CDE0000}"/>
    <cellStyle name="Normal 9 7 2 5 3" xfId="45705" xr:uid="{00000000-0005-0000-0000-00008DDE0000}"/>
    <cellStyle name="Normal 9 7 2 5 4" xfId="29605" xr:uid="{00000000-0005-0000-0000-00008EDE0000}"/>
    <cellStyle name="Normal 9 7 2 5 5" xfId="20036" xr:uid="{00000000-0005-0000-0000-00008FDE0000}"/>
    <cellStyle name="Normal 9 7 2 6" xfId="10467" xr:uid="{00000000-0005-0000-0000-000090DE0000}"/>
    <cellStyle name="Normal 9 7 2 6 2" xfId="48741" xr:uid="{00000000-0005-0000-0000-000091DE0000}"/>
    <cellStyle name="Normal 9 7 2 6 3" xfId="32641" xr:uid="{00000000-0005-0000-0000-000092DE0000}"/>
    <cellStyle name="Normal 9 7 2 6 4" xfId="23072" xr:uid="{00000000-0005-0000-0000-000093DE0000}"/>
    <cellStyle name="Normal 9 7 2 7" xfId="3490" xr:uid="{00000000-0005-0000-0000-000094DE0000}"/>
    <cellStyle name="Normal 9 7 2 7 2" xfId="51331" xr:uid="{00000000-0005-0000-0000-000095DE0000}"/>
    <cellStyle name="Normal 9 7 2 7 3" xfId="35231" xr:uid="{00000000-0005-0000-0000-000096DE0000}"/>
    <cellStyle name="Normal 9 7 2 7 4" xfId="16095" xr:uid="{00000000-0005-0000-0000-000097DE0000}"/>
    <cellStyle name="Normal 9 7 2 8" xfId="41764" xr:uid="{00000000-0005-0000-0000-000098DE0000}"/>
    <cellStyle name="Normal 9 7 2 9" xfId="25664" xr:uid="{00000000-0005-0000-0000-000099DE0000}"/>
    <cellStyle name="Normal 9 7 3" xfId="675" xr:uid="{00000000-0005-0000-0000-00009ADE0000}"/>
    <cellStyle name="Normal 9 7 3 2" xfId="2703" xr:uid="{00000000-0005-0000-0000-00009BDE0000}"/>
    <cellStyle name="Normal 9 7 3 2 2" xfId="9235" xr:uid="{00000000-0005-0000-0000-00009CDE0000}"/>
    <cellStyle name="Normal 9 7 3 2 2 2" xfId="40976" xr:uid="{00000000-0005-0000-0000-00009DDE0000}"/>
    <cellStyle name="Normal 9 7 3 2 2 2 2" xfId="57076" xr:uid="{00000000-0005-0000-0000-00009EDE0000}"/>
    <cellStyle name="Normal 9 7 3 2 2 3" xfId="47509" xr:uid="{00000000-0005-0000-0000-00009FDE0000}"/>
    <cellStyle name="Normal 9 7 3 2 2 4" xfId="31409" xr:uid="{00000000-0005-0000-0000-0000A0DE0000}"/>
    <cellStyle name="Normal 9 7 3 2 2 5" xfId="21840" xr:uid="{00000000-0005-0000-0000-0000A1DE0000}"/>
    <cellStyle name="Normal 9 7 3 2 3" xfId="12271" xr:uid="{00000000-0005-0000-0000-0000A2DE0000}"/>
    <cellStyle name="Normal 9 7 3 2 3 2" xfId="50545" xr:uid="{00000000-0005-0000-0000-0000A3DE0000}"/>
    <cellStyle name="Normal 9 7 3 2 3 3" xfId="34445" xr:uid="{00000000-0005-0000-0000-0000A4DE0000}"/>
    <cellStyle name="Normal 9 7 3 2 3 4" xfId="24876" xr:uid="{00000000-0005-0000-0000-0000A5DE0000}"/>
    <cellStyle name="Normal 9 7 3 2 4" xfId="6199" xr:uid="{00000000-0005-0000-0000-0000A6DE0000}"/>
    <cellStyle name="Normal 9 7 3 2 4 2" xfId="54040" xr:uid="{00000000-0005-0000-0000-0000A7DE0000}"/>
    <cellStyle name="Normal 9 7 3 2 4 3" xfId="37940" xr:uid="{00000000-0005-0000-0000-0000A8DE0000}"/>
    <cellStyle name="Normal 9 7 3 2 4 4" xfId="18804" xr:uid="{00000000-0005-0000-0000-0000A9DE0000}"/>
    <cellStyle name="Normal 9 7 3 2 5" xfId="44473" xr:uid="{00000000-0005-0000-0000-0000AADE0000}"/>
    <cellStyle name="Normal 9 7 3 2 6" xfId="28373" xr:uid="{00000000-0005-0000-0000-0000ABDE0000}"/>
    <cellStyle name="Normal 9 7 3 2 7" xfId="15309" xr:uid="{00000000-0005-0000-0000-0000ACDE0000}"/>
    <cellStyle name="Normal 9 7 3 3" xfId="1685" xr:uid="{00000000-0005-0000-0000-0000ADDE0000}"/>
    <cellStyle name="Normal 9 7 3 3 2" xfId="8219" xr:uid="{00000000-0005-0000-0000-0000AEDE0000}"/>
    <cellStyle name="Normal 9 7 3 3 2 2" xfId="39960" xr:uid="{00000000-0005-0000-0000-0000AFDE0000}"/>
    <cellStyle name="Normal 9 7 3 3 2 2 2" xfId="56060" xr:uid="{00000000-0005-0000-0000-0000B0DE0000}"/>
    <cellStyle name="Normal 9 7 3 3 2 3" xfId="46493" xr:uid="{00000000-0005-0000-0000-0000B1DE0000}"/>
    <cellStyle name="Normal 9 7 3 3 2 4" xfId="30393" xr:uid="{00000000-0005-0000-0000-0000B2DE0000}"/>
    <cellStyle name="Normal 9 7 3 3 2 5" xfId="20824" xr:uid="{00000000-0005-0000-0000-0000B3DE0000}"/>
    <cellStyle name="Normal 9 7 3 3 3" xfId="11255" xr:uid="{00000000-0005-0000-0000-0000B4DE0000}"/>
    <cellStyle name="Normal 9 7 3 3 3 2" xfId="49529" xr:uid="{00000000-0005-0000-0000-0000B5DE0000}"/>
    <cellStyle name="Normal 9 7 3 3 3 3" xfId="33429" xr:uid="{00000000-0005-0000-0000-0000B6DE0000}"/>
    <cellStyle name="Normal 9 7 3 3 3 4" xfId="23860" xr:uid="{00000000-0005-0000-0000-0000B7DE0000}"/>
    <cellStyle name="Normal 9 7 3 3 4" xfId="5183" xr:uid="{00000000-0005-0000-0000-0000B8DE0000}"/>
    <cellStyle name="Normal 9 7 3 3 4 2" xfId="53024" xr:uid="{00000000-0005-0000-0000-0000B9DE0000}"/>
    <cellStyle name="Normal 9 7 3 3 4 3" xfId="36924" xr:uid="{00000000-0005-0000-0000-0000BADE0000}"/>
    <cellStyle name="Normal 9 7 3 3 4 4" xfId="17788" xr:uid="{00000000-0005-0000-0000-0000BBDE0000}"/>
    <cellStyle name="Normal 9 7 3 3 5" xfId="43457" xr:uid="{00000000-0005-0000-0000-0000BCDE0000}"/>
    <cellStyle name="Normal 9 7 3 3 6" xfId="27357" xr:uid="{00000000-0005-0000-0000-0000BDDE0000}"/>
    <cellStyle name="Normal 9 7 3 3 7" xfId="14293" xr:uid="{00000000-0005-0000-0000-0000BEDE0000}"/>
    <cellStyle name="Normal 9 7 3 4" xfId="7209" xr:uid="{00000000-0005-0000-0000-0000BFDE0000}"/>
    <cellStyle name="Normal 9 7 3 4 2" xfId="38950" xr:uid="{00000000-0005-0000-0000-0000C0DE0000}"/>
    <cellStyle name="Normal 9 7 3 4 2 2" xfId="55050" xr:uid="{00000000-0005-0000-0000-0000C1DE0000}"/>
    <cellStyle name="Normal 9 7 3 4 3" xfId="45483" xr:uid="{00000000-0005-0000-0000-0000C2DE0000}"/>
    <cellStyle name="Normal 9 7 3 4 4" xfId="29383" xr:uid="{00000000-0005-0000-0000-0000C3DE0000}"/>
    <cellStyle name="Normal 9 7 3 4 5" xfId="19814" xr:uid="{00000000-0005-0000-0000-0000C4DE0000}"/>
    <cellStyle name="Normal 9 7 3 5" xfId="10245" xr:uid="{00000000-0005-0000-0000-0000C5DE0000}"/>
    <cellStyle name="Normal 9 7 3 5 2" xfId="48519" xr:uid="{00000000-0005-0000-0000-0000C6DE0000}"/>
    <cellStyle name="Normal 9 7 3 5 3" xfId="32419" xr:uid="{00000000-0005-0000-0000-0000C7DE0000}"/>
    <cellStyle name="Normal 9 7 3 5 4" xfId="22850" xr:uid="{00000000-0005-0000-0000-0000C8DE0000}"/>
    <cellStyle name="Normal 9 7 3 6" xfId="4173" xr:uid="{00000000-0005-0000-0000-0000C9DE0000}"/>
    <cellStyle name="Normal 9 7 3 6 2" xfId="52014" xr:uid="{00000000-0005-0000-0000-0000CADE0000}"/>
    <cellStyle name="Normal 9 7 3 6 3" xfId="35914" xr:uid="{00000000-0005-0000-0000-0000CBDE0000}"/>
    <cellStyle name="Normal 9 7 3 6 4" xfId="16778" xr:uid="{00000000-0005-0000-0000-0000CCDE0000}"/>
    <cellStyle name="Normal 9 7 3 7" xfId="42447" xr:uid="{00000000-0005-0000-0000-0000CDDE0000}"/>
    <cellStyle name="Normal 9 7 3 8" xfId="26347" xr:uid="{00000000-0005-0000-0000-0000CEDE0000}"/>
    <cellStyle name="Normal 9 7 3 9" xfId="13283" xr:uid="{00000000-0005-0000-0000-0000CFDE0000}"/>
    <cellStyle name="Normal 9 7 4" xfId="2475" xr:uid="{00000000-0005-0000-0000-0000D0DE0000}"/>
    <cellStyle name="Normal 9 7 4 2" xfId="9007" xr:uid="{00000000-0005-0000-0000-0000D1DE0000}"/>
    <cellStyle name="Normal 9 7 4 2 2" xfId="40748" xr:uid="{00000000-0005-0000-0000-0000D2DE0000}"/>
    <cellStyle name="Normal 9 7 4 2 2 2" xfId="56848" xr:uid="{00000000-0005-0000-0000-0000D3DE0000}"/>
    <cellStyle name="Normal 9 7 4 2 3" xfId="47281" xr:uid="{00000000-0005-0000-0000-0000D4DE0000}"/>
    <cellStyle name="Normal 9 7 4 2 4" xfId="31181" xr:uid="{00000000-0005-0000-0000-0000D5DE0000}"/>
    <cellStyle name="Normal 9 7 4 2 5" xfId="21612" xr:uid="{00000000-0005-0000-0000-0000D6DE0000}"/>
    <cellStyle name="Normal 9 7 4 3" xfId="12043" xr:uid="{00000000-0005-0000-0000-0000D7DE0000}"/>
    <cellStyle name="Normal 9 7 4 3 2" xfId="50317" xr:uid="{00000000-0005-0000-0000-0000D8DE0000}"/>
    <cellStyle name="Normal 9 7 4 3 3" xfId="34217" xr:uid="{00000000-0005-0000-0000-0000D9DE0000}"/>
    <cellStyle name="Normal 9 7 4 3 4" xfId="24648" xr:uid="{00000000-0005-0000-0000-0000DADE0000}"/>
    <cellStyle name="Normal 9 7 4 4" xfId="5971" xr:uid="{00000000-0005-0000-0000-0000DBDE0000}"/>
    <cellStyle name="Normal 9 7 4 4 2" xfId="53812" xr:uid="{00000000-0005-0000-0000-0000DCDE0000}"/>
    <cellStyle name="Normal 9 7 4 4 3" xfId="37712" xr:uid="{00000000-0005-0000-0000-0000DDDE0000}"/>
    <cellStyle name="Normal 9 7 4 4 4" xfId="18576" xr:uid="{00000000-0005-0000-0000-0000DEDE0000}"/>
    <cellStyle name="Normal 9 7 4 5" xfId="44245" xr:uid="{00000000-0005-0000-0000-0000DFDE0000}"/>
    <cellStyle name="Normal 9 7 4 6" xfId="28145" xr:uid="{00000000-0005-0000-0000-0000E0DE0000}"/>
    <cellStyle name="Normal 9 7 4 7" xfId="15081" xr:uid="{00000000-0005-0000-0000-0000E1DE0000}"/>
    <cellStyle name="Normal 9 7 5" xfId="1224" xr:uid="{00000000-0005-0000-0000-0000E2DE0000}"/>
    <cellStyle name="Normal 9 7 5 2" xfId="7758" xr:uid="{00000000-0005-0000-0000-0000E3DE0000}"/>
    <cellStyle name="Normal 9 7 5 2 2" xfId="39499" xr:uid="{00000000-0005-0000-0000-0000E4DE0000}"/>
    <cellStyle name="Normal 9 7 5 2 2 2" xfId="55599" xr:uid="{00000000-0005-0000-0000-0000E5DE0000}"/>
    <cellStyle name="Normal 9 7 5 2 3" xfId="46032" xr:uid="{00000000-0005-0000-0000-0000E6DE0000}"/>
    <cellStyle name="Normal 9 7 5 2 4" xfId="29932" xr:uid="{00000000-0005-0000-0000-0000E7DE0000}"/>
    <cellStyle name="Normal 9 7 5 2 5" xfId="20363" xr:uid="{00000000-0005-0000-0000-0000E8DE0000}"/>
    <cellStyle name="Normal 9 7 5 3" xfId="10794" xr:uid="{00000000-0005-0000-0000-0000E9DE0000}"/>
    <cellStyle name="Normal 9 7 5 3 2" xfId="49068" xr:uid="{00000000-0005-0000-0000-0000EADE0000}"/>
    <cellStyle name="Normal 9 7 5 3 3" xfId="32968" xr:uid="{00000000-0005-0000-0000-0000EBDE0000}"/>
    <cellStyle name="Normal 9 7 5 3 4" xfId="23399" xr:uid="{00000000-0005-0000-0000-0000ECDE0000}"/>
    <cellStyle name="Normal 9 7 5 4" xfId="4722" xr:uid="{00000000-0005-0000-0000-0000EDDE0000}"/>
    <cellStyle name="Normal 9 7 5 4 2" xfId="52563" xr:uid="{00000000-0005-0000-0000-0000EEDE0000}"/>
    <cellStyle name="Normal 9 7 5 4 3" xfId="36463" xr:uid="{00000000-0005-0000-0000-0000EFDE0000}"/>
    <cellStyle name="Normal 9 7 5 4 4" xfId="17327" xr:uid="{00000000-0005-0000-0000-0000F0DE0000}"/>
    <cellStyle name="Normal 9 7 5 5" xfId="42996" xr:uid="{00000000-0005-0000-0000-0000F1DE0000}"/>
    <cellStyle name="Normal 9 7 5 6" xfId="26896" xr:uid="{00000000-0005-0000-0000-0000F2DE0000}"/>
    <cellStyle name="Normal 9 7 5 7" xfId="13832" xr:uid="{00000000-0005-0000-0000-0000F3DE0000}"/>
    <cellStyle name="Normal 9 7 6" xfId="3712" xr:uid="{00000000-0005-0000-0000-0000F4DE0000}"/>
    <cellStyle name="Normal 9 7 6 2" xfId="35453" xr:uid="{00000000-0005-0000-0000-0000F5DE0000}"/>
    <cellStyle name="Normal 9 7 6 2 2" xfId="51553" xr:uid="{00000000-0005-0000-0000-0000F6DE0000}"/>
    <cellStyle name="Normal 9 7 6 3" xfId="41986" xr:uid="{00000000-0005-0000-0000-0000F7DE0000}"/>
    <cellStyle name="Normal 9 7 6 4" xfId="25886" xr:uid="{00000000-0005-0000-0000-0000F8DE0000}"/>
    <cellStyle name="Normal 9 7 6 5" xfId="16317" xr:uid="{00000000-0005-0000-0000-0000F9DE0000}"/>
    <cellStyle name="Normal 9 7 7" xfId="6748" xr:uid="{00000000-0005-0000-0000-0000FADE0000}"/>
    <cellStyle name="Normal 9 7 7 2" xfId="38489" xr:uid="{00000000-0005-0000-0000-0000FBDE0000}"/>
    <cellStyle name="Normal 9 7 7 2 2" xfId="54589" xr:uid="{00000000-0005-0000-0000-0000FCDE0000}"/>
    <cellStyle name="Normal 9 7 7 3" xfId="45022" xr:uid="{00000000-0005-0000-0000-0000FDDE0000}"/>
    <cellStyle name="Normal 9 7 7 4" xfId="28922" xr:uid="{00000000-0005-0000-0000-0000FEDE0000}"/>
    <cellStyle name="Normal 9 7 7 5" xfId="19353" xr:uid="{00000000-0005-0000-0000-0000FFDE0000}"/>
    <cellStyle name="Normal 9 7 8" xfId="9784" xr:uid="{00000000-0005-0000-0000-000000DF0000}"/>
    <cellStyle name="Normal 9 7 8 2" xfId="48058" xr:uid="{00000000-0005-0000-0000-000001DF0000}"/>
    <cellStyle name="Normal 9 7 8 3" xfId="31958" xr:uid="{00000000-0005-0000-0000-000002DF0000}"/>
    <cellStyle name="Normal 9 7 8 4" xfId="22389" xr:uid="{00000000-0005-0000-0000-000003DF0000}"/>
    <cellStyle name="Normal 9 7 9" xfId="3252" xr:uid="{00000000-0005-0000-0000-000004DF0000}"/>
    <cellStyle name="Normal 9 7 9 2" xfId="51094" xr:uid="{00000000-0005-0000-0000-000005DF0000}"/>
    <cellStyle name="Normal 9 7 9 3" xfId="34994" xr:uid="{00000000-0005-0000-0000-000006DF0000}"/>
    <cellStyle name="Normal 9 7 9 4" xfId="15858" xr:uid="{00000000-0005-0000-0000-000007DF0000}"/>
    <cellStyle name="Normal 9 8" xfId="461" xr:uid="{00000000-0005-0000-0000-000008DF0000}"/>
    <cellStyle name="Normal 9 8 10" xfId="41544" xr:uid="{00000000-0005-0000-0000-000009DF0000}"/>
    <cellStyle name="Normal 9 8 11" xfId="25444" xr:uid="{00000000-0005-0000-0000-00000ADF0000}"/>
    <cellStyle name="Normal 9 8 12" xfId="12839" xr:uid="{00000000-0005-0000-0000-00000BDF0000}"/>
    <cellStyle name="Normal 9 8 2" xfId="914" xr:uid="{00000000-0005-0000-0000-00000CDF0000}"/>
    <cellStyle name="Normal 9 8 2 10" xfId="13522" xr:uid="{00000000-0005-0000-0000-00000DDF0000}"/>
    <cellStyle name="Normal 9 8 2 2" xfId="2942" xr:uid="{00000000-0005-0000-0000-00000EDF0000}"/>
    <cellStyle name="Normal 9 8 2 2 2" xfId="9474" xr:uid="{00000000-0005-0000-0000-00000FDF0000}"/>
    <cellStyle name="Normal 9 8 2 2 2 2" xfId="41215" xr:uid="{00000000-0005-0000-0000-000010DF0000}"/>
    <cellStyle name="Normal 9 8 2 2 2 2 2" xfId="57315" xr:uid="{00000000-0005-0000-0000-000011DF0000}"/>
    <cellStyle name="Normal 9 8 2 2 2 3" xfId="47748" xr:uid="{00000000-0005-0000-0000-000012DF0000}"/>
    <cellStyle name="Normal 9 8 2 2 2 4" xfId="31648" xr:uid="{00000000-0005-0000-0000-000013DF0000}"/>
    <cellStyle name="Normal 9 8 2 2 2 5" xfId="22079" xr:uid="{00000000-0005-0000-0000-000014DF0000}"/>
    <cellStyle name="Normal 9 8 2 2 3" xfId="12510" xr:uid="{00000000-0005-0000-0000-000015DF0000}"/>
    <cellStyle name="Normal 9 8 2 2 3 2" xfId="50784" xr:uid="{00000000-0005-0000-0000-000016DF0000}"/>
    <cellStyle name="Normal 9 8 2 2 3 3" xfId="34684" xr:uid="{00000000-0005-0000-0000-000017DF0000}"/>
    <cellStyle name="Normal 9 8 2 2 3 4" xfId="25115" xr:uid="{00000000-0005-0000-0000-000018DF0000}"/>
    <cellStyle name="Normal 9 8 2 2 4" xfId="6438" xr:uid="{00000000-0005-0000-0000-000019DF0000}"/>
    <cellStyle name="Normal 9 8 2 2 4 2" xfId="54279" xr:uid="{00000000-0005-0000-0000-00001ADF0000}"/>
    <cellStyle name="Normal 9 8 2 2 4 3" xfId="38179" xr:uid="{00000000-0005-0000-0000-00001BDF0000}"/>
    <cellStyle name="Normal 9 8 2 2 4 4" xfId="19043" xr:uid="{00000000-0005-0000-0000-00001CDF0000}"/>
    <cellStyle name="Normal 9 8 2 2 5" xfId="44712" xr:uid="{00000000-0005-0000-0000-00001DDF0000}"/>
    <cellStyle name="Normal 9 8 2 2 6" xfId="28612" xr:uid="{00000000-0005-0000-0000-00001EDF0000}"/>
    <cellStyle name="Normal 9 8 2 2 7" xfId="15548" xr:uid="{00000000-0005-0000-0000-00001FDF0000}"/>
    <cellStyle name="Normal 9 8 2 3" xfId="1924" xr:uid="{00000000-0005-0000-0000-000020DF0000}"/>
    <cellStyle name="Normal 9 8 2 3 2" xfId="8458" xr:uid="{00000000-0005-0000-0000-000021DF0000}"/>
    <cellStyle name="Normal 9 8 2 3 2 2" xfId="40199" xr:uid="{00000000-0005-0000-0000-000022DF0000}"/>
    <cellStyle name="Normal 9 8 2 3 2 2 2" xfId="56299" xr:uid="{00000000-0005-0000-0000-000023DF0000}"/>
    <cellStyle name="Normal 9 8 2 3 2 3" xfId="46732" xr:uid="{00000000-0005-0000-0000-000024DF0000}"/>
    <cellStyle name="Normal 9 8 2 3 2 4" xfId="30632" xr:uid="{00000000-0005-0000-0000-000025DF0000}"/>
    <cellStyle name="Normal 9 8 2 3 2 5" xfId="21063" xr:uid="{00000000-0005-0000-0000-000026DF0000}"/>
    <cellStyle name="Normal 9 8 2 3 3" xfId="11494" xr:uid="{00000000-0005-0000-0000-000027DF0000}"/>
    <cellStyle name="Normal 9 8 2 3 3 2" xfId="49768" xr:uid="{00000000-0005-0000-0000-000028DF0000}"/>
    <cellStyle name="Normal 9 8 2 3 3 3" xfId="33668" xr:uid="{00000000-0005-0000-0000-000029DF0000}"/>
    <cellStyle name="Normal 9 8 2 3 3 4" xfId="24099" xr:uid="{00000000-0005-0000-0000-00002ADF0000}"/>
    <cellStyle name="Normal 9 8 2 3 4" xfId="5422" xr:uid="{00000000-0005-0000-0000-00002BDF0000}"/>
    <cellStyle name="Normal 9 8 2 3 4 2" xfId="53263" xr:uid="{00000000-0005-0000-0000-00002CDF0000}"/>
    <cellStyle name="Normal 9 8 2 3 4 3" xfId="37163" xr:uid="{00000000-0005-0000-0000-00002DDF0000}"/>
    <cellStyle name="Normal 9 8 2 3 4 4" xfId="18027" xr:uid="{00000000-0005-0000-0000-00002EDF0000}"/>
    <cellStyle name="Normal 9 8 2 3 5" xfId="43696" xr:uid="{00000000-0005-0000-0000-00002FDF0000}"/>
    <cellStyle name="Normal 9 8 2 3 6" xfId="27596" xr:uid="{00000000-0005-0000-0000-000030DF0000}"/>
    <cellStyle name="Normal 9 8 2 3 7" xfId="14532" xr:uid="{00000000-0005-0000-0000-000031DF0000}"/>
    <cellStyle name="Normal 9 8 2 4" xfId="4412" xr:uid="{00000000-0005-0000-0000-000032DF0000}"/>
    <cellStyle name="Normal 9 8 2 4 2" xfId="36153" xr:uid="{00000000-0005-0000-0000-000033DF0000}"/>
    <cellStyle name="Normal 9 8 2 4 2 2" xfId="52253" xr:uid="{00000000-0005-0000-0000-000034DF0000}"/>
    <cellStyle name="Normal 9 8 2 4 3" xfId="42686" xr:uid="{00000000-0005-0000-0000-000035DF0000}"/>
    <cellStyle name="Normal 9 8 2 4 4" xfId="26586" xr:uid="{00000000-0005-0000-0000-000036DF0000}"/>
    <cellStyle name="Normal 9 8 2 4 5" xfId="17017" xr:uid="{00000000-0005-0000-0000-000037DF0000}"/>
    <cellStyle name="Normal 9 8 2 5" xfId="7448" xr:uid="{00000000-0005-0000-0000-000038DF0000}"/>
    <cellStyle name="Normal 9 8 2 5 2" xfId="39189" xr:uid="{00000000-0005-0000-0000-000039DF0000}"/>
    <cellStyle name="Normal 9 8 2 5 2 2" xfId="55289" xr:uid="{00000000-0005-0000-0000-00003ADF0000}"/>
    <cellStyle name="Normal 9 8 2 5 3" xfId="45722" xr:uid="{00000000-0005-0000-0000-00003BDF0000}"/>
    <cellStyle name="Normal 9 8 2 5 4" xfId="29622" xr:uid="{00000000-0005-0000-0000-00003CDF0000}"/>
    <cellStyle name="Normal 9 8 2 5 5" xfId="20053" xr:uid="{00000000-0005-0000-0000-00003DDF0000}"/>
    <cellStyle name="Normal 9 8 2 6" xfId="10484" xr:uid="{00000000-0005-0000-0000-00003EDF0000}"/>
    <cellStyle name="Normal 9 8 2 6 2" xfId="48758" xr:uid="{00000000-0005-0000-0000-00003FDF0000}"/>
    <cellStyle name="Normal 9 8 2 6 3" xfId="32658" xr:uid="{00000000-0005-0000-0000-000040DF0000}"/>
    <cellStyle name="Normal 9 8 2 6 4" xfId="23089" xr:uid="{00000000-0005-0000-0000-000041DF0000}"/>
    <cellStyle name="Normal 9 8 2 7" xfId="3507" xr:uid="{00000000-0005-0000-0000-000042DF0000}"/>
    <cellStyle name="Normal 9 8 2 7 2" xfId="51348" xr:uid="{00000000-0005-0000-0000-000043DF0000}"/>
    <cellStyle name="Normal 9 8 2 7 3" xfId="35248" xr:uid="{00000000-0005-0000-0000-000044DF0000}"/>
    <cellStyle name="Normal 9 8 2 7 4" xfId="16112" xr:uid="{00000000-0005-0000-0000-000045DF0000}"/>
    <cellStyle name="Normal 9 8 2 8" xfId="41781" xr:uid="{00000000-0005-0000-0000-000046DF0000}"/>
    <cellStyle name="Normal 9 8 2 9" xfId="25681" xr:uid="{00000000-0005-0000-0000-000047DF0000}"/>
    <cellStyle name="Normal 9 8 3" xfId="692" xr:uid="{00000000-0005-0000-0000-000048DF0000}"/>
    <cellStyle name="Normal 9 8 3 2" xfId="2720" xr:uid="{00000000-0005-0000-0000-000049DF0000}"/>
    <cellStyle name="Normal 9 8 3 2 2" xfId="9252" xr:uid="{00000000-0005-0000-0000-00004ADF0000}"/>
    <cellStyle name="Normal 9 8 3 2 2 2" xfId="40993" xr:uid="{00000000-0005-0000-0000-00004BDF0000}"/>
    <cellStyle name="Normal 9 8 3 2 2 2 2" xfId="57093" xr:uid="{00000000-0005-0000-0000-00004CDF0000}"/>
    <cellStyle name="Normal 9 8 3 2 2 3" xfId="47526" xr:uid="{00000000-0005-0000-0000-00004DDF0000}"/>
    <cellStyle name="Normal 9 8 3 2 2 4" xfId="31426" xr:uid="{00000000-0005-0000-0000-00004EDF0000}"/>
    <cellStyle name="Normal 9 8 3 2 2 5" xfId="21857" xr:uid="{00000000-0005-0000-0000-00004FDF0000}"/>
    <cellStyle name="Normal 9 8 3 2 3" xfId="12288" xr:uid="{00000000-0005-0000-0000-000050DF0000}"/>
    <cellStyle name="Normal 9 8 3 2 3 2" xfId="50562" xr:uid="{00000000-0005-0000-0000-000051DF0000}"/>
    <cellStyle name="Normal 9 8 3 2 3 3" xfId="34462" xr:uid="{00000000-0005-0000-0000-000052DF0000}"/>
    <cellStyle name="Normal 9 8 3 2 3 4" xfId="24893" xr:uid="{00000000-0005-0000-0000-000053DF0000}"/>
    <cellStyle name="Normal 9 8 3 2 4" xfId="6216" xr:uid="{00000000-0005-0000-0000-000054DF0000}"/>
    <cellStyle name="Normal 9 8 3 2 4 2" xfId="54057" xr:uid="{00000000-0005-0000-0000-000055DF0000}"/>
    <cellStyle name="Normal 9 8 3 2 4 3" xfId="37957" xr:uid="{00000000-0005-0000-0000-000056DF0000}"/>
    <cellStyle name="Normal 9 8 3 2 4 4" xfId="18821" xr:uid="{00000000-0005-0000-0000-000057DF0000}"/>
    <cellStyle name="Normal 9 8 3 2 5" xfId="44490" xr:uid="{00000000-0005-0000-0000-000058DF0000}"/>
    <cellStyle name="Normal 9 8 3 2 6" xfId="28390" xr:uid="{00000000-0005-0000-0000-000059DF0000}"/>
    <cellStyle name="Normal 9 8 3 2 7" xfId="15326" xr:uid="{00000000-0005-0000-0000-00005ADF0000}"/>
    <cellStyle name="Normal 9 8 3 3" xfId="1702" xr:uid="{00000000-0005-0000-0000-00005BDF0000}"/>
    <cellStyle name="Normal 9 8 3 3 2" xfId="8236" xr:uid="{00000000-0005-0000-0000-00005CDF0000}"/>
    <cellStyle name="Normal 9 8 3 3 2 2" xfId="39977" xr:uid="{00000000-0005-0000-0000-00005DDF0000}"/>
    <cellStyle name="Normal 9 8 3 3 2 2 2" xfId="56077" xr:uid="{00000000-0005-0000-0000-00005EDF0000}"/>
    <cellStyle name="Normal 9 8 3 3 2 3" xfId="46510" xr:uid="{00000000-0005-0000-0000-00005FDF0000}"/>
    <cellStyle name="Normal 9 8 3 3 2 4" xfId="30410" xr:uid="{00000000-0005-0000-0000-000060DF0000}"/>
    <cellStyle name="Normal 9 8 3 3 2 5" xfId="20841" xr:uid="{00000000-0005-0000-0000-000061DF0000}"/>
    <cellStyle name="Normal 9 8 3 3 3" xfId="11272" xr:uid="{00000000-0005-0000-0000-000062DF0000}"/>
    <cellStyle name="Normal 9 8 3 3 3 2" xfId="49546" xr:uid="{00000000-0005-0000-0000-000063DF0000}"/>
    <cellStyle name="Normal 9 8 3 3 3 3" xfId="33446" xr:uid="{00000000-0005-0000-0000-000064DF0000}"/>
    <cellStyle name="Normal 9 8 3 3 3 4" xfId="23877" xr:uid="{00000000-0005-0000-0000-000065DF0000}"/>
    <cellStyle name="Normal 9 8 3 3 4" xfId="5200" xr:uid="{00000000-0005-0000-0000-000066DF0000}"/>
    <cellStyle name="Normal 9 8 3 3 4 2" xfId="53041" xr:uid="{00000000-0005-0000-0000-000067DF0000}"/>
    <cellStyle name="Normal 9 8 3 3 4 3" xfId="36941" xr:uid="{00000000-0005-0000-0000-000068DF0000}"/>
    <cellStyle name="Normal 9 8 3 3 4 4" xfId="17805" xr:uid="{00000000-0005-0000-0000-000069DF0000}"/>
    <cellStyle name="Normal 9 8 3 3 5" xfId="43474" xr:uid="{00000000-0005-0000-0000-00006ADF0000}"/>
    <cellStyle name="Normal 9 8 3 3 6" xfId="27374" xr:uid="{00000000-0005-0000-0000-00006BDF0000}"/>
    <cellStyle name="Normal 9 8 3 3 7" xfId="14310" xr:uid="{00000000-0005-0000-0000-00006CDF0000}"/>
    <cellStyle name="Normal 9 8 3 4" xfId="7226" xr:uid="{00000000-0005-0000-0000-00006DDF0000}"/>
    <cellStyle name="Normal 9 8 3 4 2" xfId="38967" xr:uid="{00000000-0005-0000-0000-00006EDF0000}"/>
    <cellStyle name="Normal 9 8 3 4 2 2" xfId="55067" xr:uid="{00000000-0005-0000-0000-00006FDF0000}"/>
    <cellStyle name="Normal 9 8 3 4 3" xfId="45500" xr:uid="{00000000-0005-0000-0000-000070DF0000}"/>
    <cellStyle name="Normal 9 8 3 4 4" xfId="29400" xr:uid="{00000000-0005-0000-0000-000071DF0000}"/>
    <cellStyle name="Normal 9 8 3 4 5" xfId="19831" xr:uid="{00000000-0005-0000-0000-000072DF0000}"/>
    <cellStyle name="Normal 9 8 3 5" xfId="10262" xr:uid="{00000000-0005-0000-0000-000073DF0000}"/>
    <cellStyle name="Normal 9 8 3 5 2" xfId="48536" xr:uid="{00000000-0005-0000-0000-000074DF0000}"/>
    <cellStyle name="Normal 9 8 3 5 3" xfId="32436" xr:uid="{00000000-0005-0000-0000-000075DF0000}"/>
    <cellStyle name="Normal 9 8 3 5 4" xfId="22867" xr:uid="{00000000-0005-0000-0000-000076DF0000}"/>
    <cellStyle name="Normal 9 8 3 6" xfId="4190" xr:uid="{00000000-0005-0000-0000-000077DF0000}"/>
    <cellStyle name="Normal 9 8 3 6 2" xfId="52031" xr:uid="{00000000-0005-0000-0000-000078DF0000}"/>
    <cellStyle name="Normal 9 8 3 6 3" xfId="35931" xr:uid="{00000000-0005-0000-0000-000079DF0000}"/>
    <cellStyle name="Normal 9 8 3 6 4" xfId="16795" xr:uid="{00000000-0005-0000-0000-00007ADF0000}"/>
    <cellStyle name="Normal 9 8 3 7" xfId="42464" xr:uid="{00000000-0005-0000-0000-00007BDF0000}"/>
    <cellStyle name="Normal 9 8 3 8" xfId="26364" xr:uid="{00000000-0005-0000-0000-00007CDF0000}"/>
    <cellStyle name="Normal 9 8 3 9" xfId="13300" xr:uid="{00000000-0005-0000-0000-00007DDF0000}"/>
    <cellStyle name="Normal 9 8 4" xfId="2492" xr:uid="{00000000-0005-0000-0000-00007EDF0000}"/>
    <cellStyle name="Normal 9 8 4 2" xfId="9024" xr:uid="{00000000-0005-0000-0000-00007FDF0000}"/>
    <cellStyle name="Normal 9 8 4 2 2" xfId="40765" xr:uid="{00000000-0005-0000-0000-000080DF0000}"/>
    <cellStyle name="Normal 9 8 4 2 2 2" xfId="56865" xr:uid="{00000000-0005-0000-0000-000081DF0000}"/>
    <cellStyle name="Normal 9 8 4 2 3" xfId="47298" xr:uid="{00000000-0005-0000-0000-000082DF0000}"/>
    <cellStyle name="Normal 9 8 4 2 4" xfId="31198" xr:uid="{00000000-0005-0000-0000-000083DF0000}"/>
    <cellStyle name="Normal 9 8 4 2 5" xfId="21629" xr:uid="{00000000-0005-0000-0000-000084DF0000}"/>
    <cellStyle name="Normal 9 8 4 3" xfId="12060" xr:uid="{00000000-0005-0000-0000-000085DF0000}"/>
    <cellStyle name="Normal 9 8 4 3 2" xfId="50334" xr:uid="{00000000-0005-0000-0000-000086DF0000}"/>
    <cellStyle name="Normal 9 8 4 3 3" xfId="34234" xr:uid="{00000000-0005-0000-0000-000087DF0000}"/>
    <cellStyle name="Normal 9 8 4 3 4" xfId="24665" xr:uid="{00000000-0005-0000-0000-000088DF0000}"/>
    <cellStyle name="Normal 9 8 4 4" xfId="5988" xr:uid="{00000000-0005-0000-0000-000089DF0000}"/>
    <cellStyle name="Normal 9 8 4 4 2" xfId="53829" xr:uid="{00000000-0005-0000-0000-00008ADF0000}"/>
    <cellStyle name="Normal 9 8 4 4 3" xfId="37729" xr:uid="{00000000-0005-0000-0000-00008BDF0000}"/>
    <cellStyle name="Normal 9 8 4 4 4" xfId="18593" xr:uid="{00000000-0005-0000-0000-00008CDF0000}"/>
    <cellStyle name="Normal 9 8 4 5" xfId="44262" xr:uid="{00000000-0005-0000-0000-00008DDF0000}"/>
    <cellStyle name="Normal 9 8 4 6" xfId="28162" xr:uid="{00000000-0005-0000-0000-00008EDF0000}"/>
    <cellStyle name="Normal 9 8 4 7" xfId="15098" xr:uid="{00000000-0005-0000-0000-00008FDF0000}"/>
    <cellStyle name="Normal 9 8 5" xfId="1241" xr:uid="{00000000-0005-0000-0000-000090DF0000}"/>
    <cellStyle name="Normal 9 8 5 2" xfId="7775" xr:uid="{00000000-0005-0000-0000-000091DF0000}"/>
    <cellStyle name="Normal 9 8 5 2 2" xfId="39516" xr:uid="{00000000-0005-0000-0000-000092DF0000}"/>
    <cellStyle name="Normal 9 8 5 2 2 2" xfId="55616" xr:uid="{00000000-0005-0000-0000-000093DF0000}"/>
    <cellStyle name="Normal 9 8 5 2 3" xfId="46049" xr:uid="{00000000-0005-0000-0000-000094DF0000}"/>
    <cellStyle name="Normal 9 8 5 2 4" xfId="29949" xr:uid="{00000000-0005-0000-0000-000095DF0000}"/>
    <cellStyle name="Normal 9 8 5 2 5" xfId="20380" xr:uid="{00000000-0005-0000-0000-000096DF0000}"/>
    <cellStyle name="Normal 9 8 5 3" xfId="10811" xr:uid="{00000000-0005-0000-0000-000097DF0000}"/>
    <cellStyle name="Normal 9 8 5 3 2" xfId="49085" xr:uid="{00000000-0005-0000-0000-000098DF0000}"/>
    <cellStyle name="Normal 9 8 5 3 3" xfId="32985" xr:uid="{00000000-0005-0000-0000-000099DF0000}"/>
    <cellStyle name="Normal 9 8 5 3 4" xfId="23416" xr:uid="{00000000-0005-0000-0000-00009ADF0000}"/>
    <cellStyle name="Normal 9 8 5 4" xfId="4739" xr:uid="{00000000-0005-0000-0000-00009BDF0000}"/>
    <cellStyle name="Normal 9 8 5 4 2" xfId="52580" xr:uid="{00000000-0005-0000-0000-00009CDF0000}"/>
    <cellStyle name="Normal 9 8 5 4 3" xfId="36480" xr:uid="{00000000-0005-0000-0000-00009DDF0000}"/>
    <cellStyle name="Normal 9 8 5 4 4" xfId="17344" xr:uid="{00000000-0005-0000-0000-00009EDF0000}"/>
    <cellStyle name="Normal 9 8 5 5" xfId="43013" xr:uid="{00000000-0005-0000-0000-00009FDF0000}"/>
    <cellStyle name="Normal 9 8 5 6" xfId="26913" xr:uid="{00000000-0005-0000-0000-0000A0DF0000}"/>
    <cellStyle name="Normal 9 8 5 7" xfId="13849" xr:uid="{00000000-0005-0000-0000-0000A1DF0000}"/>
    <cellStyle name="Normal 9 8 6" xfId="3729" xr:uid="{00000000-0005-0000-0000-0000A2DF0000}"/>
    <cellStyle name="Normal 9 8 6 2" xfId="35470" xr:uid="{00000000-0005-0000-0000-0000A3DF0000}"/>
    <cellStyle name="Normal 9 8 6 2 2" xfId="51570" xr:uid="{00000000-0005-0000-0000-0000A4DF0000}"/>
    <cellStyle name="Normal 9 8 6 3" xfId="42003" xr:uid="{00000000-0005-0000-0000-0000A5DF0000}"/>
    <cellStyle name="Normal 9 8 6 4" xfId="25903" xr:uid="{00000000-0005-0000-0000-0000A6DF0000}"/>
    <cellStyle name="Normal 9 8 6 5" xfId="16334" xr:uid="{00000000-0005-0000-0000-0000A7DF0000}"/>
    <cellStyle name="Normal 9 8 7" xfId="6765" xr:uid="{00000000-0005-0000-0000-0000A8DF0000}"/>
    <cellStyle name="Normal 9 8 7 2" xfId="38506" xr:uid="{00000000-0005-0000-0000-0000A9DF0000}"/>
    <cellStyle name="Normal 9 8 7 2 2" xfId="54606" xr:uid="{00000000-0005-0000-0000-0000AADF0000}"/>
    <cellStyle name="Normal 9 8 7 3" xfId="45039" xr:uid="{00000000-0005-0000-0000-0000ABDF0000}"/>
    <cellStyle name="Normal 9 8 7 4" xfId="28939" xr:uid="{00000000-0005-0000-0000-0000ACDF0000}"/>
    <cellStyle name="Normal 9 8 7 5" xfId="19370" xr:uid="{00000000-0005-0000-0000-0000ADDF0000}"/>
    <cellStyle name="Normal 9 8 8" xfId="9801" xr:uid="{00000000-0005-0000-0000-0000AEDF0000}"/>
    <cellStyle name="Normal 9 8 8 2" xfId="48075" xr:uid="{00000000-0005-0000-0000-0000AFDF0000}"/>
    <cellStyle name="Normal 9 8 8 3" xfId="31975" xr:uid="{00000000-0005-0000-0000-0000B0DF0000}"/>
    <cellStyle name="Normal 9 8 8 4" xfId="22406" xr:uid="{00000000-0005-0000-0000-0000B1DF0000}"/>
    <cellStyle name="Normal 9 8 9" xfId="3269" xr:uid="{00000000-0005-0000-0000-0000B2DF0000}"/>
    <cellStyle name="Normal 9 8 9 2" xfId="51111" xr:uid="{00000000-0005-0000-0000-0000B3DF0000}"/>
    <cellStyle name="Normal 9 8 9 3" xfId="35011" xr:uid="{00000000-0005-0000-0000-0000B4DF0000}"/>
    <cellStyle name="Normal 9 8 9 4" xfId="15875" xr:uid="{00000000-0005-0000-0000-0000B5DF0000}"/>
    <cellStyle name="Normal 9 9" xfId="478" xr:uid="{00000000-0005-0000-0000-0000B6DF0000}"/>
    <cellStyle name="Normal 9 9 10" xfId="41561" xr:uid="{00000000-0005-0000-0000-0000B7DF0000}"/>
    <cellStyle name="Normal 9 9 11" xfId="25461" xr:uid="{00000000-0005-0000-0000-0000B8DF0000}"/>
    <cellStyle name="Normal 9 9 12" xfId="12856" xr:uid="{00000000-0005-0000-0000-0000B9DF0000}"/>
    <cellStyle name="Normal 9 9 2" xfId="931" xr:uid="{00000000-0005-0000-0000-0000BADF0000}"/>
    <cellStyle name="Normal 9 9 2 10" xfId="13539" xr:uid="{00000000-0005-0000-0000-0000BBDF0000}"/>
    <cellStyle name="Normal 9 9 2 2" xfId="2959" xr:uid="{00000000-0005-0000-0000-0000BCDF0000}"/>
    <cellStyle name="Normal 9 9 2 2 2" xfId="9491" xr:uid="{00000000-0005-0000-0000-0000BDDF0000}"/>
    <cellStyle name="Normal 9 9 2 2 2 2" xfId="41232" xr:uid="{00000000-0005-0000-0000-0000BEDF0000}"/>
    <cellStyle name="Normal 9 9 2 2 2 2 2" xfId="57332" xr:uid="{00000000-0005-0000-0000-0000BFDF0000}"/>
    <cellStyle name="Normal 9 9 2 2 2 3" xfId="47765" xr:uid="{00000000-0005-0000-0000-0000C0DF0000}"/>
    <cellStyle name="Normal 9 9 2 2 2 4" xfId="31665" xr:uid="{00000000-0005-0000-0000-0000C1DF0000}"/>
    <cellStyle name="Normal 9 9 2 2 2 5" xfId="22096" xr:uid="{00000000-0005-0000-0000-0000C2DF0000}"/>
    <cellStyle name="Normal 9 9 2 2 3" xfId="12527" xr:uid="{00000000-0005-0000-0000-0000C3DF0000}"/>
    <cellStyle name="Normal 9 9 2 2 3 2" xfId="50801" xr:uid="{00000000-0005-0000-0000-0000C4DF0000}"/>
    <cellStyle name="Normal 9 9 2 2 3 3" xfId="34701" xr:uid="{00000000-0005-0000-0000-0000C5DF0000}"/>
    <cellStyle name="Normal 9 9 2 2 3 4" xfId="25132" xr:uid="{00000000-0005-0000-0000-0000C6DF0000}"/>
    <cellStyle name="Normal 9 9 2 2 4" xfId="6455" xr:uid="{00000000-0005-0000-0000-0000C7DF0000}"/>
    <cellStyle name="Normal 9 9 2 2 4 2" xfId="54296" xr:uid="{00000000-0005-0000-0000-0000C8DF0000}"/>
    <cellStyle name="Normal 9 9 2 2 4 3" xfId="38196" xr:uid="{00000000-0005-0000-0000-0000C9DF0000}"/>
    <cellStyle name="Normal 9 9 2 2 4 4" xfId="19060" xr:uid="{00000000-0005-0000-0000-0000CADF0000}"/>
    <cellStyle name="Normal 9 9 2 2 5" xfId="44729" xr:uid="{00000000-0005-0000-0000-0000CBDF0000}"/>
    <cellStyle name="Normal 9 9 2 2 6" xfId="28629" xr:uid="{00000000-0005-0000-0000-0000CCDF0000}"/>
    <cellStyle name="Normal 9 9 2 2 7" xfId="15565" xr:uid="{00000000-0005-0000-0000-0000CDDF0000}"/>
    <cellStyle name="Normal 9 9 2 3" xfId="1941" xr:uid="{00000000-0005-0000-0000-0000CEDF0000}"/>
    <cellStyle name="Normal 9 9 2 3 2" xfId="8475" xr:uid="{00000000-0005-0000-0000-0000CFDF0000}"/>
    <cellStyle name="Normal 9 9 2 3 2 2" xfId="40216" xr:uid="{00000000-0005-0000-0000-0000D0DF0000}"/>
    <cellStyle name="Normal 9 9 2 3 2 2 2" xfId="56316" xr:uid="{00000000-0005-0000-0000-0000D1DF0000}"/>
    <cellStyle name="Normal 9 9 2 3 2 3" xfId="46749" xr:uid="{00000000-0005-0000-0000-0000D2DF0000}"/>
    <cellStyle name="Normal 9 9 2 3 2 4" xfId="30649" xr:uid="{00000000-0005-0000-0000-0000D3DF0000}"/>
    <cellStyle name="Normal 9 9 2 3 2 5" xfId="21080" xr:uid="{00000000-0005-0000-0000-0000D4DF0000}"/>
    <cellStyle name="Normal 9 9 2 3 3" xfId="11511" xr:uid="{00000000-0005-0000-0000-0000D5DF0000}"/>
    <cellStyle name="Normal 9 9 2 3 3 2" xfId="49785" xr:uid="{00000000-0005-0000-0000-0000D6DF0000}"/>
    <cellStyle name="Normal 9 9 2 3 3 3" xfId="33685" xr:uid="{00000000-0005-0000-0000-0000D7DF0000}"/>
    <cellStyle name="Normal 9 9 2 3 3 4" xfId="24116" xr:uid="{00000000-0005-0000-0000-0000D8DF0000}"/>
    <cellStyle name="Normal 9 9 2 3 4" xfId="5439" xr:uid="{00000000-0005-0000-0000-0000D9DF0000}"/>
    <cellStyle name="Normal 9 9 2 3 4 2" xfId="53280" xr:uid="{00000000-0005-0000-0000-0000DADF0000}"/>
    <cellStyle name="Normal 9 9 2 3 4 3" xfId="37180" xr:uid="{00000000-0005-0000-0000-0000DBDF0000}"/>
    <cellStyle name="Normal 9 9 2 3 4 4" xfId="18044" xr:uid="{00000000-0005-0000-0000-0000DCDF0000}"/>
    <cellStyle name="Normal 9 9 2 3 5" xfId="43713" xr:uid="{00000000-0005-0000-0000-0000DDDF0000}"/>
    <cellStyle name="Normal 9 9 2 3 6" xfId="27613" xr:uid="{00000000-0005-0000-0000-0000DEDF0000}"/>
    <cellStyle name="Normal 9 9 2 3 7" xfId="14549" xr:uid="{00000000-0005-0000-0000-0000DFDF0000}"/>
    <cellStyle name="Normal 9 9 2 4" xfId="4429" xr:uid="{00000000-0005-0000-0000-0000E0DF0000}"/>
    <cellStyle name="Normal 9 9 2 4 2" xfId="36170" xr:uid="{00000000-0005-0000-0000-0000E1DF0000}"/>
    <cellStyle name="Normal 9 9 2 4 2 2" xfId="52270" xr:uid="{00000000-0005-0000-0000-0000E2DF0000}"/>
    <cellStyle name="Normal 9 9 2 4 3" xfId="42703" xr:uid="{00000000-0005-0000-0000-0000E3DF0000}"/>
    <cellStyle name="Normal 9 9 2 4 4" xfId="26603" xr:uid="{00000000-0005-0000-0000-0000E4DF0000}"/>
    <cellStyle name="Normal 9 9 2 4 5" xfId="17034" xr:uid="{00000000-0005-0000-0000-0000E5DF0000}"/>
    <cellStyle name="Normal 9 9 2 5" xfId="7465" xr:uid="{00000000-0005-0000-0000-0000E6DF0000}"/>
    <cellStyle name="Normal 9 9 2 5 2" xfId="39206" xr:uid="{00000000-0005-0000-0000-0000E7DF0000}"/>
    <cellStyle name="Normal 9 9 2 5 2 2" xfId="55306" xr:uid="{00000000-0005-0000-0000-0000E8DF0000}"/>
    <cellStyle name="Normal 9 9 2 5 3" xfId="45739" xr:uid="{00000000-0005-0000-0000-0000E9DF0000}"/>
    <cellStyle name="Normal 9 9 2 5 4" xfId="29639" xr:uid="{00000000-0005-0000-0000-0000EADF0000}"/>
    <cellStyle name="Normal 9 9 2 5 5" xfId="20070" xr:uid="{00000000-0005-0000-0000-0000EBDF0000}"/>
    <cellStyle name="Normal 9 9 2 6" xfId="10501" xr:uid="{00000000-0005-0000-0000-0000ECDF0000}"/>
    <cellStyle name="Normal 9 9 2 6 2" xfId="48775" xr:uid="{00000000-0005-0000-0000-0000EDDF0000}"/>
    <cellStyle name="Normal 9 9 2 6 3" xfId="32675" xr:uid="{00000000-0005-0000-0000-0000EEDF0000}"/>
    <cellStyle name="Normal 9 9 2 6 4" xfId="23106" xr:uid="{00000000-0005-0000-0000-0000EFDF0000}"/>
    <cellStyle name="Normal 9 9 2 7" xfId="3524" xr:uid="{00000000-0005-0000-0000-0000F0DF0000}"/>
    <cellStyle name="Normal 9 9 2 7 2" xfId="51365" xr:uid="{00000000-0005-0000-0000-0000F1DF0000}"/>
    <cellStyle name="Normal 9 9 2 7 3" xfId="35265" xr:uid="{00000000-0005-0000-0000-0000F2DF0000}"/>
    <cellStyle name="Normal 9 9 2 7 4" xfId="16129" xr:uid="{00000000-0005-0000-0000-0000F3DF0000}"/>
    <cellStyle name="Normal 9 9 2 8" xfId="41798" xr:uid="{00000000-0005-0000-0000-0000F4DF0000}"/>
    <cellStyle name="Normal 9 9 2 9" xfId="25698" xr:uid="{00000000-0005-0000-0000-0000F5DF0000}"/>
    <cellStyle name="Normal 9 9 3" xfId="709" xr:uid="{00000000-0005-0000-0000-0000F6DF0000}"/>
    <cellStyle name="Normal 9 9 3 2" xfId="2737" xr:uid="{00000000-0005-0000-0000-0000F7DF0000}"/>
    <cellStyle name="Normal 9 9 3 2 2" xfId="9269" xr:uid="{00000000-0005-0000-0000-0000F8DF0000}"/>
    <cellStyle name="Normal 9 9 3 2 2 2" xfId="41010" xr:uid="{00000000-0005-0000-0000-0000F9DF0000}"/>
    <cellStyle name="Normal 9 9 3 2 2 2 2" xfId="57110" xr:uid="{00000000-0005-0000-0000-0000FADF0000}"/>
    <cellStyle name="Normal 9 9 3 2 2 3" xfId="47543" xr:uid="{00000000-0005-0000-0000-0000FBDF0000}"/>
    <cellStyle name="Normal 9 9 3 2 2 4" xfId="31443" xr:uid="{00000000-0005-0000-0000-0000FCDF0000}"/>
    <cellStyle name="Normal 9 9 3 2 2 5" xfId="21874" xr:uid="{00000000-0005-0000-0000-0000FDDF0000}"/>
    <cellStyle name="Normal 9 9 3 2 3" xfId="12305" xr:uid="{00000000-0005-0000-0000-0000FEDF0000}"/>
    <cellStyle name="Normal 9 9 3 2 3 2" xfId="50579" xr:uid="{00000000-0005-0000-0000-0000FFDF0000}"/>
    <cellStyle name="Normal 9 9 3 2 3 3" xfId="34479" xr:uid="{00000000-0005-0000-0000-000000E00000}"/>
    <cellStyle name="Normal 9 9 3 2 3 4" xfId="24910" xr:uid="{00000000-0005-0000-0000-000001E00000}"/>
    <cellStyle name="Normal 9 9 3 2 4" xfId="6233" xr:uid="{00000000-0005-0000-0000-000002E00000}"/>
    <cellStyle name="Normal 9 9 3 2 4 2" xfId="54074" xr:uid="{00000000-0005-0000-0000-000003E00000}"/>
    <cellStyle name="Normal 9 9 3 2 4 3" xfId="37974" xr:uid="{00000000-0005-0000-0000-000004E00000}"/>
    <cellStyle name="Normal 9 9 3 2 4 4" xfId="18838" xr:uid="{00000000-0005-0000-0000-000005E00000}"/>
    <cellStyle name="Normal 9 9 3 2 5" xfId="44507" xr:uid="{00000000-0005-0000-0000-000006E00000}"/>
    <cellStyle name="Normal 9 9 3 2 6" xfId="28407" xr:uid="{00000000-0005-0000-0000-000007E00000}"/>
    <cellStyle name="Normal 9 9 3 2 7" xfId="15343" xr:uid="{00000000-0005-0000-0000-000008E00000}"/>
    <cellStyle name="Normal 9 9 3 3" xfId="1719" xr:uid="{00000000-0005-0000-0000-000009E00000}"/>
    <cellStyle name="Normal 9 9 3 3 2" xfId="8253" xr:uid="{00000000-0005-0000-0000-00000AE00000}"/>
    <cellStyle name="Normal 9 9 3 3 2 2" xfId="39994" xr:uid="{00000000-0005-0000-0000-00000BE00000}"/>
    <cellStyle name="Normal 9 9 3 3 2 2 2" xfId="56094" xr:uid="{00000000-0005-0000-0000-00000CE00000}"/>
    <cellStyle name="Normal 9 9 3 3 2 3" xfId="46527" xr:uid="{00000000-0005-0000-0000-00000DE00000}"/>
    <cellStyle name="Normal 9 9 3 3 2 4" xfId="30427" xr:uid="{00000000-0005-0000-0000-00000EE00000}"/>
    <cellStyle name="Normal 9 9 3 3 2 5" xfId="20858" xr:uid="{00000000-0005-0000-0000-00000FE00000}"/>
    <cellStyle name="Normal 9 9 3 3 3" xfId="11289" xr:uid="{00000000-0005-0000-0000-000010E00000}"/>
    <cellStyle name="Normal 9 9 3 3 3 2" xfId="49563" xr:uid="{00000000-0005-0000-0000-000011E00000}"/>
    <cellStyle name="Normal 9 9 3 3 3 3" xfId="33463" xr:uid="{00000000-0005-0000-0000-000012E00000}"/>
    <cellStyle name="Normal 9 9 3 3 3 4" xfId="23894" xr:uid="{00000000-0005-0000-0000-000013E00000}"/>
    <cellStyle name="Normal 9 9 3 3 4" xfId="5217" xr:uid="{00000000-0005-0000-0000-000014E00000}"/>
    <cellStyle name="Normal 9 9 3 3 4 2" xfId="53058" xr:uid="{00000000-0005-0000-0000-000015E00000}"/>
    <cellStyle name="Normal 9 9 3 3 4 3" xfId="36958" xr:uid="{00000000-0005-0000-0000-000016E00000}"/>
    <cellStyle name="Normal 9 9 3 3 4 4" xfId="17822" xr:uid="{00000000-0005-0000-0000-000017E00000}"/>
    <cellStyle name="Normal 9 9 3 3 5" xfId="43491" xr:uid="{00000000-0005-0000-0000-000018E00000}"/>
    <cellStyle name="Normal 9 9 3 3 6" xfId="27391" xr:uid="{00000000-0005-0000-0000-000019E00000}"/>
    <cellStyle name="Normal 9 9 3 3 7" xfId="14327" xr:uid="{00000000-0005-0000-0000-00001AE00000}"/>
    <cellStyle name="Normal 9 9 3 4" xfId="7243" xr:uid="{00000000-0005-0000-0000-00001BE00000}"/>
    <cellStyle name="Normal 9 9 3 4 2" xfId="38984" xr:uid="{00000000-0005-0000-0000-00001CE00000}"/>
    <cellStyle name="Normal 9 9 3 4 2 2" xfId="55084" xr:uid="{00000000-0005-0000-0000-00001DE00000}"/>
    <cellStyle name="Normal 9 9 3 4 3" xfId="45517" xr:uid="{00000000-0005-0000-0000-00001EE00000}"/>
    <cellStyle name="Normal 9 9 3 4 4" xfId="29417" xr:uid="{00000000-0005-0000-0000-00001FE00000}"/>
    <cellStyle name="Normal 9 9 3 4 5" xfId="19848" xr:uid="{00000000-0005-0000-0000-000020E00000}"/>
    <cellStyle name="Normal 9 9 3 5" xfId="10279" xr:uid="{00000000-0005-0000-0000-000021E00000}"/>
    <cellStyle name="Normal 9 9 3 5 2" xfId="48553" xr:uid="{00000000-0005-0000-0000-000022E00000}"/>
    <cellStyle name="Normal 9 9 3 5 3" xfId="32453" xr:uid="{00000000-0005-0000-0000-000023E00000}"/>
    <cellStyle name="Normal 9 9 3 5 4" xfId="22884" xr:uid="{00000000-0005-0000-0000-000024E00000}"/>
    <cellStyle name="Normal 9 9 3 6" xfId="4207" xr:uid="{00000000-0005-0000-0000-000025E00000}"/>
    <cellStyle name="Normal 9 9 3 6 2" xfId="52048" xr:uid="{00000000-0005-0000-0000-000026E00000}"/>
    <cellStyle name="Normal 9 9 3 6 3" xfId="35948" xr:uid="{00000000-0005-0000-0000-000027E00000}"/>
    <cellStyle name="Normal 9 9 3 6 4" xfId="16812" xr:uid="{00000000-0005-0000-0000-000028E00000}"/>
    <cellStyle name="Normal 9 9 3 7" xfId="42481" xr:uid="{00000000-0005-0000-0000-000029E00000}"/>
    <cellStyle name="Normal 9 9 3 8" xfId="26381" xr:uid="{00000000-0005-0000-0000-00002AE00000}"/>
    <cellStyle name="Normal 9 9 3 9" xfId="13317" xr:uid="{00000000-0005-0000-0000-00002BE00000}"/>
    <cellStyle name="Normal 9 9 4" xfId="2509" xr:uid="{00000000-0005-0000-0000-00002CE00000}"/>
    <cellStyle name="Normal 9 9 4 2" xfId="9041" xr:uid="{00000000-0005-0000-0000-00002DE00000}"/>
    <cellStyle name="Normal 9 9 4 2 2" xfId="40782" xr:uid="{00000000-0005-0000-0000-00002EE00000}"/>
    <cellStyle name="Normal 9 9 4 2 2 2" xfId="56882" xr:uid="{00000000-0005-0000-0000-00002FE00000}"/>
    <cellStyle name="Normal 9 9 4 2 3" xfId="47315" xr:uid="{00000000-0005-0000-0000-000030E00000}"/>
    <cellStyle name="Normal 9 9 4 2 4" xfId="31215" xr:uid="{00000000-0005-0000-0000-000031E00000}"/>
    <cellStyle name="Normal 9 9 4 2 5" xfId="21646" xr:uid="{00000000-0005-0000-0000-000032E00000}"/>
    <cellStyle name="Normal 9 9 4 3" xfId="12077" xr:uid="{00000000-0005-0000-0000-000033E00000}"/>
    <cellStyle name="Normal 9 9 4 3 2" xfId="50351" xr:uid="{00000000-0005-0000-0000-000034E00000}"/>
    <cellStyle name="Normal 9 9 4 3 3" xfId="34251" xr:uid="{00000000-0005-0000-0000-000035E00000}"/>
    <cellStyle name="Normal 9 9 4 3 4" xfId="24682" xr:uid="{00000000-0005-0000-0000-000036E00000}"/>
    <cellStyle name="Normal 9 9 4 4" xfId="6005" xr:uid="{00000000-0005-0000-0000-000037E00000}"/>
    <cellStyle name="Normal 9 9 4 4 2" xfId="53846" xr:uid="{00000000-0005-0000-0000-000038E00000}"/>
    <cellStyle name="Normal 9 9 4 4 3" xfId="37746" xr:uid="{00000000-0005-0000-0000-000039E00000}"/>
    <cellStyle name="Normal 9 9 4 4 4" xfId="18610" xr:uid="{00000000-0005-0000-0000-00003AE00000}"/>
    <cellStyle name="Normal 9 9 4 5" xfId="44279" xr:uid="{00000000-0005-0000-0000-00003BE00000}"/>
    <cellStyle name="Normal 9 9 4 6" xfId="28179" xr:uid="{00000000-0005-0000-0000-00003CE00000}"/>
    <cellStyle name="Normal 9 9 4 7" xfId="15115" xr:uid="{00000000-0005-0000-0000-00003DE00000}"/>
    <cellStyle name="Normal 9 9 5" xfId="1258" xr:uid="{00000000-0005-0000-0000-00003EE00000}"/>
    <cellStyle name="Normal 9 9 5 2" xfId="7792" xr:uid="{00000000-0005-0000-0000-00003FE00000}"/>
    <cellStyle name="Normal 9 9 5 2 2" xfId="39533" xr:uid="{00000000-0005-0000-0000-000040E00000}"/>
    <cellStyle name="Normal 9 9 5 2 2 2" xfId="55633" xr:uid="{00000000-0005-0000-0000-000041E00000}"/>
    <cellStyle name="Normal 9 9 5 2 3" xfId="46066" xr:uid="{00000000-0005-0000-0000-000042E00000}"/>
    <cellStyle name="Normal 9 9 5 2 4" xfId="29966" xr:uid="{00000000-0005-0000-0000-000043E00000}"/>
    <cellStyle name="Normal 9 9 5 2 5" xfId="20397" xr:uid="{00000000-0005-0000-0000-000044E00000}"/>
    <cellStyle name="Normal 9 9 5 3" xfId="10828" xr:uid="{00000000-0005-0000-0000-000045E00000}"/>
    <cellStyle name="Normal 9 9 5 3 2" xfId="49102" xr:uid="{00000000-0005-0000-0000-000046E00000}"/>
    <cellStyle name="Normal 9 9 5 3 3" xfId="33002" xr:uid="{00000000-0005-0000-0000-000047E00000}"/>
    <cellStyle name="Normal 9 9 5 3 4" xfId="23433" xr:uid="{00000000-0005-0000-0000-000048E00000}"/>
    <cellStyle name="Normal 9 9 5 4" xfId="4756" xr:uid="{00000000-0005-0000-0000-000049E00000}"/>
    <cellStyle name="Normal 9 9 5 4 2" xfId="52597" xr:uid="{00000000-0005-0000-0000-00004AE00000}"/>
    <cellStyle name="Normal 9 9 5 4 3" xfId="36497" xr:uid="{00000000-0005-0000-0000-00004BE00000}"/>
    <cellStyle name="Normal 9 9 5 4 4" xfId="17361" xr:uid="{00000000-0005-0000-0000-00004CE00000}"/>
    <cellStyle name="Normal 9 9 5 5" xfId="43030" xr:uid="{00000000-0005-0000-0000-00004DE00000}"/>
    <cellStyle name="Normal 9 9 5 6" xfId="26930" xr:uid="{00000000-0005-0000-0000-00004EE00000}"/>
    <cellStyle name="Normal 9 9 5 7" xfId="13866" xr:uid="{00000000-0005-0000-0000-00004FE00000}"/>
    <cellStyle name="Normal 9 9 6" xfId="3746" xr:uid="{00000000-0005-0000-0000-000050E00000}"/>
    <cellStyle name="Normal 9 9 6 2" xfId="35487" xr:uid="{00000000-0005-0000-0000-000051E00000}"/>
    <cellStyle name="Normal 9 9 6 2 2" xfId="51587" xr:uid="{00000000-0005-0000-0000-000052E00000}"/>
    <cellStyle name="Normal 9 9 6 3" xfId="42020" xr:uid="{00000000-0005-0000-0000-000053E00000}"/>
    <cellStyle name="Normal 9 9 6 4" xfId="25920" xr:uid="{00000000-0005-0000-0000-000054E00000}"/>
    <cellStyle name="Normal 9 9 6 5" xfId="16351" xr:uid="{00000000-0005-0000-0000-000055E00000}"/>
    <cellStyle name="Normal 9 9 7" xfId="6782" xr:uid="{00000000-0005-0000-0000-000056E00000}"/>
    <cellStyle name="Normal 9 9 7 2" xfId="38523" xr:uid="{00000000-0005-0000-0000-000057E00000}"/>
    <cellStyle name="Normal 9 9 7 2 2" xfId="54623" xr:uid="{00000000-0005-0000-0000-000058E00000}"/>
    <cellStyle name="Normal 9 9 7 3" xfId="45056" xr:uid="{00000000-0005-0000-0000-000059E00000}"/>
    <cellStyle name="Normal 9 9 7 4" xfId="28956" xr:uid="{00000000-0005-0000-0000-00005AE00000}"/>
    <cellStyle name="Normal 9 9 7 5" xfId="19387" xr:uid="{00000000-0005-0000-0000-00005BE00000}"/>
    <cellStyle name="Normal 9 9 8" xfId="9818" xr:uid="{00000000-0005-0000-0000-00005CE00000}"/>
    <cellStyle name="Normal 9 9 8 2" xfId="48092" xr:uid="{00000000-0005-0000-0000-00005DE00000}"/>
    <cellStyle name="Normal 9 9 8 3" xfId="31992" xr:uid="{00000000-0005-0000-0000-00005EE00000}"/>
    <cellStyle name="Normal 9 9 8 4" xfId="22423" xr:uid="{00000000-0005-0000-0000-00005FE00000}"/>
    <cellStyle name="Normal 9 9 9" xfId="3286" xr:uid="{00000000-0005-0000-0000-000060E00000}"/>
    <cellStyle name="Normal 9 9 9 2" xfId="51128" xr:uid="{00000000-0005-0000-0000-000061E00000}"/>
    <cellStyle name="Normal 9 9 9 3" xfId="35028" xr:uid="{00000000-0005-0000-0000-000062E00000}"/>
    <cellStyle name="Normal 9 9 9 4" xfId="15892" xr:uid="{00000000-0005-0000-0000-000063E00000}"/>
    <cellStyle name="Normal_Sheet1" xfId="36" xr:uid="{00000000-0005-0000-0000-000064E00000}"/>
    <cellStyle name="Normal_Sheet1 (3)" xfId="7" xr:uid="{00000000-0005-0000-0000-000065E00000}"/>
    <cellStyle name="Normal_Sheet1 (3) 2" xfId="37" xr:uid="{00000000-0005-0000-0000-000066E00000}"/>
    <cellStyle name="Percent" xfId="1" builtinId="5"/>
    <cellStyle name="Percent 2" xfId="8" xr:uid="{00000000-0005-0000-0000-000068E00000}"/>
    <cellStyle name="Percent 3" xfId="33" xr:uid="{00000000-0005-0000-0000-000069E00000}"/>
    <cellStyle name="Percent 3 2" xfId="148" xr:uid="{00000000-0005-0000-0000-00006AE00000}"/>
    <cellStyle name="Percent 3 3" xfId="3304" xr:uid="{00000000-0005-0000-0000-00006BE00000}"/>
    <cellStyle name="Percent 3 3 2" xfId="51146" xr:uid="{00000000-0005-0000-0000-00006CE00000}"/>
    <cellStyle name="Percent 3 3 3" xfId="35046" xr:uid="{00000000-0005-0000-0000-00006DE00000}"/>
    <cellStyle name="Percent 3 3 4" xfId="15910" xr:uid="{00000000-0005-0000-0000-00006EE00000}"/>
    <cellStyle name="Percent 3 4" xfId="41579" xr:uid="{00000000-0005-0000-0000-00006FE00000}"/>
    <cellStyle name="Percent 3 5" xfId="25479" xr:uid="{00000000-0005-0000-0000-000070E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38100</xdr:rowOff>
    </xdr:from>
    <xdr:to>
      <xdr:col>1</xdr:col>
      <xdr:colOff>7305675</xdr:colOff>
      <xdr:row>23</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78355" y="2133600"/>
          <a:ext cx="7277100" cy="2156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baseline="0">
              <a:solidFill>
                <a:schemeClr val="dk1"/>
              </a:solidFill>
              <a:effectLst/>
              <a:latin typeface="+mn-lt"/>
              <a:ea typeface="+mn-ea"/>
              <a:cs typeface="+mn-cs"/>
            </a:rPr>
            <a:t>Purpose of Repository Database</a:t>
          </a:r>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The goal of this repository is to promote transparency and ease-of-access to DOE BETO supported public studies involving techno-economic analysis. As such, this database summarizes the economic and technical parameters associated with the modeled biorefinery processes for the production of biofuels and bioproducts, as presented in a range of published reports and papers. The database serves as a quick reference tool by documenting and referencing the results of techno-economic analyses from the national laboratories and in peer-reviewed journals.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analyses presented in this database may be distinguished in several regards, such as cost year, feedstock cost, and financial assumptions (tax rate, percent equity, project lifetime, etc.), and reflect details as they were provided in the original studies. Accordingly, the intent of this database is </a:t>
          </a:r>
          <a:r>
            <a:rPr lang="en-US" sz="1100" i="1">
              <a:solidFill>
                <a:schemeClr val="dk1"/>
              </a:solidFill>
              <a:effectLst/>
              <a:latin typeface="+mn-lt"/>
              <a:ea typeface="+mn-ea"/>
              <a:cs typeface="+mn-cs"/>
            </a:rPr>
            <a:t>not</a:t>
          </a:r>
          <a:r>
            <a:rPr lang="en-US" sz="1100">
              <a:solidFill>
                <a:schemeClr val="dk1"/>
              </a:solidFill>
              <a:effectLst/>
              <a:latin typeface="+mn-lt"/>
              <a:ea typeface="+mn-ea"/>
              <a:cs typeface="+mn-cs"/>
            </a:rPr>
            <a:t> to directly compare one technology pathway against another, and caution should be taken in interpreting the outputs as such.</a:t>
          </a:r>
        </a:p>
      </xdr:txBody>
    </xdr:sp>
    <xdr:clientData/>
  </xdr:twoCellAnchor>
  <xdr:twoCellAnchor>
    <xdr:from>
      <xdr:col>1</xdr:col>
      <xdr:colOff>0</xdr:colOff>
      <xdr:row>24</xdr:row>
      <xdr:rowOff>0</xdr:rowOff>
    </xdr:from>
    <xdr:to>
      <xdr:col>1</xdr:col>
      <xdr:colOff>7277100</xdr:colOff>
      <xdr:row>32</xdr:row>
      <xdr:rowOff>0</xdr:rowOff>
    </xdr:to>
    <xdr:sp macro="" textlink="">
      <xdr:nvSpPr>
        <xdr:cNvPr id="3" name="TextBox 2">
          <a:extLst>
            <a:ext uri="{FF2B5EF4-FFF2-40B4-BE49-F238E27FC236}">
              <a16:creationId xmlns:a16="http://schemas.microsoft.com/office/drawing/2014/main" id="{9C05E994-D3B2-4BCD-98E7-62FAA3D260BB}"/>
            </a:ext>
          </a:extLst>
        </xdr:cNvPr>
        <xdr:cNvSpPr txBox="1"/>
      </xdr:nvSpPr>
      <xdr:spPr>
        <a:xfrm>
          <a:off x="2049780" y="4472940"/>
          <a:ext cx="7277100" cy="1463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Funding</a:t>
          </a:r>
          <a:r>
            <a:rPr lang="en-US" sz="1100" b="1" i="0" baseline="0">
              <a:solidFill>
                <a:schemeClr val="dk1"/>
              </a:solidFill>
              <a:effectLst/>
              <a:latin typeface="+mn-lt"/>
              <a:ea typeface="+mn-ea"/>
              <a:cs typeface="+mn-cs"/>
            </a:rPr>
            <a:t> Acknowledgement: </a:t>
          </a:r>
          <a:r>
            <a:rPr lang="en-US" sz="1100">
              <a:solidFill>
                <a:schemeClr val="dk1"/>
              </a:solidFill>
              <a:effectLst/>
              <a:latin typeface="+mn-lt"/>
              <a:ea typeface="+mn-ea"/>
              <a:cs typeface="+mn-cs"/>
            </a:rPr>
            <a:t>This work was authored by the National Renewable Energy Laboratory, operated by Alliance for Sustainable Energy, LLC, for the U.S. Department of Energy (DOE) under Contract No. DE-AC36-08GO28308. Funding provided by  the U.S. Department of Energy Office of Energy Efficiency and Renewable Energy Bioenergy Technologies Office. The views expressed in the article do not necessarily represent the views of the DOE or the U.S. Government. The U.S. Government retains and the publisher, by accepting the article for publication, acknowledges that the U.S. Government retains a nonexclusive, paid-up, irrevocable, worldwide license to publish or reproduce the published form of this work, or allow others to do so, for U.S. Government purposes.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wang2/Desktop/Spreadsheets/BC_FY19SOT_m037cADONbBDO_pEHpBDOpLBURN_Final_T_Fi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wang2/Desktop/Spreadsheets/CULTIVATION2019v04-saline-SaltCost-SOT-HCSD-COMP-FAEVAP-40g-L-BASE-CASE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Acid"/>
      <sheetName val="Summary_BDO"/>
      <sheetName val="Cost Breakdown"/>
      <sheetName val="Operating Summaries"/>
      <sheetName val="LCI"/>
      <sheetName val="DCFROR"/>
      <sheetName val="OPEX"/>
      <sheetName val="CAPEX"/>
      <sheetName val="CATALYST"/>
      <sheetName val="S-L Sep"/>
      <sheetName val="Set-up"/>
      <sheetName val="aspen"/>
      <sheetName val="aspenqw"/>
      <sheetName val="INDICES"/>
    </sheetNames>
    <sheetDataSet>
      <sheetData sheetId="0" refreshError="1"/>
      <sheetData sheetId="1" refreshError="1"/>
      <sheetData sheetId="2" refreshError="1"/>
      <sheetData sheetId="3" refreshError="1"/>
      <sheetData sheetId="4" refreshError="1"/>
      <sheetData sheetId="5">
        <row r="4">
          <cell r="K4">
            <v>45441175.132281631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AspenData"/>
      <sheetName val="INDICES"/>
      <sheetName val="Summary"/>
      <sheetName val="Cost Breakdown"/>
      <sheetName val="DCFROR"/>
      <sheetName val="OPEX"/>
      <sheetName val="CB_DATA_"/>
      <sheetName val="CAPEX"/>
      <sheetName val="LCI"/>
    </sheetNames>
    <sheetDataSet>
      <sheetData sheetId="0">
        <row r="32">
          <cell r="S32" t="str">
            <v>AspenData!D8:F1200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opher.kinchin@nrel.gov"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pnl.gov/main/publications/external/technical_reports/PNNL-18284.pdf" TargetMode="External"/><Relationship Id="rId3" Type="http://schemas.openxmlformats.org/officeDocument/2006/relationships/hyperlink" Target="http://www.sciencedirect.com/science/article/pii/S0960852412006293" TargetMode="External"/><Relationship Id="rId7" Type="http://schemas.openxmlformats.org/officeDocument/2006/relationships/hyperlink" Target="http://www.nrel.gov/docs/fy12osti/55431.pdf" TargetMode="External"/><Relationship Id="rId12" Type="http://schemas.openxmlformats.org/officeDocument/2006/relationships/comments" Target="../comments7.xml"/><Relationship Id="rId2" Type="http://schemas.openxmlformats.org/officeDocument/2006/relationships/hyperlink" Target="http://www.nrel.gov/docs/fy11osti/47594.pdf" TargetMode="External"/><Relationship Id="rId1" Type="http://schemas.openxmlformats.org/officeDocument/2006/relationships/hyperlink" Target="http://www.nrel.gov/docs/fy11osti/47594.pdf" TargetMode="External"/><Relationship Id="rId6" Type="http://schemas.openxmlformats.org/officeDocument/2006/relationships/hyperlink" Target="http://www.osti.gov/scitech/biblio/1059031" TargetMode="External"/><Relationship Id="rId11" Type="http://schemas.openxmlformats.org/officeDocument/2006/relationships/vmlDrawing" Target="../drawings/vmlDrawing7.vml"/><Relationship Id="rId5" Type="http://schemas.openxmlformats.org/officeDocument/2006/relationships/hyperlink" Target="http://www.sciencedirect.com/science/article/pii/S0016236110003741" TargetMode="External"/><Relationship Id="rId10" Type="http://schemas.openxmlformats.org/officeDocument/2006/relationships/printerSettings" Target="../printerSettings/printerSettings10.bin"/><Relationship Id="rId4" Type="http://schemas.openxmlformats.org/officeDocument/2006/relationships/hyperlink" Target="http://www.sciencedirect.com/science/article/pii/S0306261914002840" TargetMode="External"/><Relationship Id="rId9" Type="http://schemas.openxmlformats.org/officeDocument/2006/relationships/hyperlink" Target="https://onlinelibrary.wiley.com/doi/abs/10.1002/bbb.17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pubs.rsc.org/en/content/articlelanding/2018/gc/c8gc01257a" TargetMode="External"/><Relationship Id="rId13" Type="http://schemas.openxmlformats.org/officeDocument/2006/relationships/printerSettings" Target="../printerSettings/printerSettings4.bin"/><Relationship Id="rId3" Type="http://schemas.openxmlformats.org/officeDocument/2006/relationships/hyperlink" Target="http://www.sciencedirect.com/science/article/pii/S0960852412006293" TargetMode="External"/><Relationship Id="rId7" Type="http://schemas.openxmlformats.org/officeDocument/2006/relationships/hyperlink" Target="http://www.pnl.gov/main/publications/external/technical_reports/PNNL-18481.pdf" TargetMode="External"/><Relationship Id="rId12" Type="http://schemas.openxmlformats.org/officeDocument/2006/relationships/hyperlink" Target="http://www.pnl.gov/main/publications/external/technical_reports/PNNL-18481.pdf" TargetMode="External"/><Relationship Id="rId2" Type="http://schemas.openxmlformats.org/officeDocument/2006/relationships/hyperlink" Target="http://www.sciencedirect.com/science/article/pii/S0960852412006293" TargetMode="External"/><Relationship Id="rId1" Type="http://schemas.openxmlformats.org/officeDocument/2006/relationships/hyperlink" Target="http://www.nrel.gov/docs/fy11osti/47594.pdf" TargetMode="External"/><Relationship Id="rId6" Type="http://schemas.openxmlformats.org/officeDocument/2006/relationships/hyperlink" Target="http://www.sciencedirect.com/science/article/pii/S0016236110003741" TargetMode="External"/><Relationship Id="rId11" Type="http://schemas.openxmlformats.org/officeDocument/2006/relationships/hyperlink" Target="https://onlinelibrary.wiley.com/doi/abs/10.1002/bbb.1710" TargetMode="External"/><Relationship Id="rId5" Type="http://schemas.openxmlformats.org/officeDocument/2006/relationships/hyperlink" Target="http://www.sciencedirect.com/science/article/pii/S0016236110003741" TargetMode="External"/><Relationship Id="rId15" Type="http://schemas.openxmlformats.org/officeDocument/2006/relationships/comments" Target="../comments1.xml"/><Relationship Id="rId10" Type="http://schemas.openxmlformats.org/officeDocument/2006/relationships/hyperlink" Target="https://www.nrel.gov/docs/fy19osti/71957.pdf" TargetMode="External"/><Relationship Id="rId4" Type="http://schemas.openxmlformats.org/officeDocument/2006/relationships/hyperlink" Target="http://www.sciencedirect.com/science/article/pii/S0960852412006293" TargetMode="External"/><Relationship Id="rId9" Type="http://schemas.openxmlformats.org/officeDocument/2006/relationships/hyperlink" Target="https://onlinelibrary.wiley.com/doi/abs/10.1002/bbb.1710" TargetMode="External"/><Relationship Id="rId1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nrel.gov/docs/fy20osti/76269.pdf" TargetMode="External"/><Relationship Id="rId3" Type="http://schemas.openxmlformats.org/officeDocument/2006/relationships/hyperlink" Target="http://www.osti.gov/scitech/biblio/1059031" TargetMode="External"/><Relationship Id="rId7" Type="http://schemas.openxmlformats.org/officeDocument/2006/relationships/hyperlink" Target="https://www.nrel.gov/docs/fy20osti/76269.pdf" TargetMode="External"/><Relationship Id="rId12" Type="http://schemas.openxmlformats.org/officeDocument/2006/relationships/comments" Target="../comments2.xml"/><Relationship Id="rId2" Type="http://schemas.openxmlformats.org/officeDocument/2006/relationships/hyperlink" Target="https://www.nrel.gov/docs/fy19osti/71954.pdf" TargetMode="External"/><Relationship Id="rId1" Type="http://schemas.openxmlformats.org/officeDocument/2006/relationships/hyperlink" Target="http://www.pnnl.gov/main/publications/external/technical_reports/PNNL-23053.pdf" TargetMode="External"/><Relationship Id="rId6" Type="http://schemas.openxmlformats.org/officeDocument/2006/relationships/hyperlink" Target="https://www.nrel.gov/docs/fy15osti/62455.pdf" TargetMode="External"/><Relationship Id="rId11" Type="http://schemas.openxmlformats.org/officeDocument/2006/relationships/vmlDrawing" Target="../drawings/vmlDrawing2.vml"/><Relationship Id="rId5" Type="http://schemas.openxmlformats.org/officeDocument/2006/relationships/hyperlink" Target="https://www.nrel.gov/docs/fy15osti/62455.pdf" TargetMode="External"/><Relationship Id="rId10" Type="http://schemas.openxmlformats.org/officeDocument/2006/relationships/printerSettings" Target="../printerSettings/printerSettings5.bin"/><Relationship Id="rId4" Type="http://schemas.openxmlformats.org/officeDocument/2006/relationships/hyperlink" Target="https://www.nrel.gov/docs/fy19osti/71954.pdf" TargetMode="External"/><Relationship Id="rId9" Type="http://schemas.openxmlformats.org/officeDocument/2006/relationships/hyperlink" Target="http://www.sciencedirect.com/science/article/pii/S001623611000376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nrel.gov/docs/fy20osti/76567.pdf" TargetMode="External"/><Relationship Id="rId13" Type="http://schemas.openxmlformats.org/officeDocument/2006/relationships/comments" Target="../comments3.xml"/><Relationship Id="rId3" Type="http://schemas.openxmlformats.org/officeDocument/2006/relationships/hyperlink" Target="https://www.nrel.gov/docs/fy19osti/71949.pdf" TargetMode="External"/><Relationship Id="rId7" Type="http://schemas.openxmlformats.org/officeDocument/2006/relationships/hyperlink" Target="https://www.nrel.gov/docs/fy20osti/76567.pdf" TargetMode="External"/><Relationship Id="rId12" Type="http://schemas.openxmlformats.org/officeDocument/2006/relationships/vmlDrawing" Target="../drawings/vmlDrawing3.vml"/><Relationship Id="rId2" Type="http://schemas.openxmlformats.org/officeDocument/2006/relationships/hyperlink" Target="http://pubs.rsc.org/en/content/articlepdf/2017/gc/c6gc02800d" TargetMode="External"/><Relationship Id="rId1" Type="http://schemas.openxmlformats.org/officeDocument/2006/relationships/hyperlink" Target="https://www.nrel.gov/docs/fy15osti/62498.pdf" TargetMode="External"/><Relationship Id="rId6" Type="http://schemas.openxmlformats.org/officeDocument/2006/relationships/hyperlink" Target="https://pubs.acs.org/doi/10.1021/acssuschemeng.6b00243" TargetMode="External"/><Relationship Id="rId11" Type="http://schemas.openxmlformats.org/officeDocument/2006/relationships/printerSettings" Target="../printerSettings/printerSettings6.bin"/><Relationship Id="rId5" Type="http://schemas.openxmlformats.org/officeDocument/2006/relationships/hyperlink" Target="http://www.nrel.gov/docs/fy14osti/60223.pdf" TargetMode="External"/><Relationship Id="rId10" Type="http://schemas.openxmlformats.org/officeDocument/2006/relationships/hyperlink" Target="https://www.nrel.gov/docs/fy20osti/76567.pdf" TargetMode="External"/><Relationship Id="rId4" Type="http://schemas.openxmlformats.org/officeDocument/2006/relationships/hyperlink" Target="https://www.nrel.gov/docs/fy19osti/71949.pdf" TargetMode="External"/><Relationship Id="rId9" Type="http://schemas.openxmlformats.org/officeDocument/2006/relationships/hyperlink" Target="https://www.nrel.gov/docs/fy20osti/76567.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biotechnologyforbiofuels.biomedcentral.com/articles/10.1186/s13068-017-0945-3" TargetMode="External"/><Relationship Id="rId2" Type="http://schemas.openxmlformats.org/officeDocument/2006/relationships/hyperlink" Target="https://www.nrel.gov/docs/fy15osti/62498.pdf" TargetMode="External"/><Relationship Id="rId1" Type="http://schemas.openxmlformats.org/officeDocument/2006/relationships/hyperlink" Target="http://pubs.rsc.org/en/content/articlepdf/2017/gc/c6gc02800d"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pnnl.gov/main/publications/external/technical_reports/PNNL-27186.pdf" TargetMode="External"/><Relationship Id="rId2" Type="http://schemas.openxmlformats.org/officeDocument/2006/relationships/hyperlink" Target="http://www.sciencedirect.com/science/article/pii/S0306261914002840" TargetMode="External"/><Relationship Id="rId1" Type="http://schemas.openxmlformats.org/officeDocument/2006/relationships/hyperlink" Target="http://www.sciencedirect.com/science/article/pii/S0306261914002840"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www.nrel.gov/docs/fy16osti/64772.pdf" TargetMode="External"/><Relationship Id="rId7" Type="http://schemas.openxmlformats.org/officeDocument/2006/relationships/vmlDrawing" Target="../drawings/vmlDrawing6.vml"/><Relationship Id="rId2" Type="http://schemas.openxmlformats.org/officeDocument/2006/relationships/hyperlink" Target="http://www.nrel.gov/docs/fy12osti/55431.pdf" TargetMode="External"/><Relationship Id="rId1" Type="http://schemas.openxmlformats.org/officeDocument/2006/relationships/hyperlink" Target="http://energy.gov/sites/prod/files/2014/05/f15/pnnl_whole_algae_liquefaction.pdf" TargetMode="External"/><Relationship Id="rId6" Type="http://schemas.openxmlformats.org/officeDocument/2006/relationships/printerSettings" Target="../printerSettings/printerSettings9.bin"/><Relationship Id="rId5" Type="http://schemas.openxmlformats.org/officeDocument/2006/relationships/hyperlink" Target="https://www.nrel.gov/docs/fy20osti/76568.pdf" TargetMode="External"/><Relationship Id="rId4" Type="http://schemas.openxmlformats.org/officeDocument/2006/relationships/hyperlink" Target="https://www.nrel.gov/docs/fy20osti/765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workbookViewId="0">
      <selection activeCell="D25" sqref="D25"/>
    </sheetView>
  </sheetViews>
  <sheetFormatPr defaultRowHeight="14.5" x14ac:dyDescent="0.35"/>
  <cols>
    <col min="1" max="1" width="29.81640625" customWidth="1"/>
    <col min="2" max="2" width="111.26953125" customWidth="1"/>
  </cols>
  <sheetData>
    <row r="1" spans="1:2" ht="21" x14ac:dyDescent="0.5">
      <c r="B1" s="175" t="s">
        <v>537</v>
      </c>
    </row>
    <row r="4" spans="1:2" x14ac:dyDescent="0.35">
      <c r="A4" s="171" t="s">
        <v>309</v>
      </c>
      <c r="B4" s="172" t="s">
        <v>545</v>
      </c>
    </row>
    <row r="5" spans="1:2" x14ac:dyDescent="0.35">
      <c r="A5" s="171" t="s">
        <v>317</v>
      </c>
      <c r="B5" s="172" t="s">
        <v>315</v>
      </c>
    </row>
    <row r="6" spans="1:2" x14ac:dyDescent="0.35">
      <c r="A6" s="171" t="s">
        <v>310</v>
      </c>
      <c r="B6" s="172"/>
    </row>
    <row r="7" spans="1:2" x14ac:dyDescent="0.35">
      <c r="A7" s="171" t="s">
        <v>311</v>
      </c>
      <c r="B7" s="173" t="s">
        <v>316</v>
      </c>
    </row>
    <row r="8" spans="1:2" x14ac:dyDescent="0.35">
      <c r="A8" s="171" t="s">
        <v>312</v>
      </c>
      <c r="B8" s="172" t="s">
        <v>313</v>
      </c>
    </row>
    <row r="9" spans="1:2" x14ac:dyDescent="0.35">
      <c r="A9" s="171" t="s">
        <v>415</v>
      </c>
      <c r="B9" s="174">
        <v>44228</v>
      </c>
    </row>
    <row r="10" spans="1:2" x14ac:dyDescent="0.35">
      <c r="A10" s="171" t="s">
        <v>314</v>
      </c>
      <c r="B10" s="173"/>
    </row>
  </sheetData>
  <hyperlinks>
    <hyperlink ref="B7" r:id="rId1"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602"/>
  <sheetViews>
    <sheetView zoomScaleNormal="100" workbookViewId="0">
      <selection activeCell="B494" sqref="B494"/>
    </sheetView>
  </sheetViews>
  <sheetFormatPr defaultRowHeight="14.5" x14ac:dyDescent="0.35"/>
  <cols>
    <col min="1" max="1" width="53.7265625" style="1" customWidth="1"/>
    <col min="2" max="2" width="26.7265625" style="6" customWidth="1"/>
    <col min="3" max="3" width="22.54296875" style="56" customWidth="1"/>
    <col min="4" max="4" width="21.1796875" style="56" customWidth="1"/>
    <col min="5" max="5" width="19.1796875" customWidth="1"/>
    <col min="6" max="6" width="21.1796875" customWidth="1"/>
    <col min="7" max="7" width="17.7265625" customWidth="1"/>
    <col min="8" max="8" width="26.26953125" customWidth="1"/>
    <col min="9" max="9" width="20.81640625" customWidth="1"/>
    <col min="10" max="10" width="24.1796875" customWidth="1"/>
  </cols>
  <sheetData>
    <row r="1" spans="1:2" ht="15" customHeight="1" x14ac:dyDescent="0.45">
      <c r="A1" s="166" t="s">
        <v>301</v>
      </c>
    </row>
    <row r="2" spans="1:2" ht="15" customHeight="1" x14ac:dyDescent="0.35"/>
    <row r="3" spans="1:2" ht="15" customHeight="1" x14ac:dyDescent="0.35">
      <c r="A3" s="278" t="s">
        <v>22</v>
      </c>
    </row>
    <row r="4" spans="1:2" ht="15" customHeight="1" x14ac:dyDescent="0.35"/>
    <row r="5" spans="1:2" ht="33.75" customHeight="1" x14ac:dyDescent="0.35">
      <c r="A5" s="273" t="s">
        <v>712</v>
      </c>
    </row>
    <row r="6" spans="1:2" ht="15" customHeight="1" x14ac:dyDescent="0.35">
      <c r="A6" s="13" t="s">
        <v>266</v>
      </c>
    </row>
    <row r="7" spans="1:2" ht="15" customHeight="1" x14ac:dyDescent="0.35">
      <c r="A7" s="7">
        <v>2009</v>
      </c>
    </row>
    <row r="8" spans="1:2" ht="15" customHeight="1" x14ac:dyDescent="0.35">
      <c r="A8" s="143" t="s">
        <v>267</v>
      </c>
    </row>
    <row r="9" spans="1:2" ht="15" customHeight="1" x14ac:dyDescent="0.35"/>
    <row r="10" spans="1:2" ht="15" customHeight="1" x14ac:dyDescent="0.35">
      <c r="A10" s="132" t="s">
        <v>268</v>
      </c>
      <c r="B10" s="92">
        <v>2.06</v>
      </c>
    </row>
    <row r="11" spans="1:2" ht="15" customHeight="1" x14ac:dyDescent="0.35">
      <c r="A11" s="5" t="s">
        <v>382</v>
      </c>
      <c r="B11" s="16">
        <v>116090</v>
      </c>
    </row>
    <row r="12" spans="1:2" ht="15" customHeight="1" x14ac:dyDescent="0.35">
      <c r="A12" s="5" t="s">
        <v>713</v>
      </c>
      <c r="B12" s="16">
        <v>128450</v>
      </c>
    </row>
    <row r="13" spans="1:2" ht="15" customHeight="1" x14ac:dyDescent="0.35">
      <c r="A13" s="132" t="s">
        <v>74</v>
      </c>
      <c r="B13" s="156">
        <f>B10*B11/B12</f>
        <v>1.8617781237835733</v>
      </c>
    </row>
    <row r="14" spans="1:2" ht="15" customHeight="1" x14ac:dyDescent="0.35"/>
    <row r="15" spans="1:2" ht="15" customHeight="1" x14ac:dyDescent="0.35">
      <c r="A15" s="132" t="s">
        <v>48</v>
      </c>
      <c r="B15" s="130">
        <f>B13/(B11/1000000)</f>
        <v>16.037368625924483</v>
      </c>
    </row>
    <row r="16" spans="1:2" ht="15" customHeight="1" x14ac:dyDescent="0.35">
      <c r="A16" s="132"/>
      <c r="B16" s="131"/>
    </row>
    <row r="17" spans="1:8" ht="15" customHeight="1" x14ac:dyDescent="0.35">
      <c r="A17" s="132" t="s">
        <v>269</v>
      </c>
      <c r="B17" s="149">
        <v>33.4</v>
      </c>
    </row>
    <row r="18" spans="1:8" ht="15" customHeight="1" x14ac:dyDescent="0.35">
      <c r="A18" s="132" t="s">
        <v>248</v>
      </c>
      <c r="B18" s="100">
        <f>B17*B12/B11</f>
        <v>36.956068567490739</v>
      </c>
    </row>
    <row r="19" spans="1:8" ht="15" customHeight="1" x14ac:dyDescent="0.35">
      <c r="A19" s="5" t="s">
        <v>47</v>
      </c>
      <c r="B19" s="16">
        <f>B18*B11</f>
        <v>4290230</v>
      </c>
    </row>
    <row r="20" spans="1:8" ht="15" customHeight="1" x14ac:dyDescent="0.35"/>
    <row r="21" spans="1:8" ht="15" customHeight="1" x14ac:dyDescent="0.35">
      <c r="A21" s="5" t="s">
        <v>270</v>
      </c>
      <c r="B21" s="6">
        <v>43.3</v>
      </c>
    </row>
    <row r="22" spans="1:8" ht="15" customHeight="1" x14ac:dyDescent="0.35">
      <c r="A22" s="5" t="s">
        <v>77</v>
      </c>
      <c r="B22" s="100">
        <f>B21*B12/B11</f>
        <v>47.910112843483503</v>
      </c>
    </row>
    <row r="23" spans="1:8" ht="15" customHeight="1" x14ac:dyDescent="0.35"/>
    <row r="24" spans="1:8" ht="15" customHeight="1" x14ac:dyDescent="0.35"/>
    <row r="25" spans="1:8" ht="15" customHeight="1" x14ac:dyDescent="0.35"/>
    <row r="26" spans="1:8" ht="45.75" customHeight="1" x14ac:dyDescent="0.35">
      <c r="A26" s="272" t="s">
        <v>714</v>
      </c>
    </row>
    <row r="27" spans="1:8" ht="15" customHeight="1" x14ac:dyDescent="0.35">
      <c r="A27" s="6" t="s">
        <v>171</v>
      </c>
    </row>
    <row r="28" spans="1:8" ht="15" customHeight="1" x14ac:dyDescent="0.35">
      <c r="A28" s="7">
        <v>2009</v>
      </c>
    </row>
    <row r="29" spans="1:8" ht="15" customHeight="1" x14ac:dyDescent="0.35">
      <c r="A29" s="8" t="s">
        <v>7</v>
      </c>
      <c r="B29" s="67" t="s">
        <v>219</v>
      </c>
      <c r="F29" s="67" t="s">
        <v>183</v>
      </c>
    </row>
    <row r="30" spans="1:8" ht="15" customHeight="1" x14ac:dyDescent="0.35"/>
    <row r="31" spans="1:8" ht="15" customHeight="1" x14ac:dyDescent="0.35"/>
    <row r="32" spans="1:8" ht="15" customHeight="1" x14ac:dyDescent="0.35">
      <c r="A32" s="1" t="s">
        <v>715</v>
      </c>
      <c r="B32" s="96">
        <v>60</v>
      </c>
      <c r="C32" s="96">
        <v>60</v>
      </c>
      <c r="F32" s="96">
        <v>60</v>
      </c>
      <c r="G32" s="56"/>
      <c r="H32" s="56"/>
    </row>
    <row r="33" spans="1:8" ht="15" customHeight="1" x14ac:dyDescent="0.35">
      <c r="A33" s="1" t="s">
        <v>172</v>
      </c>
      <c r="B33" s="6">
        <v>2000</v>
      </c>
      <c r="C33" s="156">
        <f>C32/0.907</f>
        <v>66.152149944873202</v>
      </c>
      <c r="F33" s="6">
        <v>2000</v>
      </c>
      <c r="G33" s="56"/>
      <c r="H33" s="56"/>
    </row>
    <row r="34" spans="1:8" ht="15" customHeight="1" x14ac:dyDescent="0.35">
      <c r="A34" s="1" t="s">
        <v>173</v>
      </c>
      <c r="B34" s="6">
        <v>2204</v>
      </c>
      <c r="C34" s="6">
        <v>2204</v>
      </c>
      <c r="F34" s="6">
        <v>2204</v>
      </c>
      <c r="G34" s="56"/>
      <c r="H34" s="56"/>
    </row>
    <row r="35" spans="1:8" ht="15" customHeight="1" x14ac:dyDescent="0.35">
      <c r="A35" s="1" t="s">
        <v>716</v>
      </c>
      <c r="B35" s="96">
        <f>B32*B34</f>
        <v>132240</v>
      </c>
      <c r="C35" s="96">
        <f>C32*C34</f>
        <v>132240</v>
      </c>
      <c r="F35" s="96">
        <f>F32*F34</f>
        <v>132240</v>
      </c>
      <c r="G35" s="56"/>
      <c r="H35" s="56"/>
    </row>
    <row r="36" spans="1:8" ht="15" customHeight="1" x14ac:dyDescent="0.35">
      <c r="A36" s="1" t="s">
        <v>717</v>
      </c>
      <c r="B36" s="96">
        <f>B35*365.25</f>
        <v>48300660</v>
      </c>
      <c r="C36" s="96">
        <f>C35*365.25</f>
        <v>48300660</v>
      </c>
      <c r="F36" s="96">
        <f>F35*365.25</f>
        <v>48300660</v>
      </c>
      <c r="G36" s="56"/>
      <c r="H36" s="56"/>
    </row>
    <row r="37" spans="1:8" ht="15" customHeight="1" x14ac:dyDescent="0.35">
      <c r="A37" s="1" t="s">
        <v>718</v>
      </c>
      <c r="B37" s="99">
        <v>0.9</v>
      </c>
      <c r="C37" s="99">
        <v>0.9</v>
      </c>
      <c r="F37" s="99">
        <v>0.9</v>
      </c>
      <c r="G37" s="56"/>
      <c r="H37" s="56"/>
    </row>
    <row r="38" spans="1:8" ht="15" customHeight="1" x14ac:dyDescent="0.35">
      <c r="A38" s="1" t="s">
        <v>643</v>
      </c>
      <c r="B38" s="100">
        <f>365.25*B37</f>
        <v>328.72500000000002</v>
      </c>
      <c r="C38" s="100">
        <f>365.25*C37</f>
        <v>328.72500000000002</v>
      </c>
      <c r="F38" s="100">
        <f>365.25*F37</f>
        <v>328.72500000000002</v>
      </c>
      <c r="G38" s="56"/>
      <c r="H38" s="56"/>
    </row>
    <row r="39" spans="1:8" ht="15" customHeight="1" x14ac:dyDescent="0.35">
      <c r="A39" s="1" t="s">
        <v>719</v>
      </c>
      <c r="B39" s="96">
        <f>B35*B38</f>
        <v>43470594</v>
      </c>
      <c r="C39" s="96">
        <f>C35*C38</f>
        <v>43470594</v>
      </c>
      <c r="F39" s="96">
        <f>F35*F38</f>
        <v>43470594</v>
      </c>
      <c r="G39" s="56"/>
      <c r="H39" s="56"/>
    </row>
    <row r="40" spans="1:8" ht="15" customHeight="1" x14ac:dyDescent="0.35">
      <c r="F40" s="6"/>
      <c r="G40" s="56"/>
      <c r="H40" s="56"/>
    </row>
    <row r="41" spans="1:8" ht="15" customHeight="1" x14ac:dyDescent="0.35">
      <c r="B41" s="56"/>
      <c r="C41" s="56" t="s">
        <v>179</v>
      </c>
      <c r="D41" s="56" t="s">
        <v>179</v>
      </c>
      <c r="F41" s="56"/>
      <c r="G41" s="56" t="s">
        <v>179</v>
      </c>
      <c r="H41" s="56" t="s">
        <v>179</v>
      </c>
    </row>
    <row r="42" spans="1:8" ht="15" customHeight="1" x14ac:dyDescent="0.35">
      <c r="A42" s="97" t="s">
        <v>182</v>
      </c>
      <c r="B42" s="56" t="s">
        <v>174</v>
      </c>
      <c r="C42" s="56" t="s">
        <v>180</v>
      </c>
      <c r="D42" s="56" t="s">
        <v>181</v>
      </c>
      <c r="F42" s="56" t="s">
        <v>174</v>
      </c>
      <c r="G42" s="56" t="s">
        <v>180</v>
      </c>
      <c r="H42" s="56" t="s">
        <v>181</v>
      </c>
    </row>
    <row r="43" spans="1:8" ht="15" customHeight="1" x14ac:dyDescent="0.35">
      <c r="A43" s="1" t="s">
        <v>175</v>
      </c>
      <c r="B43" s="68">
        <v>0.34</v>
      </c>
      <c r="C43" s="102">
        <f>B39</f>
        <v>43470594</v>
      </c>
      <c r="D43" s="101">
        <f>B36</f>
        <v>48300660</v>
      </c>
      <c r="F43" s="68">
        <v>0.28999999999999998</v>
      </c>
      <c r="G43" s="102">
        <f>F39</f>
        <v>43470594</v>
      </c>
      <c r="H43" s="101">
        <f>F36</f>
        <v>48300660</v>
      </c>
    </row>
    <row r="44" spans="1:8" ht="15" customHeight="1" x14ac:dyDescent="0.35">
      <c r="A44" s="1" t="s">
        <v>62</v>
      </c>
      <c r="B44" s="68">
        <v>0</v>
      </c>
      <c r="C44" s="102">
        <f t="shared" ref="C44:C52" si="0">B44*$C$53</f>
        <v>0</v>
      </c>
      <c r="D44" s="101">
        <f t="shared" ref="D44:D52" si="1">B44*$D$53</f>
        <v>0</v>
      </c>
      <c r="F44" s="68">
        <v>0</v>
      </c>
      <c r="G44" s="102">
        <f t="shared" ref="G44:G52" si="2">F44*$C$53</f>
        <v>0</v>
      </c>
      <c r="H44" s="101">
        <f t="shared" ref="H44:H52" si="3">F44*$D$53</f>
        <v>0</v>
      </c>
    </row>
    <row r="45" spans="1:8" ht="15" customHeight="1" x14ac:dyDescent="0.35">
      <c r="A45" s="1" t="s">
        <v>176</v>
      </c>
      <c r="B45" s="68">
        <v>0.09</v>
      </c>
      <c r="C45" s="102">
        <f t="shared" si="0"/>
        <v>11506921.941176469</v>
      </c>
      <c r="D45" s="101">
        <f t="shared" si="1"/>
        <v>12785468.823529411</v>
      </c>
      <c r="F45" s="68">
        <v>0.1</v>
      </c>
      <c r="G45" s="102">
        <f t="shared" si="2"/>
        <v>12785468.823529411</v>
      </c>
      <c r="H45" s="101">
        <f t="shared" si="3"/>
        <v>14206076.470588235</v>
      </c>
    </row>
    <row r="46" spans="1:8" ht="15" customHeight="1" x14ac:dyDescent="0.35">
      <c r="A46" s="35" t="s">
        <v>67</v>
      </c>
      <c r="B46" s="68">
        <v>0.01</v>
      </c>
      <c r="C46" s="102">
        <f t="shared" si="0"/>
        <v>1278546.882352941</v>
      </c>
      <c r="D46" s="101">
        <f t="shared" si="1"/>
        <v>1420607.6470588234</v>
      </c>
      <c r="F46" s="68">
        <v>0.01</v>
      </c>
      <c r="G46" s="102">
        <f t="shared" si="2"/>
        <v>1278546.882352941</v>
      </c>
      <c r="H46" s="101">
        <f t="shared" si="3"/>
        <v>1420607.6470588234</v>
      </c>
    </row>
    <row r="47" spans="1:8" ht="15" customHeight="1" x14ac:dyDescent="0.35">
      <c r="A47" s="35" t="s">
        <v>177</v>
      </c>
      <c r="B47" s="68">
        <v>0.04</v>
      </c>
      <c r="C47" s="102">
        <f t="shared" si="0"/>
        <v>5114187.5294117639</v>
      </c>
      <c r="D47" s="101">
        <f t="shared" si="1"/>
        <v>5682430.5882352935</v>
      </c>
      <c r="F47" s="68">
        <v>-0.1</v>
      </c>
      <c r="G47" s="102">
        <f t="shared" si="2"/>
        <v>-12785468.823529411</v>
      </c>
      <c r="H47" s="101">
        <f t="shared" si="3"/>
        <v>-14206076.470588235</v>
      </c>
    </row>
    <row r="48" spans="1:8" ht="15" customHeight="1" x14ac:dyDescent="0.35">
      <c r="A48" s="1" t="s">
        <v>178</v>
      </c>
      <c r="B48" s="68">
        <v>-0.09</v>
      </c>
      <c r="C48" s="102">
        <f t="shared" si="0"/>
        <v>-11506921.941176469</v>
      </c>
      <c r="D48" s="101">
        <f t="shared" si="1"/>
        <v>-12785468.823529411</v>
      </c>
      <c r="F48" s="68">
        <v>0</v>
      </c>
      <c r="G48" s="102">
        <f t="shared" si="2"/>
        <v>0</v>
      </c>
      <c r="H48" s="101">
        <f t="shared" si="3"/>
        <v>0</v>
      </c>
    </row>
    <row r="49" spans="1:8" ht="15" customHeight="1" x14ac:dyDescent="0.35">
      <c r="A49" s="1" t="s">
        <v>51</v>
      </c>
      <c r="B49" s="68">
        <v>0.16</v>
      </c>
      <c r="C49" s="102">
        <f t="shared" si="0"/>
        <v>20456750.117647056</v>
      </c>
      <c r="D49" s="101">
        <f t="shared" si="1"/>
        <v>22729722.352941174</v>
      </c>
      <c r="F49" s="68">
        <v>0.17</v>
      </c>
      <c r="G49" s="102">
        <f t="shared" si="2"/>
        <v>21735297</v>
      </c>
      <c r="H49" s="101">
        <f t="shared" si="3"/>
        <v>24150330</v>
      </c>
    </row>
    <row r="50" spans="1:8" ht="15" customHeight="1" x14ac:dyDescent="0.35">
      <c r="A50" s="1" t="s">
        <v>155</v>
      </c>
      <c r="B50" s="68">
        <v>0.15</v>
      </c>
      <c r="C50" s="102">
        <f t="shared" si="0"/>
        <v>19178203.235294115</v>
      </c>
      <c r="D50" s="101">
        <f t="shared" si="1"/>
        <v>21309114.705882352</v>
      </c>
      <c r="F50" s="68">
        <v>0.17</v>
      </c>
      <c r="G50" s="102">
        <f t="shared" si="2"/>
        <v>21735297</v>
      </c>
      <c r="H50" s="101">
        <f t="shared" si="3"/>
        <v>24150330</v>
      </c>
    </row>
    <row r="51" spans="1:8" ht="15" customHeight="1" x14ac:dyDescent="0.35">
      <c r="A51" s="35" t="s">
        <v>156</v>
      </c>
      <c r="B51" s="68">
        <v>0.1</v>
      </c>
      <c r="C51" s="102">
        <f t="shared" si="0"/>
        <v>12785468.823529411</v>
      </c>
      <c r="D51" s="101">
        <f t="shared" si="1"/>
        <v>14206076.470588235</v>
      </c>
      <c r="F51" s="68">
        <v>0.12</v>
      </c>
      <c r="G51" s="102">
        <f t="shared" si="2"/>
        <v>15342562.588235293</v>
      </c>
      <c r="H51" s="101">
        <f t="shared" si="3"/>
        <v>17047291.764705881</v>
      </c>
    </row>
    <row r="52" spans="1:8" ht="15" customHeight="1" x14ac:dyDescent="0.35">
      <c r="A52" s="35" t="s">
        <v>157</v>
      </c>
      <c r="B52" s="68">
        <v>0.2</v>
      </c>
      <c r="C52" s="102">
        <f t="shared" si="0"/>
        <v>25570937.647058822</v>
      </c>
      <c r="D52" s="101">
        <f t="shared" si="1"/>
        <v>28412152.94117647</v>
      </c>
      <c r="F52" s="68">
        <v>0.25</v>
      </c>
      <c r="G52" s="102">
        <f t="shared" si="2"/>
        <v>31963672.058823526</v>
      </c>
      <c r="H52" s="101">
        <f t="shared" si="3"/>
        <v>35515191.176470585</v>
      </c>
    </row>
    <row r="53" spans="1:8" ht="15" customHeight="1" x14ac:dyDescent="0.35">
      <c r="A53" s="38"/>
      <c r="B53" s="98">
        <f>SUM(B43:B52)</f>
        <v>1</v>
      </c>
      <c r="C53" s="102">
        <f>C43/B43</f>
        <v>127854688.2352941</v>
      </c>
      <c r="D53" s="101">
        <f>D43/B43</f>
        <v>142060764.70588234</v>
      </c>
      <c r="F53" s="98">
        <f>SUM(F43:F52)</f>
        <v>1.0100000000000002</v>
      </c>
      <c r="G53" s="102">
        <f>G43/F43</f>
        <v>149898600</v>
      </c>
      <c r="H53" s="101">
        <f>H43/F43</f>
        <v>166554000</v>
      </c>
    </row>
    <row r="54" spans="1:8" ht="15" customHeight="1" x14ac:dyDescent="0.35">
      <c r="A54" s="38"/>
    </row>
    <row r="55" spans="1:8" ht="15" customHeight="1" x14ac:dyDescent="0.35"/>
    <row r="56" spans="1:8" ht="15" customHeight="1" x14ac:dyDescent="0.35">
      <c r="A56" s="1" t="s">
        <v>188</v>
      </c>
      <c r="C56" s="104">
        <f>SUM('Gasification IDL'!B20:B37)</f>
        <v>104000000</v>
      </c>
      <c r="G56" s="105">
        <f>SUM('Gasification IDL'!C20:C37)</f>
        <v>134000000</v>
      </c>
    </row>
    <row r="57" spans="1:8" ht="15" customHeight="1" x14ac:dyDescent="0.35"/>
    <row r="58" spans="1:8" ht="15" customHeight="1" x14ac:dyDescent="0.35">
      <c r="A58" s="97" t="s">
        <v>185</v>
      </c>
      <c r="B58" s="6" t="s">
        <v>187</v>
      </c>
      <c r="F58" s="6" t="s">
        <v>187</v>
      </c>
    </row>
    <row r="59" spans="1:8" ht="15" customHeight="1" x14ac:dyDescent="0.35">
      <c r="A59" s="1" t="s">
        <v>134</v>
      </c>
      <c r="B59" s="99">
        <v>0.32</v>
      </c>
      <c r="C59" s="105">
        <f>B59*$C$56</f>
        <v>33280000</v>
      </c>
      <c r="F59" s="99">
        <v>0.32</v>
      </c>
      <c r="G59" s="105">
        <f>F59*$G$56</f>
        <v>42880000</v>
      </c>
    </row>
    <row r="60" spans="1:8" ht="15" customHeight="1" x14ac:dyDescent="0.35">
      <c r="A60" s="1" t="s">
        <v>135</v>
      </c>
      <c r="B60" s="99">
        <v>0.34</v>
      </c>
      <c r="C60" s="105">
        <f>B60*$C$56</f>
        <v>35360000</v>
      </c>
      <c r="F60" s="99">
        <v>0.34</v>
      </c>
      <c r="G60" s="105">
        <f>F60*$G$56</f>
        <v>45560000</v>
      </c>
    </row>
    <row r="61" spans="1:8" ht="15" customHeight="1" x14ac:dyDescent="0.35">
      <c r="A61" s="1" t="s">
        <v>186</v>
      </c>
      <c r="B61" s="99">
        <v>0.23</v>
      </c>
      <c r="C61" s="105">
        <f>B61*$C$56</f>
        <v>23920000</v>
      </c>
      <c r="F61" s="99">
        <v>0.23</v>
      </c>
      <c r="G61" s="105">
        <f>F61*$G$56</f>
        <v>30820000</v>
      </c>
    </row>
    <row r="62" spans="1:8" ht="15" customHeight="1" x14ac:dyDescent="0.35">
      <c r="A62" s="35" t="s">
        <v>137</v>
      </c>
      <c r="B62" s="99">
        <v>0.37</v>
      </c>
      <c r="C62" s="105">
        <f>B62*$C$56</f>
        <v>38480000</v>
      </c>
      <c r="F62" s="99">
        <v>0.37</v>
      </c>
      <c r="G62" s="105">
        <f>F62*$G$56</f>
        <v>49580000</v>
      </c>
    </row>
    <row r="63" spans="1:8" ht="15" customHeight="1" x14ac:dyDescent="0.35">
      <c r="A63" s="20"/>
      <c r="C63" s="106">
        <f>SUM(C59:C62)</f>
        <v>131040000</v>
      </c>
      <c r="G63" s="106">
        <f>SUM(G59:G62)</f>
        <v>168840000</v>
      </c>
    </row>
    <row r="64" spans="1:8" ht="15" customHeight="1" x14ac:dyDescent="0.35">
      <c r="A64" s="20"/>
    </row>
    <row r="65" spans="1:7" ht="15" customHeight="1" x14ac:dyDescent="0.35">
      <c r="A65" s="35" t="s">
        <v>189</v>
      </c>
      <c r="B65" s="99">
        <v>2.4700000000000002</v>
      </c>
      <c r="C65" s="105">
        <f>C56*B65</f>
        <v>256880000.00000003</v>
      </c>
      <c r="F65" s="99">
        <v>2.4700000000000002</v>
      </c>
      <c r="G65" s="105">
        <f>G56*F65</f>
        <v>330980000</v>
      </c>
    </row>
    <row r="66" spans="1:7" ht="15" customHeight="1" x14ac:dyDescent="0.35">
      <c r="A66" s="20"/>
    </row>
    <row r="67" spans="1:7" ht="15" customHeight="1" x14ac:dyDescent="0.35">
      <c r="A67" s="1" t="s">
        <v>190</v>
      </c>
      <c r="B67" s="99">
        <v>0.06</v>
      </c>
      <c r="C67" s="105">
        <f>C56*B67</f>
        <v>6240000</v>
      </c>
      <c r="F67" s="99">
        <v>0.06</v>
      </c>
      <c r="G67" s="105">
        <f>G56*F67</f>
        <v>8040000</v>
      </c>
    </row>
    <row r="68" spans="1:7" ht="15" customHeight="1" x14ac:dyDescent="0.35"/>
    <row r="69" spans="1:7" ht="15" customHeight="1" x14ac:dyDescent="0.35">
      <c r="A69" s="1" t="s">
        <v>720</v>
      </c>
      <c r="B69" s="6">
        <v>40</v>
      </c>
      <c r="F69" s="56">
        <v>40</v>
      </c>
    </row>
    <row r="70" spans="1:7" ht="15" customHeight="1" x14ac:dyDescent="0.35">
      <c r="A70" s="5" t="s">
        <v>382</v>
      </c>
      <c r="B70" s="16">
        <v>116090</v>
      </c>
      <c r="F70" s="16">
        <v>116090</v>
      </c>
    </row>
    <row r="71" spans="1:7" ht="15" customHeight="1" x14ac:dyDescent="0.35">
      <c r="A71" s="5" t="s">
        <v>721</v>
      </c>
      <c r="B71" s="76">
        <f>B70/1000000</f>
        <v>0.11609</v>
      </c>
      <c r="F71" s="76">
        <f>F70/1000000</f>
        <v>0.11609</v>
      </c>
    </row>
    <row r="72" spans="1:7" ht="15" customHeight="1" x14ac:dyDescent="0.35">
      <c r="A72" s="1" t="s">
        <v>722</v>
      </c>
      <c r="B72" s="6">
        <f>B69*1000000*B70</f>
        <v>4643600000000</v>
      </c>
      <c r="F72" s="6">
        <f>F69*1000000*F70</f>
        <v>4643600000000</v>
      </c>
    </row>
    <row r="73" spans="1:7" ht="15" customHeight="1" x14ac:dyDescent="0.35">
      <c r="A73" s="1" t="s">
        <v>723</v>
      </c>
      <c r="B73" s="73">
        <f>B72/1000000</f>
        <v>4643600</v>
      </c>
      <c r="F73" s="73">
        <f>F72/1000000</f>
        <v>4643600</v>
      </c>
    </row>
    <row r="74" spans="1:7" ht="15" customHeight="1" x14ac:dyDescent="0.35"/>
    <row r="75" spans="1:7" ht="15" customHeight="1" x14ac:dyDescent="0.35">
      <c r="A75" s="1" t="s">
        <v>191</v>
      </c>
      <c r="B75" s="103">
        <v>3.2</v>
      </c>
      <c r="F75" s="103">
        <v>3.68</v>
      </c>
    </row>
    <row r="76" spans="1:7" ht="15" customHeight="1" x14ac:dyDescent="0.35">
      <c r="A76" s="5" t="s">
        <v>192</v>
      </c>
      <c r="B76" s="103">
        <f>B75/B71</f>
        <v>27.564820397967097</v>
      </c>
      <c r="F76" s="103">
        <f>F75/F71</f>
        <v>31.699543457662159</v>
      </c>
    </row>
    <row r="77" spans="1:7" ht="15" customHeight="1" x14ac:dyDescent="0.35"/>
    <row r="78" spans="1:7" ht="15" customHeight="1" x14ac:dyDescent="0.35">
      <c r="A78" s="5" t="s">
        <v>11</v>
      </c>
      <c r="B78" s="122">
        <v>2000</v>
      </c>
      <c r="F78" s="122">
        <v>2000</v>
      </c>
    </row>
    <row r="79" spans="1:7" ht="15" customHeight="1" x14ac:dyDescent="0.35">
      <c r="A79" s="5" t="s">
        <v>220</v>
      </c>
      <c r="B79" s="74">
        <f>B78*2204/2000</f>
        <v>2204</v>
      </c>
      <c r="F79" s="74">
        <f>F78*2204/2000</f>
        <v>2204</v>
      </c>
    </row>
    <row r="80" spans="1:7" ht="15" customHeight="1" x14ac:dyDescent="0.35">
      <c r="A80" s="5" t="s">
        <v>643</v>
      </c>
      <c r="B80" s="72">
        <f>'Gasification IDL'!B13</f>
        <v>330</v>
      </c>
      <c r="E80" s="214"/>
      <c r="F80" s="263">
        <f>'Gasification IDL'!C13</f>
        <v>330</v>
      </c>
    </row>
    <row r="81" spans="1:6" ht="15" customHeight="1" x14ac:dyDescent="0.35">
      <c r="A81" s="5" t="s">
        <v>214</v>
      </c>
      <c r="B81" s="74">
        <f>B79*B80</f>
        <v>727320</v>
      </c>
      <c r="F81" s="74">
        <f>F79*F80</f>
        <v>727320</v>
      </c>
    </row>
    <row r="82" spans="1:6" ht="15" customHeight="1" x14ac:dyDescent="0.35">
      <c r="A82" s="1" t="s">
        <v>724</v>
      </c>
      <c r="B82" s="74">
        <f>40*1000000</f>
        <v>40000000</v>
      </c>
      <c r="F82" s="74">
        <f>40*1000000</f>
        <v>40000000</v>
      </c>
    </row>
    <row r="83" spans="1:6" ht="15" customHeight="1" x14ac:dyDescent="0.35">
      <c r="A83" s="5" t="s">
        <v>77</v>
      </c>
      <c r="B83" s="145">
        <f>B82/B81</f>
        <v>54.996425232359897</v>
      </c>
      <c r="F83" s="60">
        <f>F82/F81</f>
        <v>54.996425232359897</v>
      </c>
    </row>
    <row r="84" spans="1:6" ht="15" customHeight="1" x14ac:dyDescent="0.35"/>
    <row r="85" spans="1:6" ht="15" customHeight="1" x14ac:dyDescent="0.35"/>
    <row r="86" spans="1:6" ht="15" customHeight="1" x14ac:dyDescent="0.35"/>
    <row r="87" spans="1:6" ht="36.75" customHeight="1" x14ac:dyDescent="0.35">
      <c r="A87" s="276" t="s">
        <v>725</v>
      </c>
    </row>
    <row r="88" spans="1:6" ht="32.25" customHeight="1" x14ac:dyDescent="0.35">
      <c r="A88" s="80" t="s">
        <v>246</v>
      </c>
    </row>
    <row r="89" spans="1:6" ht="15" customHeight="1" x14ac:dyDescent="0.35">
      <c r="A89" s="7">
        <v>2010</v>
      </c>
    </row>
    <row r="90" spans="1:6" ht="31.5" customHeight="1" x14ac:dyDescent="0.35">
      <c r="A90" s="54" t="s">
        <v>245</v>
      </c>
      <c r="B90" s="272" t="s">
        <v>683</v>
      </c>
      <c r="C90" s="272" t="s">
        <v>684</v>
      </c>
    </row>
    <row r="91" spans="1:6" ht="15" customHeight="1" x14ac:dyDescent="0.35">
      <c r="A91" s="56"/>
    </row>
    <row r="92" spans="1:6" ht="15" customHeight="1" x14ac:dyDescent="0.35">
      <c r="A92" s="132" t="s">
        <v>249</v>
      </c>
      <c r="B92" s="130">
        <f>'Gasification IDL'!D17</f>
        <v>4.83</v>
      </c>
      <c r="C92" s="130">
        <f>'Gasification IDL'!E17</f>
        <v>4.2699999999999996</v>
      </c>
    </row>
    <row r="93" spans="1:6" ht="15" customHeight="1" x14ac:dyDescent="0.35">
      <c r="A93" s="132" t="s">
        <v>382</v>
      </c>
      <c r="B93" s="131">
        <v>116090</v>
      </c>
      <c r="C93" s="131">
        <v>116090</v>
      </c>
    </row>
    <row r="94" spans="1:6" ht="15" customHeight="1" x14ac:dyDescent="0.35">
      <c r="A94" s="132" t="s">
        <v>48</v>
      </c>
      <c r="B94" s="130">
        <f>B92/(B93/1000000)</f>
        <v>41.605650788181585</v>
      </c>
      <c r="C94" s="130">
        <f>C92/(C93/1000000)</f>
        <v>36.781807218537338</v>
      </c>
    </row>
    <row r="95" spans="1:6" ht="15" customHeight="1" x14ac:dyDescent="0.35">
      <c r="A95" s="56"/>
    </row>
    <row r="96" spans="1:6" ht="15" customHeight="1" x14ac:dyDescent="0.35">
      <c r="A96" s="132" t="s">
        <v>248</v>
      </c>
      <c r="B96" s="149">
        <v>32.295999999999999</v>
      </c>
      <c r="C96" s="149">
        <v>41.716000000000001</v>
      </c>
    </row>
    <row r="97" spans="1:4" ht="15" customHeight="1" x14ac:dyDescent="0.35">
      <c r="A97" s="132" t="s">
        <v>382</v>
      </c>
      <c r="B97" s="131">
        <v>116090</v>
      </c>
      <c r="C97" s="131">
        <v>116090</v>
      </c>
    </row>
    <row r="98" spans="1:4" ht="15" customHeight="1" x14ac:dyDescent="0.35">
      <c r="A98" s="132" t="s">
        <v>47</v>
      </c>
      <c r="B98" s="152">
        <f>B96*B97</f>
        <v>3749242.64</v>
      </c>
      <c r="C98" s="152">
        <f>C96*C97</f>
        <v>4842810.4400000004</v>
      </c>
    </row>
    <row r="99" spans="1:4" ht="15" customHeight="1" x14ac:dyDescent="0.35">
      <c r="A99" s="56"/>
    </row>
    <row r="100" spans="1:4" ht="15" customHeight="1" x14ac:dyDescent="0.35">
      <c r="A100" s="132" t="s">
        <v>214</v>
      </c>
      <c r="B100" s="152">
        <v>684101</v>
      </c>
      <c r="C100" s="152">
        <v>684101</v>
      </c>
    </row>
    <row r="101" spans="1:4" ht="15" customHeight="1" x14ac:dyDescent="0.35">
      <c r="A101" s="132" t="s">
        <v>77</v>
      </c>
      <c r="B101" s="151">
        <f>(B96*1000000)/B100</f>
        <v>47.209403289865094</v>
      </c>
      <c r="C101" s="151">
        <f>(C96*1000000)/C100</f>
        <v>60.979299840228272</v>
      </c>
    </row>
    <row r="102" spans="1:4" ht="15" customHeight="1" x14ac:dyDescent="0.35"/>
    <row r="103" spans="1:4" ht="15" customHeight="1" x14ac:dyDescent="0.35"/>
    <row r="105" spans="1:4" s="4" customFormat="1" ht="33.75" customHeight="1" x14ac:dyDescent="0.35">
      <c r="A105" s="273" t="s">
        <v>5</v>
      </c>
      <c r="C105" s="6"/>
      <c r="D105" s="13"/>
    </row>
    <row r="106" spans="1:4" ht="36.75" customHeight="1" x14ac:dyDescent="0.35">
      <c r="A106" s="155" t="s">
        <v>6</v>
      </c>
      <c r="C106" s="6"/>
    </row>
    <row r="107" spans="1:4" ht="15" customHeight="1" x14ac:dyDescent="0.35">
      <c r="A107" s="7">
        <v>2011</v>
      </c>
      <c r="C107" s="57"/>
    </row>
    <row r="108" spans="1:4" ht="15" customHeight="1" x14ac:dyDescent="0.35">
      <c r="A108" s="8" t="s">
        <v>7</v>
      </c>
      <c r="C108" s="59"/>
    </row>
    <row r="109" spans="1:4" ht="15" customHeight="1" x14ac:dyDescent="0.35"/>
    <row r="110" spans="1:4" s="11" customFormat="1" ht="15" customHeight="1" x14ac:dyDescent="0.35">
      <c r="A110" s="4" t="s">
        <v>4</v>
      </c>
      <c r="B110" s="9" t="s">
        <v>8</v>
      </c>
      <c r="C110" s="9"/>
      <c r="D110" s="9"/>
    </row>
    <row r="111" spans="1:4" s="11" customFormat="1" ht="15" customHeight="1" x14ac:dyDescent="0.35">
      <c r="A111" s="4" t="s">
        <v>9</v>
      </c>
      <c r="B111" s="9" t="s">
        <v>10</v>
      </c>
      <c r="C111" s="9"/>
      <c r="D111" s="9"/>
    </row>
    <row r="112" spans="1:4" s="11" customFormat="1" ht="15" customHeight="1" x14ac:dyDescent="0.35">
      <c r="A112" s="5"/>
      <c r="B112" s="9"/>
      <c r="C112" s="9"/>
      <c r="D112" s="9"/>
    </row>
    <row r="113" spans="1:4" s="11" customFormat="1" ht="15" customHeight="1" x14ac:dyDescent="0.35">
      <c r="A113" s="5" t="s">
        <v>16</v>
      </c>
      <c r="B113" s="14">
        <v>42.5</v>
      </c>
      <c r="C113" s="9"/>
      <c r="D113" s="9"/>
    </row>
    <row r="114" spans="1:4" s="11" customFormat="1" ht="15" customHeight="1" x14ac:dyDescent="0.35">
      <c r="A114" s="5" t="s">
        <v>18</v>
      </c>
      <c r="B114" s="16">
        <f>B113/'Gasification IDL'!F13*1000000</f>
        <v>121341.89864382584</v>
      </c>
      <c r="C114" s="9"/>
      <c r="D114" s="9"/>
    </row>
    <row r="115" spans="1:4" s="11" customFormat="1" ht="15" customHeight="1" x14ac:dyDescent="0.35">
      <c r="A115" s="11" t="s">
        <v>17</v>
      </c>
      <c r="B115" s="13">
        <f>'Gasification IDL'!F12</f>
        <v>2000</v>
      </c>
      <c r="C115" s="9"/>
      <c r="D115" s="9"/>
    </row>
    <row r="116" spans="1:4" s="11" customFormat="1" ht="15" customHeight="1" x14ac:dyDescent="0.35">
      <c r="A116" s="5" t="s">
        <v>15</v>
      </c>
      <c r="B116" s="15">
        <f>B114/B115</f>
        <v>60.670949321912921</v>
      </c>
      <c r="C116" s="9"/>
      <c r="D116" s="9"/>
    </row>
    <row r="117" spans="1:4" s="11" customFormat="1" ht="15" customHeight="1" x14ac:dyDescent="0.35">
      <c r="A117" s="4"/>
      <c r="B117" s="13"/>
      <c r="C117" s="9"/>
      <c r="D117" s="9"/>
    </row>
    <row r="118" spans="1:4" s="11" customFormat="1" ht="15" customHeight="1" x14ac:dyDescent="0.35">
      <c r="A118" s="4"/>
      <c r="B118" s="13"/>
      <c r="C118" s="9"/>
      <c r="D118" s="9"/>
    </row>
    <row r="119" spans="1:4" s="11" customFormat="1" ht="15" customHeight="1" x14ac:dyDescent="0.35">
      <c r="A119" s="4"/>
      <c r="B119" s="13"/>
      <c r="C119" s="9"/>
      <c r="D119" s="9"/>
    </row>
    <row r="120" spans="1:4" s="11" customFormat="1" ht="46" customHeight="1" x14ac:dyDescent="0.35">
      <c r="A120" s="273" t="s">
        <v>774</v>
      </c>
      <c r="B120" s="6"/>
      <c r="C120" s="56"/>
      <c r="D120" s="56"/>
    </row>
    <row r="121" spans="1:4" s="11" customFormat="1" ht="37.5" customHeight="1" x14ac:dyDescent="0.35">
      <c r="A121" s="13" t="s">
        <v>193</v>
      </c>
      <c r="B121" s="6"/>
      <c r="C121" s="56"/>
      <c r="D121" s="56"/>
    </row>
    <row r="122" spans="1:4" s="11" customFormat="1" ht="15" customHeight="1" x14ac:dyDescent="0.35">
      <c r="A122" s="7">
        <v>2012</v>
      </c>
      <c r="B122" s="6"/>
      <c r="C122" s="56"/>
      <c r="D122" s="56"/>
    </row>
    <row r="123" spans="1:4" s="11" customFormat="1" ht="15" customHeight="1" x14ac:dyDescent="0.35">
      <c r="A123" s="54" t="s">
        <v>194</v>
      </c>
      <c r="B123" s="6"/>
      <c r="C123" s="56"/>
      <c r="D123" s="56"/>
    </row>
    <row r="124" spans="1:4" s="11" customFormat="1" ht="15" customHeight="1" x14ac:dyDescent="0.35">
      <c r="A124" s="1"/>
      <c r="B124" s="273" t="s">
        <v>201</v>
      </c>
      <c r="C124" s="273" t="s">
        <v>197</v>
      </c>
      <c r="D124" s="273" t="s">
        <v>198</v>
      </c>
    </row>
    <row r="125" spans="1:4" s="11" customFormat="1" ht="15" customHeight="1" x14ac:dyDescent="0.35">
      <c r="A125" s="1" t="s">
        <v>726</v>
      </c>
      <c r="B125" s="116">
        <v>70</v>
      </c>
      <c r="C125" s="116">
        <v>70</v>
      </c>
      <c r="D125" s="116">
        <v>70</v>
      </c>
    </row>
    <row r="126" spans="1:4" s="11" customFormat="1" ht="15" customHeight="1" x14ac:dyDescent="0.35">
      <c r="A126" s="1" t="s">
        <v>727</v>
      </c>
      <c r="B126" s="103">
        <f>B125*2000/2204</f>
        <v>63.520871143375679</v>
      </c>
      <c r="C126" s="103">
        <f>C125*2000/2204</f>
        <v>63.520871143375679</v>
      </c>
      <c r="D126" s="103">
        <f>D125*2000/2204</f>
        <v>63.520871143375679</v>
      </c>
    </row>
    <row r="127" spans="1:4" s="11" customFormat="1" ht="15" customHeight="1" x14ac:dyDescent="0.35">
      <c r="A127" s="1"/>
      <c r="B127" s="56"/>
      <c r="C127" s="56"/>
      <c r="D127"/>
    </row>
    <row r="128" spans="1:4" s="11" customFormat="1" ht="15" customHeight="1" x14ac:dyDescent="0.35">
      <c r="A128" s="1" t="s">
        <v>728</v>
      </c>
      <c r="B128" s="56">
        <v>23.6</v>
      </c>
      <c r="C128" s="56">
        <v>43.6</v>
      </c>
      <c r="D128" s="56">
        <v>41.4</v>
      </c>
    </row>
    <row r="129" spans="1:4" s="11" customFormat="1" ht="15" customHeight="1" x14ac:dyDescent="0.35">
      <c r="A129" s="1" t="s">
        <v>729</v>
      </c>
      <c r="B129" s="74">
        <f>B128*1000000</f>
        <v>23600000</v>
      </c>
      <c r="C129" s="74">
        <f>C128*1000000</f>
        <v>43600000</v>
      </c>
      <c r="D129" s="74">
        <f>D128*1000000</f>
        <v>41400000</v>
      </c>
    </row>
    <row r="130" spans="1:4" s="11" customFormat="1" ht="15" customHeight="1" x14ac:dyDescent="0.35">
      <c r="A130" s="5" t="s">
        <v>150</v>
      </c>
      <c r="B130" s="16">
        <v>116090</v>
      </c>
      <c r="C130" s="16">
        <v>116090</v>
      </c>
      <c r="D130" s="16">
        <v>116090</v>
      </c>
    </row>
    <row r="131" spans="1:4" s="11" customFormat="1" ht="15" customHeight="1" x14ac:dyDescent="0.35">
      <c r="A131" s="5" t="s">
        <v>161</v>
      </c>
      <c r="B131" s="76">
        <f>B130/1000000</f>
        <v>0.11609</v>
      </c>
      <c r="C131" s="76">
        <f>C130/1000000</f>
        <v>0.11609</v>
      </c>
      <c r="D131" s="76">
        <f>D130/1000000</f>
        <v>0.11609</v>
      </c>
    </row>
    <row r="132" spans="1:4" s="11" customFormat="1" ht="15" customHeight="1" x14ac:dyDescent="0.35">
      <c r="A132" s="5" t="s">
        <v>47</v>
      </c>
      <c r="B132" s="74">
        <f>B129*B131</f>
        <v>2739724</v>
      </c>
      <c r="C132" s="74">
        <f>C129*C131</f>
        <v>5061524</v>
      </c>
      <c r="D132" s="74">
        <f>D129*D131</f>
        <v>4806126</v>
      </c>
    </row>
    <row r="133" spans="1:4" s="11" customFormat="1" ht="15" customHeight="1" x14ac:dyDescent="0.35">
      <c r="A133" s="1"/>
      <c r="B133" s="56"/>
      <c r="C133" s="56"/>
      <c r="D133"/>
    </row>
    <row r="134" spans="1:4" s="11" customFormat="1" ht="15" customHeight="1" x14ac:dyDescent="0.35">
      <c r="A134" s="5" t="s">
        <v>69</v>
      </c>
      <c r="B134" s="92">
        <v>6.75</v>
      </c>
      <c r="C134" s="92">
        <v>2.78</v>
      </c>
      <c r="D134" s="92">
        <v>3.29</v>
      </c>
    </row>
    <row r="135" spans="1:4" s="11" customFormat="1" ht="15" customHeight="1" x14ac:dyDescent="0.35">
      <c r="A135" s="5" t="s">
        <v>382</v>
      </c>
      <c r="B135" s="16">
        <v>116090</v>
      </c>
      <c r="C135" s="16">
        <v>116090</v>
      </c>
      <c r="D135" s="16">
        <v>116090</v>
      </c>
    </row>
    <row r="136" spans="1:4" s="11" customFormat="1" ht="15" customHeight="1" x14ac:dyDescent="0.35">
      <c r="A136" s="5" t="s">
        <v>721</v>
      </c>
      <c r="B136" s="76">
        <f>B135/1000000</f>
        <v>0.11609</v>
      </c>
      <c r="C136" s="76">
        <f>C135/1000000</f>
        <v>0.11609</v>
      </c>
      <c r="D136" s="76">
        <f>C136</f>
        <v>0.11609</v>
      </c>
    </row>
    <row r="137" spans="1:4" s="11" customFormat="1" ht="15" customHeight="1" x14ac:dyDescent="0.35">
      <c r="A137" s="5" t="s">
        <v>48</v>
      </c>
      <c r="B137" s="130">
        <f>B134/B136</f>
        <v>58.144543026961841</v>
      </c>
      <c r="C137" s="130">
        <f>C134/C136</f>
        <v>23.946937720733914</v>
      </c>
      <c r="D137" s="130">
        <f>D134/D136</f>
        <v>28.340080971659919</v>
      </c>
    </row>
    <row r="138" spans="1:4" s="11" customFormat="1" ht="15" customHeight="1" x14ac:dyDescent="0.35">
      <c r="A138" s="1"/>
      <c r="B138" s="56"/>
      <c r="C138" s="56"/>
      <c r="D138"/>
    </row>
    <row r="139" spans="1:4" s="11" customFormat="1" ht="15" customHeight="1" x14ac:dyDescent="0.35">
      <c r="A139" s="5" t="s">
        <v>11</v>
      </c>
      <c r="B139" s="122">
        <f>'Gasification IDL'!G12</f>
        <v>2000</v>
      </c>
      <c r="C139" s="122">
        <f>'Gasification IDL'!H12</f>
        <v>2000</v>
      </c>
      <c r="D139" s="122">
        <f>'Gasification IDL'!I12</f>
        <v>2000</v>
      </c>
    </row>
    <row r="140" spans="1:4" s="11" customFormat="1" ht="15" customHeight="1" x14ac:dyDescent="0.35">
      <c r="A140" s="5" t="s">
        <v>220</v>
      </c>
      <c r="B140" s="74">
        <f>B139*2204/2000</f>
        <v>2204</v>
      </c>
      <c r="C140" s="74">
        <f>C139*2204/2000</f>
        <v>2204</v>
      </c>
      <c r="D140" s="74">
        <f>D139*2204/2000</f>
        <v>2204</v>
      </c>
    </row>
    <row r="141" spans="1:4" s="11" customFormat="1" ht="15" customHeight="1" x14ac:dyDescent="0.35">
      <c r="A141" s="5" t="s">
        <v>643</v>
      </c>
      <c r="B141" s="72">
        <f>'Gasification IDL'!G13</f>
        <v>330</v>
      </c>
      <c r="C141" s="72">
        <f>'Gasification IDL'!H13</f>
        <v>330</v>
      </c>
      <c r="D141" s="72">
        <f>'Gasification IDL'!I13</f>
        <v>330</v>
      </c>
    </row>
    <row r="142" spans="1:4" s="11" customFormat="1" ht="15" customHeight="1" x14ac:dyDescent="0.35">
      <c r="A142" s="5" t="s">
        <v>214</v>
      </c>
      <c r="B142" s="74">
        <f>B140*B141</f>
        <v>727320</v>
      </c>
      <c r="C142" s="74">
        <f>C140*C141</f>
        <v>727320</v>
      </c>
      <c r="D142" s="74">
        <f>D140*D141</f>
        <v>727320</v>
      </c>
    </row>
    <row r="143" spans="1:4" s="11" customFormat="1" ht="15" customHeight="1" x14ac:dyDescent="0.35">
      <c r="A143" s="5" t="s">
        <v>77</v>
      </c>
      <c r="B143" s="145">
        <f>B129/B142</f>
        <v>32.447890887092342</v>
      </c>
      <c r="C143" s="145">
        <f>C129/C142</f>
        <v>59.94610350327229</v>
      </c>
      <c r="D143" s="145">
        <f>D129/D142</f>
        <v>56.921300115492492</v>
      </c>
    </row>
    <row r="144" spans="1:4" s="11" customFormat="1" ht="15" customHeight="1" x14ac:dyDescent="0.35">
      <c r="A144" s="4"/>
      <c r="B144" s="13"/>
      <c r="C144" s="9"/>
      <c r="D144" s="9"/>
    </row>
    <row r="145" spans="1:4" s="11" customFormat="1" ht="15" customHeight="1" x14ac:dyDescent="0.35">
      <c r="A145" s="4"/>
      <c r="B145" s="13"/>
      <c r="C145" s="9"/>
      <c r="D145" s="9"/>
    </row>
    <row r="146" spans="1:4" s="11" customFormat="1" ht="15" customHeight="1" x14ac:dyDescent="0.35">
      <c r="A146" s="4"/>
      <c r="B146" s="13"/>
      <c r="C146" s="9"/>
      <c r="D146" s="9"/>
    </row>
    <row r="147" spans="1:4" s="11" customFormat="1" ht="72" customHeight="1" x14ac:dyDescent="0.35">
      <c r="A147" s="273" t="s">
        <v>329</v>
      </c>
      <c r="B147" s="13"/>
      <c r="C147" s="9"/>
      <c r="D147" s="9"/>
    </row>
    <row r="148" spans="1:4" s="11" customFormat="1" ht="29.25" customHeight="1" x14ac:dyDescent="0.35">
      <c r="A148" s="13" t="s">
        <v>331</v>
      </c>
      <c r="B148" s="13"/>
      <c r="C148" s="9"/>
      <c r="D148" s="9"/>
    </row>
    <row r="149" spans="1:4" s="11" customFormat="1" ht="15" customHeight="1" x14ac:dyDescent="0.35">
      <c r="A149" s="7">
        <v>2015</v>
      </c>
      <c r="B149" s="13"/>
      <c r="C149" s="9"/>
      <c r="D149" s="9"/>
    </row>
    <row r="150" spans="1:4" s="11" customFormat="1" ht="15" customHeight="1" x14ac:dyDescent="0.35">
      <c r="A150" s="54" t="s">
        <v>327</v>
      </c>
      <c r="B150" s="13"/>
      <c r="C150" s="9"/>
      <c r="D150" s="9"/>
    </row>
    <row r="151" spans="1:4" s="11" customFormat="1" ht="30" customHeight="1" x14ac:dyDescent="0.35">
      <c r="A151" s="13" t="s">
        <v>674</v>
      </c>
      <c r="B151" s="13"/>
      <c r="C151" s="9"/>
      <c r="D151" s="9"/>
    </row>
    <row r="152" spans="1:4" s="11" customFormat="1" ht="15" customHeight="1" x14ac:dyDescent="0.35">
      <c r="A152" s="4"/>
      <c r="B152" s="13"/>
      <c r="C152" s="9"/>
      <c r="D152" s="9"/>
    </row>
    <row r="153" spans="1:4" s="11" customFormat="1" ht="15" customHeight="1" x14ac:dyDescent="0.35">
      <c r="A153" s="5"/>
      <c r="B153" s="66"/>
      <c r="C153" s="9"/>
      <c r="D153" s="9"/>
    </row>
    <row r="154" spans="1:4" s="11" customFormat="1" ht="15" customHeight="1" x14ac:dyDescent="0.35">
      <c r="A154" s="5"/>
      <c r="B154" s="67" t="s">
        <v>349</v>
      </c>
      <c r="D154" s="9"/>
    </row>
    <row r="155" spans="1:4" s="11" customFormat="1" ht="15" customHeight="1" x14ac:dyDescent="0.35">
      <c r="A155" s="5" t="s">
        <v>69</v>
      </c>
      <c r="B155" s="167">
        <f>'Gasification IDL'!J17</f>
        <v>3.47</v>
      </c>
      <c r="D155" s="9"/>
    </row>
    <row r="156" spans="1:4" s="11" customFormat="1" ht="15" customHeight="1" x14ac:dyDescent="0.35">
      <c r="A156" s="5" t="s">
        <v>382</v>
      </c>
      <c r="B156" s="16">
        <v>116090</v>
      </c>
      <c r="D156" s="9"/>
    </row>
    <row r="157" spans="1:4" s="11" customFormat="1" ht="15" customHeight="1" x14ac:dyDescent="0.35">
      <c r="A157" s="132" t="s">
        <v>48</v>
      </c>
      <c r="B157" s="130">
        <f>B155/(B156/1000000)</f>
        <v>29.890602119045571</v>
      </c>
      <c r="D157" s="9"/>
    </row>
    <row r="158" spans="1:4" s="11" customFormat="1" ht="15" customHeight="1" x14ac:dyDescent="0.35">
      <c r="A158" s="5"/>
      <c r="B158" s="168"/>
      <c r="D158" s="9"/>
    </row>
    <row r="159" spans="1:4" s="11" customFormat="1" ht="15" customHeight="1" x14ac:dyDescent="0.35">
      <c r="A159" s="132" t="s">
        <v>248</v>
      </c>
      <c r="B159" s="151">
        <v>47</v>
      </c>
      <c r="D159" s="9"/>
    </row>
    <row r="160" spans="1:4" s="11" customFormat="1" ht="15" customHeight="1" x14ac:dyDescent="0.35">
      <c r="A160" s="132" t="s">
        <v>382</v>
      </c>
      <c r="B160" s="131">
        <v>116090</v>
      </c>
      <c r="D160" s="9"/>
    </row>
    <row r="161" spans="1:4" s="11" customFormat="1" ht="15" customHeight="1" x14ac:dyDescent="0.35">
      <c r="A161" s="132" t="s">
        <v>47</v>
      </c>
      <c r="B161" s="152">
        <f>B159*B160</f>
        <v>5456230</v>
      </c>
      <c r="D161" s="9"/>
    </row>
    <row r="162" spans="1:4" s="11" customFormat="1" ht="15" customHeight="1" x14ac:dyDescent="0.35">
      <c r="A162" s="4"/>
      <c r="B162" s="13"/>
      <c r="C162" s="9"/>
      <c r="D162" s="9"/>
    </row>
    <row r="163" spans="1:4" s="11" customFormat="1" ht="15" customHeight="1" x14ac:dyDescent="0.35">
      <c r="A163" s="4"/>
      <c r="B163" s="13"/>
      <c r="C163" s="9"/>
      <c r="D163" s="9"/>
    </row>
    <row r="164" spans="1:4" s="11" customFormat="1" ht="15" customHeight="1" x14ac:dyDescent="0.35">
      <c r="A164" s="4"/>
      <c r="B164" s="13"/>
      <c r="C164" s="9"/>
      <c r="D164" s="9"/>
    </row>
    <row r="165" spans="1:4" s="11" customFormat="1" ht="56.25" customHeight="1" x14ac:dyDescent="0.35">
      <c r="A165" s="273" t="s">
        <v>730</v>
      </c>
      <c r="C165" s="9"/>
      <c r="D165" s="9"/>
    </row>
    <row r="166" spans="1:4" s="11" customFormat="1" ht="65.5" customHeight="1" x14ac:dyDescent="0.35">
      <c r="A166" s="13" t="s">
        <v>427</v>
      </c>
      <c r="B166" s="13"/>
      <c r="C166" s="9"/>
      <c r="D166" s="9"/>
    </row>
    <row r="167" spans="1:4" s="11" customFormat="1" ht="15" customHeight="1" x14ac:dyDescent="0.35">
      <c r="A167" s="7">
        <v>2016</v>
      </c>
      <c r="B167" s="13"/>
      <c r="C167" s="9"/>
      <c r="D167" s="9"/>
    </row>
    <row r="168" spans="1:4" s="11" customFormat="1" ht="15" customHeight="1" x14ac:dyDescent="0.35">
      <c r="A168" s="8" t="s">
        <v>428</v>
      </c>
      <c r="B168" s="13"/>
      <c r="C168" s="9"/>
      <c r="D168" s="9"/>
    </row>
    <row r="169" spans="1:4" s="11" customFormat="1" ht="41" customHeight="1" x14ac:dyDescent="0.35">
      <c r="A169" s="13" t="s">
        <v>429</v>
      </c>
      <c r="B169" s="13"/>
      <c r="C169" s="9"/>
      <c r="D169" s="9"/>
    </row>
    <row r="170" spans="1:4" s="11" customFormat="1" ht="15" customHeight="1" x14ac:dyDescent="0.35">
      <c r="A170" s="4"/>
      <c r="B170" s="13"/>
      <c r="C170" s="9"/>
      <c r="D170" s="9"/>
    </row>
    <row r="171" spans="1:4" s="11" customFormat="1" ht="15" customHeight="1" x14ac:dyDescent="0.35">
      <c r="B171" s="273" t="s">
        <v>470</v>
      </c>
      <c r="C171" s="273" t="s">
        <v>475</v>
      </c>
      <c r="D171" s="9"/>
    </row>
    <row r="172" spans="1:4" s="11" customFormat="1" ht="15" customHeight="1" x14ac:dyDescent="0.35">
      <c r="A172" s="1" t="s">
        <v>471</v>
      </c>
      <c r="B172" s="13">
        <v>41.1</v>
      </c>
      <c r="C172" s="13">
        <v>44.8</v>
      </c>
      <c r="D172" s="9"/>
    </row>
    <row r="173" spans="1:4" s="11" customFormat="1" ht="15" customHeight="1" x14ac:dyDescent="0.35">
      <c r="A173" s="1" t="s">
        <v>472</v>
      </c>
      <c r="B173" s="74">
        <f>B172*1000000</f>
        <v>41100000</v>
      </c>
      <c r="C173" s="74">
        <f>C172*1000000</f>
        <v>44800000</v>
      </c>
      <c r="D173" s="9"/>
    </row>
    <row r="174" spans="1:4" s="11" customFormat="1" ht="15" customHeight="1" x14ac:dyDescent="0.35">
      <c r="A174" s="5" t="s">
        <v>150</v>
      </c>
      <c r="B174" s="16">
        <v>116090</v>
      </c>
      <c r="C174" s="16">
        <v>116090</v>
      </c>
      <c r="D174" s="9"/>
    </row>
    <row r="175" spans="1:4" s="11" customFormat="1" ht="15" customHeight="1" x14ac:dyDescent="0.35">
      <c r="A175" s="5" t="s">
        <v>161</v>
      </c>
      <c r="B175" s="76">
        <f>B174/1000000</f>
        <v>0.11609</v>
      </c>
      <c r="C175" s="76">
        <f>C174/1000000</f>
        <v>0.11609</v>
      </c>
      <c r="D175" s="9"/>
    </row>
    <row r="176" spans="1:4" s="11" customFormat="1" ht="15" customHeight="1" x14ac:dyDescent="0.35">
      <c r="A176" s="5" t="s">
        <v>47</v>
      </c>
      <c r="B176" s="74">
        <f>B173*B175</f>
        <v>4771299</v>
      </c>
      <c r="C176" s="74">
        <f>C173*C175</f>
        <v>5200832</v>
      </c>
      <c r="D176" s="9"/>
    </row>
    <row r="177" spans="1:4" s="11" customFormat="1" ht="15" customHeight="1" x14ac:dyDescent="0.35">
      <c r="A177" s="4"/>
      <c r="B177" s="13"/>
      <c r="C177" s="13"/>
      <c r="D177" s="9"/>
    </row>
    <row r="178" spans="1:4" s="11" customFormat="1" ht="15" customHeight="1" x14ac:dyDescent="0.35">
      <c r="A178" s="5" t="s">
        <v>69</v>
      </c>
      <c r="B178" s="40">
        <f>'Gasification IDL'!K17</f>
        <v>4.8899999999999997</v>
      </c>
      <c r="C178" s="40">
        <f>'Gasification IDL'!L17</f>
        <v>3.4</v>
      </c>
      <c r="D178" s="9"/>
    </row>
    <row r="179" spans="1:4" s="11" customFormat="1" ht="15" customHeight="1" x14ac:dyDescent="0.35">
      <c r="A179" s="5" t="s">
        <v>382</v>
      </c>
      <c r="B179" s="16">
        <v>116090</v>
      </c>
      <c r="C179" s="16">
        <v>116090</v>
      </c>
      <c r="D179" s="9"/>
    </row>
    <row r="180" spans="1:4" s="11" customFormat="1" ht="15" customHeight="1" x14ac:dyDescent="0.35">
      <c r="A180" s="132" t="s">
        <v>48</v>
      </c>
      <c r="B180" s="40">
        <f>B178/B179*1000000</f>
        <v>42.122491170643464</v>
      </c>
      <c r="C180" s="40">
        <f>C178/C179*1000000</f>
        <v>29.287621672840036</v>
      </c>
      <c r="D180" s="9"/>
    </row>
    <row r="181" spans="1:4" s="11" customFormat="1" ht="15" customHeight="1" x14ac:dyDescent="0.35">
      <c r="A181" s="132"/>
      <c r="B181" s="40"/>
      <c r="C181" s="40"/>
      <c r="D181" s="9"/>
    </row>
    <row r="182" spans="1:4" s="11" customFormat="1" ht="15" customHeight="1" x14ac:dyDescent="0.35">
      <c r="A182" s="132"/>
      <c r="B182" s="40"/>
      <c r="C182" s="40"/>
      <c r="D182" s="9"/>
    </row>
    <row r="183" spans="1:4" s="11" customFormat="1" ht="15" customHeight="1" x14ac:dyDescent="0.35">
      <c r="A183" s="4"/>
      <c r="B183" s="13"/>
      <c r="C183" s="9"/>
      <c r="D183" s="9"/>
    </row>
    <row r="184" spans="1:4" s="11" customFormat="1" ht="72" customHeight="1" x14ac:dyDescent="0.35">
      <c r="A184" s="276" t="s">
        <v>596</v>
      </c>
      <c r="B184" s="207"/>
      <c r="C184" s="210"/>
      <c r="D184" s="9"/>
    </row>
    <row r="185" spans="1:4" s="11" customFormat="1" ht="29.25" customHeight="1" x14ac:dyDescent="0.35">
      <c r="A185" s="207" t="s">
        <v>597</v>
      </c>
      <c r="B185" s="207"/>
      <c r="C185" s="210"/>
      <c r="D185" s="9"/>
    </row>
    <row r="186" spans="1:4" s="11" customFormat="1" ht="15" customHeight="1" x14ac:dyDescent="0.35">
      <c r="A186" s="143">
        <v>2020</v>
      </c>
      <c r="B186" s="207"/>
      <c r="C186" s="210"/>
      <c r="D186" s="9"/>
    </row>
    <row r="187" spans="1:4" s="11" customFormat="1" ht="15" customHeight="1" x14ac:dyDescent="0.35">
      <c r="A187" s="204" t="s">
        <v>598</v>
      </c>
      <c r="B187" s="207"/>
      <c r="C187" s="210"/>
      <c r="D187" s="9"/>
    </row>
    <row r="188" spans="1:4" s="11" customFormat="1" ht="30" customHeight="1" x14ac:dyDescent="0.35">
      <c r="A188" s="207" t="s">
        <v>679</v>
      </c>
      <c r="B188" s="207"/>
      <c r="C188" s="210"/>
      <c r="D188" s="9"/>
    </row>
    <row r="189" spans="1:4" s="11" customFormat="1" ht="15" customHeight="1" x14ac:dyDescent="0.35">
      <c r="A189" s="237"/>
      <c r="B189" s="207"/>
      <c r="C189" s="210"/>
      <c r="D189" s="9"/>
    </row>
    <row r="190" spans="1:4" s="11" customFormat="1" ht="15" customHeight="1" x14ac:dyDescent="0.35">
      <c r="A190" s="132"/>
      <c r="B190" s="238"/>
      <c r="C190" s="210"/>
      <c r="D190" s="9"/>
    </row>
    <row r="191" spans="1:4" s="11" customFormat="1" ht="15" customHeight="1" x14ac:dyDescent="0.35">
      <c r="A191" s="132"/>
      <c r="B191" s="234" t="s">
        <v>593</v>
      </c>
      <c r="C191" s="234" t="s">
        <v>495</v>
      </c>
      <c r="D191" s="9"/>
    </row>
    <row r="192" spans="1:4" s="11" customFormat="1" ht="15" customHeight="1" x14ac:dyDescent="0.35">
      <c r="A192" s="132" t="s">
        <v>69</v>
      </c>
      <c r="B192" s="236">
        <f>'Gasification IDL'!T17</f>
        <v>3.53</v>
      </c>
      <c r="C192" s="236">
        <f>'Gasification IDL'!U17</f>
        <v>3.3</v>
      </c>
      <c r="D192" s="9"/>
    </row>
    <row r="193" spans="1:4" s="11" customFormat="1" ht="15" customHeight="1" x14ac:dyDescent="0.35">
      <c r="A193" s="132" t="s">
        <v>382</v>
      </c>
      <c r="B193" s="131">
        <v>116090</v>
      </c>
      <c r="C193" s="131">
        <v>116090</v>
      </c>
      <c r="D193" s="9"/>
    </row>
    <row r="194" spans="1:4" s="11" customFormat="1" ht="15" customHeight="1" x14ac:dyDescent="0.35">
      <c r="A194" s="132" t="s">
        <v>48</v>
      </c>
      <c r="B194" s="130">
        <f>B192/(B193/1000000)</f>
        <v>30.40744250150745</v>
      </c>
      <c r="C194" s="130">
        <f>C192/(C193/1000000)</f>
        <v>28.426221035403564</v>
      </c>
      <c r="D194" s="9"/>
    </row>
    <row r="195" spans="1:4" s="11" customFormat="1" ht="15" customHeight="1" x14ac:dyDescent="0.35">
      <c r="A195" s="132"/>
      <c r="B195" s="235"/>
      <c r="C195" s="235"/>
      <c r="D195" s="9"/>
    </row>
    <row r="196" spans="1:4" s="11" customFormat="1" ht="15" customHeight="1" x14ac:dyDescent="0.35">
      <c r="A196" s="132" t="s">
        <v>248</v>
      </c>
      <c r="B196" s="239">
        <v>35.46</v>
      </c>
      <c r="C196" s="239">
        <v>39.590000000000003</v>
      </c>
      <c r="D196" s="9"/>
    </row>
    <row r="197" spans="1:4" s="11" customFormat="1" ht="15" customHeight="1" x14ac:dyDescent="0.35">
      <c r="A197" s="132" t="s">
        <v>382</v>
      </c>
      <c r="B197" s="131">
        <v>116090</v>
      </c>
      <c r="C197" s="131">
        <v>116090</v>
      </c>
      <c r="D197" s="9"/>
    </row>
    <row r="198" spans="1:4" s="11" customFormat="1" ht="15" customHeight="1" x14ac:dyDescent="0.35">
      <c r="A198" s="132" t="s">
        <v>47</v>
      </c>
      <c r="B198" s="152">
        <f>B196*B197</f>
        <v>4116551.4</v>
      </c>
      <c r="C198" s="152">
        <f>C196*C197</f>
        <v>4596003.1000000006</v>
      </c>
      <c r="D198" s="9"/>
    </row>
    <row r="199" spans="1:4" s="11" customFormat="1" ht="15" customHeight="1" x14ac:dyDescent="0.35">
      <c r="A199" s="4"/>
      <c r="B199" s="13"/>
      <c r="C199" s="9"/>
      <c r="D199" s="9"/>
    </row>
    <row r="200" spans="1:4" s="11" customFormat="1" ht="15" customHeight="1" x14ac:dyDescent="0.35">
      <c r="A200" s="4"/>
      <c r="B200" s="13"/>
      <c r="C200" s="9"/>
      <c r="D200" s="9"/>
    </row>
    <row r="201" spans="1:4" s="11" customFormat="1" ht="15" customHeight="1" x14ac:dyDescent="0.35">
      <c r="A201" s="277" t="s">
        <v>167</v>
      </c>
      <c r="B201" s="13"/>
      <c r="C201" s="9"/>
      <c r="D201" s="9"/>
    </row>
    <row r="202" spans="1:4" s="11" customFormat="1" ht="15" customHeight="1" x14ac:dyDescent="0.35">
      <c r="A202" s="4"/>
      <c r="B202" s="13"/>
      <c r="C202" s="9"/>
      <c r="D202" s="9"/>
    </row>
    <row r="203" spans="1:4" s="11" customFormat="1" ht="45.75" customHeight="1" x14ac:dyDescent="0.35">
      <c r="A203" s="276" t="s">
        <v>143</v>
      </c>
      <c r="B203" s="13"/>
      <c r="C203" s="9"/>
      <c r="D203" s="9"/>
    </row>
    <row r="204" spans="1:4" s="11" customFormat="1" ht="42.75" customHeight="1" x14ac:dyDescent="0.35">
      <c r="A204" s="155" t="s">
        <v>144</v>
      </c>
      <c r="B204" s="13"/>
      <c r="C204" s="9"/>
      <c r="D204" s="9"/>
    </row>
    <row r="205" spans="1:4" s="11" customFormat="1" x14ac:dyDescent="0.35">
      <c r="A205" s="57">
        <v>2009</v>
      </c>
      <c r="B205" s="13"/>
      <c r="C205" s="9"/>
      <c r="D205" s="9"/>
    </row>
    <row r="206" spans="1:4" ht="29" x14ac:dyDescent="0.35">
      <c r="A206" s="54" t="s">
        <v>142</v>
      </c>
    </row>
    <row r="208" spans="1:4" x14ac:dyDescent="0.35">
      <c r="A208" s="5"/>
      <c r="B208" s="66" t="s">
        <v>8</v>
      </c>
      <c r="C208" s="67" t="s">
        <v>146</v>
      </c>
      <c r="D208" s="67" t="s">
        <v>4</v>
      </c>
    </row>
    <row r="209" spans="1:4" x14ac:dyDescent="0.35">
      <c r="A209" s="5" t="s">
        <v>147</v>
      </c>
      <c r="B209" s="62">
        <v>95</v>
      </c>
      <c r="C209" s="61">
        <v>5</v>
      </c>
    </row>
    <row r="210" spans="1:4" x14ac:dyDescent="0.35">
      <c r="A210" s="5" t="s">
        <v>149</v>
      </c>
      <c r="B210" s="14">
        <v>6.2</v>
      </c>
      <c r="C210" s="60">
        <v>7</v>
      </c>
    </row>
    <row r="211" spans="1:4" x14ac:dyDescent="0.35">
      <c r="A211" s="5" t="s">
        <v>148</v>
      </c>
      <c r="B211" s="64">
        <f>B209/B210</f>
        <v>15.32258064516129</v>
      </c>
      <c r="C211" s="64">
        <f>C209/C210</f>
        <v>0.7142857142857143</v>
      </c>
    </row>
    <row r="212" spans="1:4" x14ac:dyDescent="0.35">
      <c r="A212" s="5" t="s">
        <v>739</v>
      </c>
      <c r="B212" s="64">
        <f>B211/(B211+C211)</f>
        <v>0.95545977011494254</v>
      </c>
      <c r="C212" s="64">
        <f>C211/(B211+C211)</f>
        <v>4.4540229885057472E-2</v>
      </c>
    </row>
    <row r="213" spans="1:4" x14ac:dyDescent="0.35">
      <c r="A213" s="5" t="s">
        <v>150</v>
      </c>
      <c r="B213" s="16">
        <v>116090</v>
      </c>
      <c r="C213" s="16">
        <v>128450</v>
      </c>
      <c r="D213" s="61">
        <f>B213*B212+C213*C212</f>
        <v>116640.5172413793</v>
      </c>
    </row>
    <row r="214" spans="1:4" x14ac:dyDescent="0.35">
      <c r="A214" s="5" t="s">
        <v>161</v>
      </c>
      <c r="B214" s="76">
        <f>B213/1000000</f>
        <v>0.11609</v>
      </c>
      <c r="C214" s="76">
        <f>C213/1000000</f>
        <v>0.12845000000000001</v>
      </c>
      <c r="D214" s="76">
        <f>D213/1000000</f>
        <v>0.1166405172413793</v>
      </c>
    </row>
    <row r="215" spans="1:4" x14ac:dyDescent="0.35">
      <c r="A215" s="5" t="s">
        <v>151</v>
      </c>
      <c r="B215" s="65">
        <v>1</v>
      </c>
      <c r="C215" s="65">
        <v>1.1299999999999999</v>
      </c>
      <c r="D215" s="69">
        <f>D213/B213</f>
        <v>1.0047421590264389</v>
      </c>
    </row>
    <row r="216" spans="1:4" x14ac:dyDescent="0.35">
      <c r="A216" s="5"/>
      <c r="B216" s="64"/>
      <c r="C216" s="64"/>
      <c r="D216" s="68"/>
    </row>
    <row r="217" spans="1:4" x14ac:dyDescent="0.35">
      <c r="A217" s="5" t="s">
        <v>152</v>
      </c>
      <c r="C217" s="60"/>
      <c r="D217" s="63">
        <v>69</v>
      </c>
    </row>
    <row r="218" spans="1:4" x14ac:dyDescent="0.35">
      <c r="A218" s="5" t="s">
        <v>153</v>
      </c>
      <c r="C218" s="60"/>
      <c r="D218" s="72">
        <f>D217*D215</f>
        <v>69.32720897282428</v>
      </c>
    </row>
    <row r="219" spans="1:4" x14ac:dyDescent="0.35">
      <c r="A219" s="1" t="s">
        <v>158</v>
      </c>
      <c r="C219" s="60"/>
      <c r="D219" s="74">
        <v>76500000</v>
      </c>
    </row>
    <row r="220" spans="1:4" x14ac:dyDescent="0.35">
      <c r="A220" s="1" t="s">
        <v>159</v>
      </c>
      <c r="C220" s="60"/>
      <c r="D220" s="74">
        <f>D219*D213/1000000</f>
        <v>8922999.568965517</v>
      </c>
    </row>
    <row r="221" spans="1:4" x14ac:dyDescent="0.35">
      <c r="C221" s="60"/>
    </row>
    <row r="222" spans="1:4" x14ac:dyDescent="0.35">
      <c r="A222" s="5" t="s">
        <v>160</v>
      </c>
      <c r="D222" s="75">
        <v>2.044</v>
      </c>
    </row>
    <row r="223" spans="1:4" x14ac:dyDescent="0.35">
      <c r="A223" s="5" t="s">
        <v>69</v>
      </c>
      <c r="D223" s="75">
        <f>D222/D215</f>
        <v>2.0343527756221227</v>
      </c>
    </row>
    <row r="224" spans="1:4" x14ac:dyDescent="0.35">
      <c r="A224" s="5" t="s">
        <v>48</v>
      </c>
      <c r="D224" s="75">
        <f>D222/D214</f>
        <v>17.523927776915517</v>
      </c>
    </row>
    <row r="228" spans="1:3" ht="29" x14ac:dyDescent="0.35">
      <c r="A228" s="273" t="s">
        <v>740</v>
      </c>
    </row>
    <row r="229" spans="1:3" ht="29" x14ac:dyDescent="0.35">
      <c r="A229" s="13" t="s">
        <v>228</v>
      </c>
    </row>
    <row r="230" spans="1:3" x14ac:dyDescent="0.35">
      <c r="A230" s="7">
        <v>2010</v>
      </c>
    </row>
    <row r="231" spans="1:3" x14ac:dyDescent="0.35">
      <c r="A231" s="7" t="s">
        <v>226</v>
      </c>
    </row>
    <row r="232" spans="1:3" ht="29" x14ac:dyDescent="0.35">
      <c r="A232" s="78" t="s">
        <v>227</v>
      </c>
      <c r="B232" s="66" t="s">
        <v>695</v>
      </c>
      <c r="C232" s="66" t="s">
        <v>741</v>
      </c>
    </row>
    <row r="234" spans="1:3" x14ac:dyDescent="0.35">
      <c r="A234" s="5" t="s">
        <v>382</v>
      </c>
      <c r="B234" s="16">
        <v>116090</v>
      </c>
      <c r="C234" s="16">
        <v>116090</v>
      </c>
    </row>
    <row r="235" spans="1:3" x14ac:dyDescent="0.35">
      <c r="A235" s="5" t="s">
        <v>721</v>
      </c>
      <c r="B235" s="76">
        <f>B234/1000000</f>
        <v>0.11609</v>
      </c>
      <c r="C235" s="76">
        <f>C234/1000000</f>
        <v>0.11609</v>
      </c>
    </row>
    <row r="236" spans="1:3" x14ac:dyDescent="0.35">
      <c r="A236" s="5" t="s">
        <v>713</v>
      </c>
      <c r="B236" s="16">
        <v>128450</v>
      </c>
      <c r="C236" s="16">
        <v>128450</v>
      </c>
    </row>
    <row r="237" spans="1:3" x14ac:dyDescent="0.35">
      <c r="A237" s="5" t="s">
        <v>742</v>
      </c>
      <c r="B237" s="76">
        <f>B236/1000000</f>
        <v>0.12845000000000001</v>
      </c>
      <c r="C237" s="76">
        <f>C236/1000000</f>
        <v>0.12845000000000001</v>
      </c>
    </row>
    <row r="238" spans="1:3" x14ac:dyDescent="0.35">
      <c r="A238" s="1" t="s">
        <v>743</v>
      </c>
      <c r="B238" s="99">
        <v>0.5</v>
      </c>
      <c r="C238" s="99">
        <v>0.5</v>
      </c>
    </row>
    <row r="239" spans="1:3" x14ac:dyDescent="0.35">
      <c r="A239" s="1" t="s">
        <v>744</v>
      </c>
      <c r="B239" s="73">
        <f>AVERAGE(B234,B236)</f>
        <v>122270</v>
      </c>
      <c r="C239" s="73">
        <f>AVERAGE(C234,C236)</f>
        <v>122270</v>
      </c>
    </row>
    <row r="240" spans="1:3" x14ac:dyDescent="0.35">
      <c r="A240" s="1" t="s">
        <v>745</v>
      </c>
      <c r="B240" s="76">
        <f>B239/1000000</f>
        <v>0.12227</v>
      </c>
      <c r="C240" s="76">
        <f>C239/1000000</f>
        <v>0.12227</v>
      </c>
    </row>
    <row r="241" spans="1:3" x14ac:dyDescent="0.35">
      <c r="A241" s="5" t="s">
        <v>231</v>
      </c>
      <c r="B241" s="6">
        <v>35.4</v>
      </c>
      <c r="C241" s="56">
        <v>58.3</v>
      </c>
    </row>
    <row r="242" spans="1:3" x14ac:dyDescent="0.35">
      <c r="A242" s="5" t="s">
        <v>47</v>
      </c>
      <c r="B242" s="73">
        <f>B240*10^6*B241</f>
        <v>4328358</v>
      </c>
      <c r="C242" s="73">
        <f>C240*10^6*C241</f>
        <v>7128341</v>
      </c>
    </row>
    <row r="244" spans="1:3" x14ac:dyDescent="0.35">
      <c r="A244" s="5" t="s">
        <v>160</v>
      </c>
      <c r="B244" s="116">
        <v>3.09</v>
      </c>
      <c r="C244" s="116">
        <v>2.11</v>
      </c>
    </row>
    <row r="245" spans="1:3" x14ac:dyDescent="0.35">
      <c r="A245" s="5" t="s">
        <v>69</v>
      </c>
      <c r="B245" s="103">
        <f>B244*B234/B239</f>
        <v>2.9338194160464544</v>
      </c>
      <c r="C245" s="103">
        <f>C244*C234/C239</f>
        <v>2.0033524167825303</v>
      </c>
    </row>
    <row r="246" spans="1:3" x14ac:dyDescent="0.35">
      <c r="A246" s="5"/>
      <c r="B246" s="130"/>
      <c r="C246" s="130"/>
    </row>
    <row r="247" spans="1:3" x14ac:dyDescent="0.35">
      <c r="A247" s="5" t="s">
        <v>48</v>
      </c>
      <c r="B247" s="103">
        <f>B245/B240</f>
        <v>23.994597334149457</v>
      </c>
      <c r="C247" s="103">
        <f>C245/C240</f>
        <v>16.384660315551894</v>
      </c>
    </row>
    <row r="250" spans="1:3" x14ac:dyDescent="0.35">
      <c r="A250" s="5" t="s">
        <v>11</v>
      </c>
      <c r="B250" s="122">
        <v>2000</v>
      </c>
      <c r="C250" s="122">
        <v>2000</v>
      </c>
    </row>
    <row r="251" spans="1:3" x14ac:dyDescent="0.35">
      <c r="A251" s="5" t="s">
        <v>210</v>
      </c>
      <c r="B251" s="139">
        <f>B250*2204/2000</f>
        <v>2204</v>
      </c>
      <c r="C251" s="139">
        <f>C250*2204/2000</f>
        <v>2204</v>
      </c>
    </row>
    <row r="252" spans="1:3" x14ac:dyDescent="0.35">
      <c r="A252" s="5" t="s">
        <v>643</v>
      </c>
      <c r="B252" s="135">
        <f>Pyrolysis!B13</f>
        <v>330</v>
      </c>
      <c r="C252" s="135">
        <f>Pyrolysis!C13</f>
        <v>330</v>
      </c>
    </row>
    <row r="253" spans="1:3" x14ac:dyDescent="0.35">
      <c r="A253" s="5" t="s">
        <v>214</v>
      </c>
      <c r="B253" s="139">
        <f>B251*B252</f>
        <v>727320</v>
      </c>
      <c r="C253" s="139">
        <f>C251*C252</f>
        <v>727320</v>
      </c>
    </row>
    <row r="254" spans="1:3" x14ac:dyDescent="0.35">
      <c r="A254" s="1" t="s">
        <v>746</v>
      </c>
      <c r="B254" s="139">
        <f>B242/B235</f>
        <v>37284503.402532518</v>
      </c>
      <c r="C254" s="139">
        <f>C242/C235</f>
        <v>61403574.812645361</v>
      </c>
    </row>
    <row r="255" spans="1:3" x14ac:dyDescent="0.35">
      <c r="A255" s="5" t="s">
        <v>77</v>
      </c>
      <c r="B255" s="145">
        <f>B254/B253</f>
        <v>51.262860092576197</v>
      </c>
      <c r="C255" s="145">
        <f>C254/C253</f>
        <v>84.424427779581691</v>
      </c>
    </row>
    <row r="259" spans="1:2" ht="29" x14ac:dyDescent="0.35">
      <c r="A259" s="273" t="s">
        <v>254</v>
      </c>
    </row>
    <row r="260" spans="1:2" ht="29" x14ac:dyDescent="0.35">
      <c r="A260" s="13" t="s">
        <v>255</v>
      </c>
    </row>
    <row r="261" spans="1:2" x14ac:dyDescent="0.35">
      <c r="A261" s="7">
        <v>2012</v>
      </c>
    </row>
    <row r="262" spans="1:2" x14ac:dyDescent="0.35">
      <c r="A262" s="7" t="s">
        <v>697</v>
      </c>
    </row>
    <row r="263" spans="1:2" x14ac:dyDescent="0.35">
      <c r="A263" s="146" t="s">
        <v>224</v>
      </c>
    </row>
    <row r="265" spans="1:2" x14ac:dyDescent="0.35">
      <c r="A265" s="132" t="s">
        <v>249</v>
      </c>
      <c r="B265" s="130">
        <f>Pyrolysis!D17</f>
        <v>1.6</v>
      </c>
    </row>
    <row r="266" spans="1:2" x14ac:dyDescent="0.35">
      <c r="A266" s="132" t="s">
        <v>382</v>
      </c>
      <c r="B266" s="131">
        <v>116090</v>
      </c>
    </row>
    <row r="267" spans="1:2" x14ac:dyDescent="0.35">
      <c r="A267" s="132" t="s">
        <v>48</v>
      </c>
      <c r="B267" s="130">
        <f>B265/(B266/1000000)</f>
        <v>13.782410198983548</v>
      </c>
    </row>
    <row r="269" spans="1:2" x14ac:dyDescent="0.35">
      <c r="A269" s="132" t="s">
        <v>248</v>
      </c>
      <c r="B269" s="149">
        <v>60.9</v>
      </c>
    </row>
    <row r="270" spans="1:2" x14ac:dyDescent="0.35">
      <c r="A270" s="132" t="s">
        <v>382</v>
      </c>
      <c r="B270" s="131">
        <v>116090</v>
      </c>
    </row>
    <row r="271" spans="1:2" x14ac:dyDescent="0.35">
      <c r="A271" s="132" t="s">
        <v>47</v>
      </c>
      <c r="B271" s="152">
        <f>B269*B270</f>
        <v>7069881</v>
      </c>
    </row>
    <row r="275" spans="1:4" ht="43.5" x14ac:dyDescent="0.35">
      <c r="A275" s="273" t="s">
        <v>162</v>
      </c>
      <c r="B275" s="13"/>
      <c r="C275" s="9"/>
      <c r="D275" s="9"/>
    </row>
    <row r="276" spans="1:4" ht="52.5" customHeight="1" x14ac:dyDescent="0.35">
      <c r="A276" s="13" t="s">
        <v>163</v>
      </c>
      <c r="B276" s="13"/>
      <c r="C276" s="9"/>
      <c r="D276" s="9"/>
    </row>
    <row r="277" spans="1:4" x14ac:dyDescent="0.35">
      <c r="A277" s="7">
        <v>2013</v>
      </c>
      <c r="B277" s="13"/>
      <c r="C277" s="9"/>
      <c r="D277" s="9"/>
    </row>
    <row r="278" spans="1:4" ht="29" x14ac:dyDescent="0.35">
      <c r="A278" s="144" t="s">
        <v>699</v>
      </c>
    </row>
    <row r="279" spans="1:4" ht="29" x14ac:dyDescent="0.35">
      <c r="A279" s="78" t="s">
        <v>170</v>
      </c>
    </row>
    <row r="280" spans="1:4" x14ac:dyDescent="0.35">
      <c r="A280" s="4"/>
    </row>
    <row r="281" spans="1:4" x14ac:dyDescent="0.35">
      <c r="A281" s="5"/>
      <c r="B281" s="67" t="s">
        <v>303</v>
      </c>
      <c r="C281" s="67"/>
    </row>
    <row r="282" spans="1:4" x14ac:dyDescent="0.35">
      <c r="A282" s="5" t="s">
        <v>69</v>
      </c>
      <c r="B282" s="167">
        <v>3.35</v>
      </c>
      <c r="C282" s="67"/>
    </row>
    <row r="283" spans="1:4" x14ac:dyDescent="0.35">
      <c r="A283" s="5" t="s">
        <v>382</v>
      </c>
      <c r="B283" s="16">
        <v>116090</v>
      </c>
      <c r="C283" s="67"/>
    </row>
    <row r="284" spans="1:4" x14ac:dyDescent="0.35">
      <c r="A284" s="132" t="s">
        <v>48</v>
      </c>
      <c r="B284" s="130">
        <f>B282/(B283/1000000)</f>
        <v>28.856921354121802</v>
      </c>
      <c r="C284" s="67"/>
    </row>
    <row r="285" spans="1:4" x14ac:dyDescent="0.35">
      <c r="A285" s="5"/>
      <c r="B285" s="168"/>
      <c r="C285" s="168"/>
    </row>
    <row r="286" spans="1:4" x14ac:dyDescent="0.35">
      <c r="A286" s="5" t="s">
        <v>302</v>
      </c>
      <c r="B286" s="168">
        <v>10.118</v>
      </c>
      <c r="C286" s="67"/>
    </row>
    <row r="287" spans="1:4" x14ac:dyDescent="0.35">
      <c r="A287" s="5" t="s">
        <v>747</v>
      </c>
      <c r="B287" s="168">
        <f>B283/1000000</f>
        <v>0.11609</v>
      </c>
      <c r="C287" s="67"/>
    </row>
    <row r="288" spans="1:4" x14ac:dyDescent="0.35">
      <c r="A288" s="5" t="s">
        <v>77</v>
      </c>
      <c r="B288" s="169">
        <f>B286/B287</f>
        <v>87.156516495822217</v>
      </c>
      <c r="C288" s="67"/>
    </row>
    <row r="289" spans="1:4" x14ac:dyDescent="0.35">
      <c r="A289" s="5"/>
      <c r="B289" s="66"/>
      <c r="C289" s="67"/>
      <c r="D289" s="168"/>
    </row>
    <row r="290" spans="1:4" x14ac:dyDescent="0.35">
      <c r="A290" s="5"/>
      <c r="B290" s="66"/>
      <c r="C290" s="67"/>
      <c r="D290" s="168"/>
    </row>
    <row r="291" spans="1:4" x14ac:dyDescent="0.35">
      <c r="A291" s="5"/>
      <c r="B291" s="66"/>
      <c r="C291" s="67"/>
      <c r="D291" s="168"/>
    </row>
    <row r="292" spans="1:4" ht="58" x14ac:dyDescent="0.35">
      <c r="A292" s="273" t="s">
        <v>318</v>
      </c>
      <c r="B292" s="66"/>
      <c r="C292" s="67"/>
      <c r="D292" s="168"/>
    </row>
    <row r="293" spans="1:4" ht="43.5" x14ac:dyDescent="0.35">
      <c r="A293" s="13" t="s">
        <v>319</v>
      </c>
      <c r="B293" s="66"/>
      <c r="C293" s="67"/>
      <c r="D293" s="168"/>
    </row>
    <row r="294" spans="1:4" x14ac:dyDescent="0.35">
      <c r="A294" s="7">
        <v>2015</v>
      </c>
      <c r="B294" s="66"/>
      <c r="C294" s="67"/>
      <c r="D294" s="168"/>
    </row>
    <row r="295" spans="1:4" ht="29" x14ac:dyDescent="0.35">
      <c r="A295" s="144" t="s">
        <v>703</v>
      </c>
      <c r="B295" s="66"/>
      <c r="C295" s="67"/>
      <c r="D295" s="168"/>
    </row>
    <row r="296" spans="1:4" x14ac:dyDescent="0.35">
      <c r="A296" s="8" t="s">
        <v>320</v>
      </c>
      <c r="B296" s="66" t="s">
        <v>349</v>
      </c>
      <c r="C296" s="66" t="s">
        <v>349</v>
      </c>
      <c r="D296" s="66"/>
    </row>
    <row r="297" spans="1:4" x14ac:dyDescent="0.35">
      <c r="A297" s="5"/>
      <c r="B297" s="66" t="s">
        <v>325</v>
      </c>
      <c r="C297" s="66" t="s">
        <v>326</v>
      </c>
      <c r="D297" s="66"/>
    </row>
    <row r="298" spans="1:4" x14ac:dyDescent="0.35">
      <c r="A298" s="5"/>
      <c r="B298" s="67" t="s">
        <v>303</v>
      </c>
      <c r="C298" s="67" t="s">
        <v>303</v>
      </c>
      <c r="D298" s="67"/>
    </row>
    <row r="299" spans="1:4" x14ac:dyDescent="0.35">
      <c r="A299" s="5" t="s">
        <v>69</v>
      </c>
      <c r="B299" s="167">
        <f>Pyrolysis!F17</f>
        <v>3.38</v>
      </c>
      <c r="C299" s="167">
        <f>Pyrolysis!G17</f>
        <v>3.54</v>
      </c>
      <c r="D299" s="167"/>
    </row>
    <row r="300" spans="1:4" x14ac:dyDescent="0.35">
      <c r="A300" s="5" t="s">
        <v>382</v>
      </c>
      <c r="B300" s="16">
        <v>116090</v>
      </c>
      <c r="C300" s="16">
        <v>116090</v>
      </c>
      <c r="D300" s="16"/>
    </row>
    <row r="301" spans="1:4" x14ac:dyDescent="0.35">
      <c r="A301" s="132" t="s">
        <v>48</v>
      </c>
      <c r="B301" s="130">
        <f>B299/(B300/1000000)</f>
        <v>29.115341545352742</v>
      </c>
      <c r="C301" s="130">
        <f>C299/(C300/1000000)</f>
        <v>30.493582565251099</v>
      </c>
      <c r="D301" s="130"/>
    </row>
    <row r="302" spans="1:4" x14ac:dyDescent="0.35">
      <c r="A302" s="5"/>
      <c r="B302" s="168"/>
      <c r="C302" s="168"/>
      <c r="D302" s="168"/>
    </row>
    <row r="303" spans="1:4" x14ac:dyDescent="0.35">
      <c r="A303" s="132" t="s">
        <v>248</v>
      </c>
      <c r="B303" s="149">
        <v>56.5</v>
      </c>
      <c r="C303" s="149">
        <v>54.2</v>
      </c>
      <c r="D303" s="149"/>
    </row>
    <row r="304" spans="1:4" x14ac:dyDescent="0.35">
      <c r="A304" s="132" t="s">
        <v>382</v>
      </c>
      <c r="B304" s="131">
        <v>116090</v>
      </c>
      <c r="C304" s="131">
        <v>116090</v>
      </c>
      <c r="D304" s="131"/>
    </row>
    <row r="305" spans="1:4" x14ac:dyDescent="0.35">
      <c r="A305" s="132" t="s">
        <v>47</v>
      </c>
      <c r="B305" s="152">
        <f>B303*B304</f>
        <v>6559085</v>
      </c>
      <c r="C305" s="152">
        <f>C303*C304</f>
        <v>6292078</v>
      </c>
      <c r="D305" s="152"/>
    </row>
    <row r="306" spans="1:4" x14ac:dyDescent="0.35">
      <c r="A306" s="5"/>
      <c r="B306" s="66"/>
      <c r="C306" s="67"/>
      <c r="D306" s="168"/>
    </row>
    <row r="307" spans="1:4" x14ac:dyDescent="0.35">
      <c r="A307" s="5"/>
      <c r="B307" s="66"/>
      <c r="C307" s="67"/>
      <c r="D307" s="168"/>
    </row>
    <row r="308" spans="1:4" x14ac:dyDescent="0.35">
      <c r="A308" s="5"/>
      <c r="B308" s="66"/>
      <c r="C308" s="67"/>
      <c r="D308" s="168"/>
    </row>
    <row r="309" spans="1:4" ht="29" x14ac:dyDescent="0.35">
      <c r="A309" s="273" t="s">
        <v>410</v>
      </c>
      <c r="B309" s="66"/>
      <c r="C309" s="67"/>
      <c r="D309" s="168"/>
    </row>
    <row r="310" spans="1:4" ht="29" x14ac:dyDescent="0.35">
      <c r="A310" s="13" t="s">
        <v>411</v>
      </c>
      <c r="B310" s="66"/>
      <c r="C310" s="67"/>
      <c r="D310" s="168"/>
    </row>
    <row r="311" spans="1:4" x14ac:dyDescent="0.35">
      <c r="A311" s="7">
        <v>2018</v>
      </c>
      <c r="B311" s="66" t="s">
        <v>419</v>
      </c>
      <c r="C311" s="66" t="s">
        <v>420</v>
      </c>
      <c r="D311" s="168"/>
    </row>
    <row r="312" spans="1:4" x14ac:dyDescent="0.35">
      <c r="A312" s="5"/>
      <c r="B312" s="66"/>
      <c r="C312" s="67"/>
      <c r="D312" s="168"/>
    </row>
    <row r="313" spans="1:4" x14ac:dyDescent="0.35">
      <c r="A313" s="132" t="s">
        <v>248</v>
      </c>
      <c r="B313" s="151">
        <v>50</v>
      </c>
      <c r="C313" s="151">
        <v>50.1</v>
      </c>
      <c r="D313" s="168"/>
    </row>
    <row r="314" spans="1:4" x14ac:dyDescent="0.35">
      <c r="A314" s="132" t="s">
        <v>382</v>
      </c>
      <c r="B314" s="131">
        <v>116090</v>
      </c>
      <c r="C314" s="131">
        <v>116090</v>
      </c>
      <c r="D314" s="168"/>
    </row>
    <row r="315" spans="1:4" x14ac:dyDescent="0.35">
      <c r="A315" s="132" t="s">
        <v>47</v>
      </c>
      <c r="B315" s="152">
        <f>B313*B314</f>
        <v>5804500</v>
      </c>
      <c r="C315" s="152">
        <f>C313*C314</f>
        <v>5816109</v>
      </c>
      <c r="D315" s="168"/>
    </row>
    <row r="316" spans="1:4" x14ac:dyDescent="0.35">
      <c r="A316" s="5"/>
      <c r="B316" s="66"/>
      <c r="C316" s="66"/>
      <c r="D316" s="168"/>
    </row>
    <row r="317" spans="1:4" x14ac:dyDescent="0.35">
      <c r="A317" s="5" t="s">
        <v>69</v>
      </c>
      <c r="B317" s="187">
        <f>'Gasification IDL'!P135</f>
        <v>2.3502000000000001</v>
      </c>
      <c r="C317" s="187">
        <f>'Gasification IDL'!Q135</f>
        <v>2.7528999999999999</v>
      </c>
      <c r="D317" s="168"/>
    </row>
    <row r="318" spans="1:4" x14ac:dyDescent="0.35">
      <c r="A318" s="5" t="s">
        <v>48</v>
      </c>
      <c r="B318" s="187">
        <f>B317/B314*1000000</f>
        <v>20.244637781031958</v>
      </c>
      <c r="C318" s="187">
        <f>C317/C314*1000000</f>
        <v>23.713498147988631</v>
      </c>
      <c r="D318" s="168"/>
    </row>
    <row r="319" spans="1:4" x14ac:dyDescent="0.35">
      <c r="B319" s="66"/>
      <c r="C319" s="67"/>
      <c r="D319" s="168"/>
    </row>
    <row r="320" spans="1:4" x14ac:dyDescent="0.35">
      <c r="A320" s="5"/>
      <c r="B320" s="66"/>
      <c r="C320" s="67"/>
      <c r="D320" s="168"/>
    </row>
    <row r="321" spans="1:4" x14ac:dyDescent="0.35">
      <c r="A321" s="5"/>
      <c r="B321" s="66"/>
      <c r="C321" s="67"/>
      <c r="D321" s="168"/>
    </row>
    <row r="322" spans="1:4" ht="43.5" x14ac:dyDescent="0.35">
      <c r="A322" s="273" t="s">
        <v>421</v>
      </c>
      <c r="B322" s="66"/>
      <c r="C322" s="67"/>
      <c r="D322" s="168"/>
    </row>
    <row r="323" spans="1:4" ht="43.5" x14ac:dyDescent="0.35">
      <c r="A323" s="13" t="s">
        <v>422</v>
      </c>
      <c r="B323" s="66"/>
      <c r="C323" s="67"/>
      <c r="D323" s="168"/>
    </row>
    <row r="324" spans="1:4" x14ac:dyDescent="0.35">
      <c r="A324" s="7">
        <v>2018</v>
      </c>
      <c r="B324" s="67" t="s">
        <v>426</v>
      </c>
      <c r="C324" s="67" t="s">
        <v>495</v>
      </c>
      <c r="D324"/>
    </row>
    <row r="325" spans="1:4" x14ac:dyDescent="0.35">
      <c r="A325" s="144"/>
      <c r="B325" s="67"/>
      <c r="C325" s="67"/>
      <c r="D325"/>
    </row>
    <row r="326" spans="1:4" x14ac:dyDescent="0.35">
      <c r="A326" s="132" t="s">
        <v>248</v>
      </c>
      <c r="B326" s="197">
        <v>52</v>
      </c>
      <c r="C326" s="197">
        <v>56</v>
      </c>
      <c r="D326"/>
    </row>
    <row r="327" spans="1:4" x14ac:dyDescent="0.35">
      <c r="A327" s="132" t="s">
        <v>382</v>
      </c>
      <c r="B327" s="131">
        <v>116090</v>
      </c>
      <c r="C327" s="131">
        <v>116090</v>
      </c>
      <c r="D327"/>
    </row>
    <row r="328" spans="1:4" x14ac:dyDescent="0.35">
      <c r="A328" s="132" t="s">
        <v>47</v>
      </c>
      <c r="B328" s="152">
        <f>B326*B327</f>
        <v>6036680</v>
      </c>
      <c r="C328" s="152">
        <f>C326*C327</f>
        <v>6501040</v>
      </c>
      <c r="D328"/>
    </row>
    <row r="329" spans="1:4" x14ac:dyDescent="0.35">
      <c r="A329" s="5"/>
      <c r="B329" s="66"/>
      <c r="C329" s="66"/>
      <c r="D329"/>
    </row>
    <row r="330" spans="1:4" x14ac:dyDescent="0.35">
      <c r="A330" s="5" t="s">
        <v>69</v>
      </c>
      <c r="B330" s="187">
        <f>Pyrolysis!H128</f>
        <v>3.5</v>
      </c>
      <c r="C330" s="187">
        <f>Pyrolysis!I128</f>
        <v>2.93</v>
      </c>
      <c r="D330"/>
    </row>
    <row r="331" spans="1:4" x14ac:dyDescent="0.35">
      <c r="A331" s="5" t="s">
        <v>48</v>
      </c>
      <c r="B331" s="187">
        <f>B330/B327*1000000</f>
        <v>30.149022310276511</v>
      </c>
      <c r="C331" s="187">
        <f>C330/C327*1000000</f>
        <v>25.239038676888622</v>
      </c>
      <c r="D331"/>
    </row>
    <row r="332" spans="1:4" x14ac:dyDescent="0.35">
      <c r="A332" s="5"/>
      <c r="B332" s="187"/>
      <c r="C332" s="187"/>
      <c r="D332"/>
    </row>
    <row r="333" spans="1:4" x14ac:dyDescent="0.35">
      <c r="A333" s="5"/>
      <c r="B333" s="187"/>
      <c r="C333" s="187"/>
      <c r="D333"/>
    </row>
    <row r="334" spans="1:4" x14ac:dyDescent="0.35">
      <c r="A334" s="5"/>
      <c r="B334" s="66"/>
      <c r="C334" s="67"/>
      <c r="D334" s="168"/>
    </row>
    <row r="335" spans="1:4" ht="43.5" x14ac:dyDescent="0.35">
      <c r="A335" s="276" t="s">
        <v>588</v>
      </c>
      <c r="B335" s="238"/>
      <c r="C335" s="234"/>
      <c r="D335" s="168"/>
    </row>
    <row r="336" spans="1:4" ht="58" x14ac:dyDescent="0.35">
      <c r="A336" s="207" t="s">
        <v>589</v>
      </c>
      <c r="B336" s="238"/>
      <c r="C336" s="234"/>
      <c r="D336" s="168"/>
    </row>
    <row r="337" spans="1:4" x14ac:dyDescent="0.35">
      <c r="A337" s="143">
        <v>2020</v>
      </c>
      <c r="B337" s="234"/>
      <c r="C337" s="234"/>
      <c r="D337" s="168"/>
    </row>
    <row r="338" spans="1:4" x14ac:dyDescent="0.35">
      <c r="A338" s="157"/>
      <c r="B338" s="234" t="s">
        <v>593</v>
      </c>
      <c r="C338" s="234" t="s">
        <v>595</v>
      </c>
      <c r="D338" s="168"/>
    </row>
    <row r="339" spans="1:4" x14ac:dyDescent="0.35">
      <c r="A339" s="132" t="s">
        <v>248</v>
      </c>
      <c r="B339" s="249">
        <v>43.1</v>
      </c>
      <c r="C339" s="249">
        <v>43.1</v>
      </c>
      <c r="D339" s="168"/>
    </row>
    <row r="340" spans="1:4" x14ac:dyDescent="0.35">
      <c r="A340" s="132" t="s">
        <v>382</v>
      </c>
      <c r="B340" s="131">
        <v>116090</v>
      </c>
      <c r="C340" s="131">
        <v>116090</v>
      </c>
      <c r="D340" s="168"/>
    </row>
    <row r="341" spans="1:4" x14ac:dyDescent="0.35">
      <c r="A341" s="132" t="s">
        <v>47</v>
      </c>
      <c r="B341" s="152">
        <f>B339*B340</f>
        <v>5003479</v>
      </c>
      <c r="C341" s="152">
        <f>C339*C340</f>
        <v>5003479</v>
      </c>
      <c r="D341" s="168"/>
    </row>
    <row r="342" spans="1:4" x14ac:dyDescent="0.35">
      <c r="A342" s="132"/>
      <c r="B342" s="238"/>
      <c r="C342" s="238"/>
      <c r="D342" s="168"/>
    </row>
    <row r="343" spans="1:4" x14ac:dyDescent="0.35">
      <c r="A343" s="132" t="s">
        <v>69</v>
      </c>
      <c r="B343" s="230">
        <f>Pyrolysis!J128</f>
        <v>3.33</v>
      </c>
      <c r="C343" s="230">
        <f>Pyrolysis!K128</f>
        <v>3.09</v>
      </c>
      <c r="D343" s="168"/>
    </row>
    <row r="344" spans="1:4" x14ac:dyDescent="0.35">
      <c r="A344" s="132" t="s">
        <v>48</v>
      </c>
      <c r="B344" s="230">
        <f>B343/B340*1000000</f>
        <v>28.684641226634508</v>
      </c>
      <c r="C344" s="230">
        <f>C343/C340*1000000</f>
        <v>26.617279696786973</v>
      </c>
      <c r="D344" s="168"/>
    </row>
    <row r="345" spans="1:4" x14ac:dyDescent="0.35">
      <c r="A345" s="5"/>
      <c r="B345" s="66"/>
      <c r="C345" s="67"/>
      <c r="D345" s="168"/>
    </row>
    <row r="346" spans="1:4" x14ac:dyDescent="0.35">
      <c r="A346" s="5"/>
      <c r="B346" s="66"/>
      <c r="C346" s="67"/>
      <c r="D346" s="168"/>
    </row>
    <row r="347" spans="1:4" x14ac:dyDescent="0.35">
      <c r="A347" s="5"/>
      <c r="B347" s="66"/>
      <c r="C347" s="67"/>
      <c r="D347" s="168"/>
    </row>
    <row r="348" spans="1:4" ht="15.5" x14ac:dyDescent="0.35">
      <c r="A348" s="277" t="s">
        <v>523</v>
      </c>
      <c r="B348" s="66"/>
      <c r="C348" s="67"/>
      <c r="D348" s="168"/>
    </row>
    <row r="349" spans="1:4" x14ac:dyDescent="0.35">
      <c r="A349" s="5"/>
      <c r="B349" s="66"/>
      <c r="C349" s="67"/>
      <c r="D349" s="168"/>
    </row>
    <row r="350" spans="1:4" ht="58" x14ac:dyDescent="0.35">
      <c r="A350" s="272" t="s">
        <v>139</v>
      </c>
      <c r="D350" s="168"/>
    </row>
    <row r="351" spans="1:4" ht="43.5" x14ac:dyDescent="0.35">
      <c r="A351" s="6" t="s">
        <v>140</v>
      </c>
      <c r="D351" s="168"/>
    </row>
    <row r="352" spans="1:4" x14ac:dyDescent="0.35">
      <c r="A352" s="7">
        <v>2013</v>
      </c>
      <c r="D352" s="168"/>
    </row>
    <row r="353" spans="1:4" x14ac:dyDescent="0.35">
      <c r="A353" s="8" t="s">
        <v>211</v>
      </c>
      <c r="D353" s="168"/>
    </row>
    <row r="354" spans="1:4" x14ac:dyDescent="0.35">
      <c r="D354" s="168"/>
    </row>
    <row r="355" spans="1:4" x14ac:dyDescent="0.35">
      <c r="D355" s="168"/>
    </row>
    <row r="356" spans="1:4" x14ac:dyDescent="0.35">
      <c r="A356" s="1" t="s">
        <v>748</v>
      </c>
      <c r="B356" s="139">
        <f>32.9*1000000</f>
        <v>32900000</v>
      </c>
      <c r="D356" s="168"/>
    </row>
    <row r="357" spans="1:4" x14ac:dyDescent="0.35">
      <c r="A357" s="5" t="s">
        <v>150</v>
      </c>
      <c r="B357" s="131">
        <v>116090</v>
      </c>
      <c r="D357" s="168"/>
    </row>
    <row r="358" spans="1:4" x14ac:dyDescent="0.35">
      <c r="A358" s="5" t="s">
        <v>209</v>
      </c>
      <c r="B358" s="129">
        <f>B357/1000000</f>
        <v>0.11609</v>
      </c>
      <c r="D358" s="168"/>
    </row>
    <row r="359" spans="1:4" x14ac:dyDescent="0.35">
      <c r="A359" s="5" t="s">
        <v>47</v>
      </c>
      <c r="B359" s="139">
        <f>B356*B358</f>
        <v>3819361</v>
      </c>
      <c r="D359" s="168"/>
    </row>
    <row r="360" spans="1:4" x14ac:dyDescent="0.35">
      <c r="B360" s="137"/>
      <c r="D360" s="168"/>
    </row>
    <row r="361" spans="1:4" x14ac:dyDescent="0.35">
      <c r="A361" s="5" t="s">
        <v>69</v>
      </c>
      <c r="B361" s="92">
        <f>Biochemical!B148</f>
        <v>5.0999999999999996</v>
      </c>
      <c r="D361" s="168"/>
    </row>
    <row r="362" spans="1:4" x14ac:dyDescent="0.35">
      <c r="A362" s="5" t="s">
        <v>382</v>
      </c>
      <c r="B362" s="131">
        <v>116090</v>
      </c>
      <c r="D362" s="168"/>
    </row>
    <row r="363" spans="1:4" x14ac:dyDescent="0.35">
      <c r="A363" s="5" t="s">
        <v>721</v>
      </c>
      <c r="B363" s="129">
        <f>B362/1000000</f>
        <v>0.11609</v>
      </c>
      <c r="D363" s="168"/>
    </row>
    <row r="364" spans="1:4" x14ac:dyDescent="0.35">
      <c r="A364" s="5" t="s">
        <v>48</v>
      </c>
      <c r="B364" s="130">
        <f>B361/B363</f>
        <v>43.931432509260055</v>
      </c>
      <c r="D364" s="168"/>
    </row>
    <row r="365" spans="1:4" x14ac:dyDescent="0.35">
      <c r="B365" s="137"/>
      <c r="D365" s="168"/>
    </row>
    <row r="366" spans="1:4" x14ac:dyDescent="0.35">
      <c r="A366" s="5" t="s">
        <v>11</v>
      </c>
      <c r="B366" s="122">
        <v>2000</v>
      </c>
      <c r="D366" s="168"/>
    </row>
    <row r="367" spans="1:4" x14ac:dyDescent="0.35">
      <c r="A367" s="5" t="s">
        <v>210</v>
      </c>
      <c r="B367" s="139">
        <f>B366*2204/2000</f>
        <v>2204</v>
      </c>
      <c r="D367" s="168"/>
    </row>
    <row r="368" spans="1:4" x14ac:dyDescent="0.35">
      <c r="A368" s="5" t="s">
        <v>643</v>
      </c>
      <c r="B368" s="135">
        <v>328.72500000000002</v>
      </c>
      <c r="D368" s="168"/>
    </row>
    <row r="369" spans="1:4" x14ac:dyDescent="0.35">
      <c r="A369" s="5" t="s">
        <v>214</v>
      </c>
      <c r="B369" s="139">
        <f>B367*B368</f>
        <v>724509.9</v>
      </c>
      <c r="D369" s="168"/>
    </row>
    <row r="370" spans="1:4" x14ac:dyDescent="0.35">
      <c r="A370" s="1" t="s">
        <v>748</v>
      </c>
      <c r="B370" s="139">
        <f>42.9*1000000</f>
        <v>42900000</v>
      </c>
    </row>
    <row r="371" spans="1:4" x14ac:dyDescent="0.35">
      <c r="A371" s="5" t="s">
        <v>77</v>
      </c>
      <c r="B371" s="145">
        <f>B370/B369</f>
        <v>59.212441403492207</v>
      </c>
    </row>
    <row r="372" spans="1:4" x14ac:dyDescent="0.35">
      <c r="A372" s="5"/>
      <c r="B372" s="66"/>
      <c r="C372" s="67"/>
    </row>
    <row r="373" spans="1:4" x14ac:dyDescent="0.35">
      <c r="A373" s="5"/>
      <c r="B373" s="66"/>
      <c r="C373" s="67"/>
    </row>
    <row r="374" spans="1:4" x14ac:dyDescent="0.35">
      <c r="A374" s="5"/>
      <c r="B374" s="66"/>
      <c r="C374" s="67"/>
    </row>
    <row r="375" spans="1:4" ht="29" x14ac:dyDescent="0.35">
      <c r="A375" s="273" t="s">
        <v>749</v>
      </c>
      <c r="B375" s="66"/>
      <c r="C375" s="67"/>
    </row>
    <row r="376" spans="1:4" x14ac:dyDescent="0.35">
      <c r="A376" s="6" t="s">
        <v>342</v>
      </c>
      <c r="B376" s="66"/>
      <c r="C376" s="67"/>
    </row>
    <row r="377" spans="1:4" x14ac:dyDescent="0.35">
      <c r="A377" s="7">
        <v>2017</v>
      </c>
      <c r="B377" s="66"/>
      <c r="C377" s="168"/>
    </row>
    <row r="378" spans="1:4" x14ac:dyDescent="0.35">
      <c r="A378" s="7" t="s">
        <v>344</v>
      </c>
      <c r="B378" s="66" t="s">
        <v>349</v>
      </c>
      <c r="C378" s="66" t="s">
        <v>349</v>
      </c>
    </row>
    <row r="379" spans="1:4" ht="29" x14ac:dyDescent="0.35">
      <c r="A379" s="8" t="s">
        <v>343</v>
      </c>
      <c r="B379" s="274" t="s">
        <v>750</v>
      </c>
      <c r="C379" s="274" t="s">
        <v>751</v>
      </c>
    </row>
    <row r="380" spans="1:4" x14ac:dyDescent="0.35">
      <c r="A380" s="5"/>
      <c r="B380" s="168"/>
      <c r="C380"/>
    </row>
    <row r="381" spans="1:4" x14ac:dyDescent="0.35">
      <c r="A381" s="5" t="s">
        <v>752</v>
      </c>
      <c r="B381" s="179"/>
      <c r="C381" s="179">
        <v>7.6999999999999999E-2</v>
      </c>
    </row>
    <row r="382" spans="1:4" x14ac:dyDescent="0.35">
      <c r="A382" s="5" t="s">
        <v>753</v>
      </c>
      <c r="B382" s="12"/>
      <c r="C382" s="12">
        <v>0.15</v>
      </c>
    </row>
    <row r="383" spans="1:4" x14ac:dyDescent="0.35">
      <c r="A383" s="5" t="s">
        <v>754</v>
      </c>
      <c r="B383" s="180"/>
      <c r="C383" s="180">
        <f>C381/(1-C382)</f>
        <v>9.058823529411765E-2</v>
      </c>
    </row>
    <row r="384" spans="1:4" x14ac:dyDescent="0.35">
      <c r="A384" s="5" t="s">
        <v>755</v>
      </c>
      <c r="B384" s="167"/>
      <c r="C384" s="167">
        <f>C383*2000</f>
        <v>181.1764705882353</v>
      </c>
    </row>
    <row r="385" spans="1:5" x14ac:dyDescent="0.35">
      <c r="A385" s="5"/>
      <c r="B385" s="167"/>
      <c r="C385" s="167"/>
    </row>
    <row r="386" spans="1:5" x14ac:dyDescent="0.35">
      <c r="A386" s="5" t="s">
        <v>69</v>
      </c>
      <c r="B386" s="167">
        <f>B388*(B387/B389)</f>
        <v>4.9747434488127684</v>
      </c>
      <c r="C386" s="167">
        <f>Biochemical!E17</f>
        <v>4.09</v>
      </c>
    </row>
    <row r="387" spans="1:5" x14ac:dyDescent="0.35">
      <c r="A387" s="5" t="s">
        <v>382</v>
      </c>
      <c r="B387" s="131">
        <v>116090</v>
      </c>
      <c r="C387" s="131">
        <v>116090</v>
      </c>
      <c r="D387" s="168"/>
      <c r="E387" s="167"/>
    </row>
    <row r="388" spans="1:5" x14ac:dyDescent="0.35">
      <c r="A388" s="5" t="s">
        <v>354</v>
      </c>
      <c r="B388" s="183">
        <v>5.5044000000000004</v>
      </c>
      <c r="C388" s="131"/>
      <c r="D388" s="168"/>
      <c r="E388" s="167"/>
    </row>
    <row r="389" spans="1:5" x14ac:dyDescent="0.35">
      <c r="A389" s="5" t="s">
        <v>713</v>
      </c>
      <c r="B389" s="131">
        <v>128450</v>
      </c>
      <c r="C389" s="131"/>
      <c r="D389" s="168"/>
      <c r="E389" s="167"/>
    </row>
    <row r="390" spans="1:5" x14ac:dyDescent="0.35">
      <c r="A390" s="132" t="s">
        <v>48</v>
      </c>
      <c r="B390" s="167">
        <f>B386/B387*1000000</f>
        <v>42.852471778902306</v>
      </c>
      <c r="C390" s="167">
        <f>C386/C387*1000000</f>
        <v>35.231286071151693</v>
      </c>
      <c r="D390" s="168"/>
      <c r="E390" s="178"/>
    </row>
    <row r="391" spans="1:5" x14ac:dyDescent="0.35">
      <c r="A391" s="5"/>
      <c r="B391" s="167"/>
      <c r="C391" s="167"/>
      <c r="D391" s="168"/>
      <c r="E391" s="178"/>
    </row>
    <row r="392" spans="1:5" x14ac:dyDescent="0.35">
      <c r="A392" s="132" t="s">
        <v>248</v>
      </c>
      <c r="B392" s="181"/>
      <c r="C392" s="181">
        <v>51.431753999999998</v>
      </c>
      <c r="D392" s="168"/>
      <c r="E392" s="178"/>
    </row>
    <row r="393" spans="1:5" x14ac:dyDescent="0.35">
      <c r="A393" s="132" t="s">
        <v>355</v>
      </c>
      <c r="B393" s="181">
        <v>35.909999999999997</v>
      </c>
      <c r="C393" s="181"/>
      <c r="D393" s="168"/>
      <c r="E393" s="178"/>
    </row>
    <row r="394" spans="1:5" x14ac:dyDescent="0.35">
      <c r="A394" s="132" t="s">
        <v>382</v>
      </c>
      <c r="B394" s="131">
        <v>116090</v>
      </c>
      <c r="C394" s="131">
        <v>116090</v>
      </c>
      <c r="D394" s="168"/>
      <c r="E394" s="178"/>
    </row>
    <row r="395" spans="1:5" x14ac:dyDescent="0.35">
      <c r="A395" s="5" t="s">
        <v>713</v>
      </c>
      <c r="B395" s="131">
        <v>128450</v>
      </c>
      <c r="C395" s="131"/>
      <c r="D395" s="168"/>
      <c r="E395" s="178"/>
    </row>
    <row r="396" spans="1:5" x14ac:dyDescent="0.35">
      <c r="A396" s="132" t="s">
        <v>47</v>
      </c>
      <c r="B396" s="182">
        <f>B393*B395</f>
        <v>4612639.5</v>
      </c>
      <c r="C396" s="182">
        <f>(C392*1000000)*C394/1000000</f>
        <v>5970712.3218599996</v>
      </c>
      <c r="D396" s="168"/>
      <c r="E396" s="178"/>
    </row>
    <row r="397" spans="1:5" x14ac:dyDescent="0.35">
      <c r="A397" s="5"/>
      <c r="B397" s="177"/>
      <c r="C397" s="168"/>
      <c r="D397" s="168"/>
      <c r="E397" s="178"/>
    </row>
    <row r="398" spans="1:5" x14ac:dyDescent="0.35">
      <c r="A398" s="5"/>
      <c r="B398" s="177"/>
      <c r="C398" s="168"/>
      <c r="D398" s="168"/>
      <c r="E398" s="178"/>
    </row>
    <row r="399" spans="1:5" x14ac:dyDescent="0.35">
      <c r="A399" s="5"/>
      <c r="B399" s="177"/>
      <c r="C399" s="168"/>
      <c r="D399" s="168"/>
      <c r="E399" s="178"/>
    </row>
    <row r="400" spans="1:5" x14ac:dyDescent="0.35">
      <c r="A400" s="132" t="s">
        <v>160</v>
      </c>
      <c r="B400" s="177"/>
      <c r="C400" s="168"/>
      <c r="D400" s="168"/>
      <c r="E400" s="178"/>
    </row>
    <row r="401" spans="1:5" x14ac:dyDescent="0.35">
      <c r="A401" s="132" t="s">
        <v>756</v>
      </c>
      <c r="B401" s="177"/>
      <c r="C401" s="168"/>
      <c r="D401" s="168"/>
      <c r="E401" s="178"/>
    </row>
    <row r="402" spans="1:5" x14ac:dyDescent="0.35">
      <c r="A402" s="132" t="s">
        <v>382</v>
      </c>
      <c r="B402" s="177"/>
      <c r="C402" s="168"/>
      <c r="D402" s="168"/>
      <c r="E402" s="178"/>
    </row>
    <row r="403" spans="1:5" x14ac:dyDescent="0.35">
      <c r="A403" s="132" t="s">
        <v>721</v>
      </c>
      <c r="B403" s="177"/>
      <c r="C403" s="168"/>
      <c r="D403" s="168"/>
      <c r="E403" s="178"/>
    </row>
    <row r="404" spans="1:5" x14ac:dyDescent="0.35">
      <c r="A404" s="132" t="s">
        <v>69</v>
      </c>
      <c r="B404" s="177"/>
      <c r="C404" s="168"/>
      <c r="D404" s="168"/>
      <c r="E404" s="178"/>
    </row>
    <row r="405" spans="1:5" x14ac:dyDescent="0.35">
      <c r="A405" s="132"/>
      <c r="B405" s="177"/>
      <c r="C405" s="168"/>
      <c r="D405" s="168"/>
      <c r="E405" s="178"/>
    </row>
    <row r="406" spans="1:5" x14ac:dyDescent="0.35">
      <c r="A406" s="132" t="s">
        <v>48</v>
      </c>
      <c r="B406" s="177"/>
      <c r="C406" s="168"/>
      <c r="D406" s="168"/>
      <c r="E406" s="178"/>
    </row>
    <row r="407" spans="1:5" x14ac:dyDescent="0.35">
      <c r="B407" s="177"/>
      <c r="C407" s="168"/>
      <c r="D407" s="168"/>
    </row>
    <row r="408" spans="1:5" x14ac:dyDescent="0.35">
      <c r="A408" s="150" t="s">
        <v>757</v>
      </c>
      <c r="B408" s="177"/>
      <c r="C408" s="168"/>
      <c r="D408" s="168"/>
    </row>
    <row r="409" spans="1:5" x14ac:dyDescent="0.35">
      <c r="A409" s="132" t="s">
        <v>47</v>
      </c>
      <c r="B409" s="177"/>
      <c r="C409" s="168"/>
      <c r="D409" s="168"/>
    </row>
    <row r="410" spans="1:5" x14ac:dyDescent="0.35">
      <c r="A410" s="150"/>
      <c r="B410" s="177"/>
      <c r="C410" s="168"/>
      <c r="D410" s="168"/>
    </row>
    <row r="411" spans="1:5" x14ac:dyDescent="0.35">
      <c r="A411" s="132" t="s">
        <v>11</v>
      </c>
      <c r="B411" s="177"/>
      <c r="C411" s="168"/>
      <c r="D411" s="168"/>
    </row>
    <row r="412" spans="1:5" x14ac:dyDescent="0.35">
      <c r="A412" s="132" t="s">
        <v>210</v>
      </c>
      <c r="B412" s="177"/>
      <c r="C412" s="168"/>
      <c r="D412" s="168"/>
    </row>
    <row r="413" spans="1:5" x14ac:dyDescent="0.35">
      <c r="A413" s="132" t="s">
        <v>643</v>
      </c>
      <c r="B413" s="177"/>
      <c r="C413" s="168"/>
      <c r="D413"/>
    </row>
    <row r="414" spans="1:5" x14ac:dyDescent="0.35">
      <c r="A414" s="132" t="s">
        <v>214</v>
      </c>
      <c r="B414" s="177"/>
      <c r="C414" s="168"/>
      <c r="D414"/>
    </row>
    <row r="415" spans="1:5" x14ac:dyDescent="0.35">
      <c r="A415" s="150" t="s">
        <v>757</v>
      </c>
      <c r="B415" s="177"/>
      <c r="C415" s="168"/>
      <c r="D415"/>
    </row>
    <row r="416" spans="1:5" x14ac:dyDescent="0.35">
      <c r="A416" s="132" t="s">
        <v>77</v>
      </c>
      <c r="B416" s="177"/>
      <c r="C416" s="168"/>
      <c r="D416"/>
    </row>
    <row r="417" spans="1:4" x14ac:dyDescent="0.35">
      <c r="A417" s="5"/>
      <c r="B417" s="66"/>
      <c r="C417" s="67"/>
      <c r="D417"/>
    </row>
    <row r="418" spans="1:4" x14ac:dyDescent="0.35">
      <c r="A418" s="5"/>
      <c r="B418" s="66"/>
      <c r="C418" s="67"/>
      <c r="D418"/>
    </row>
    <row r="419" spans="1:4" x14ac:dyDescent="0.35">
      <c r="A419" s="5"/>
      <c r="B419" s="66"/>
      <c r="C419" s="67"/>
      <c r="D419"/>
    </row>
    <row r="420" spans="1:4" ht="58" x14ac:dyDescent="0.35">
      <c r="A420" s="273" t="s">
        <v>337</v>
      </c>
      <c r="B420" s="66"/>
      <c r="C420" s="67"/>
      <c r="D420"/>
    </row>
    <row r="421" spans="1:4" ht="29" x14ac:dyDescent="0.35">
      <c r="A421" s="6" t="s">
        <v>338</v>
      </c>
      <c r="B421"/>
      <c r="C421"/>
      <c r="D421"/>
    </row>
    <row r="422" spans="1:4" x14ac:dyDescent="0.35">
      <c r="A422" s="7">
        <v>2015</v>
      </c>
      <c r="B422"/>
      <c r="C422"/>
      <c r="D422"/>
    </row>
    <row r="423" spans="1:4" x14ac:dyDescent="0.35">
      <c r="A423" s="7" t="s">
        <v>547</v>
      </c>
      <c r="B423" s="66" t="s">
        <v>340</v>
      </c>
      <c r="C423"/>
      <c r="D423" s="168"/>
    </row>
    <row r="424" spans="1:4" x14ac:dyDescent="0.35">
      <c r="A424" s="5"/>
      <c r="B424" s="66" t="s">
        <v>341</v>
      </c>
      <c r="C424"/>
      <c r="D424" s="168"/>
    </row>
    <row r="425" spans="1:4" x14ac:dyDescent="0.35">
      <c r="A425" s="5"/>
      <c r="B425"/>
      <c r="C425"/>
      <c r="D425" s="168"/>
    </row>
    <row r="426" spans="1:4" x14ac:dyDescent="0.35">
      <c r="A426" s="5" t="s">
        <v>69</v>
      </c>
      <c r="B426" s="167">
        <f>Biochemical!C17</f>
        <v>4.2580999999999998</v>
      </c>
      <c r="C426"/>
      <c r="D426" s="168"/>
    </row>
    <row r="427" spans="1:4" x14ac:dyDescent="0.35">
      <c r="A427" s="5" t="s">
        <v>382</v>
      </c>
      <c r="B427" s="16">
        <v>116090</v>
      </c>
      <c r="C427"/>
      <c r="D427" s="168"/>
    </row>
    <row r="428" spans="1:4" x14ac:dyDescent="0.35">
      <c r="A428" s="132" t="s">
        <v>48</v>
      </c>
      <c r="B428" s="130">
        <f>B426/(B427/1000000)</f>
        <v>36.679300542682398</v>
      </c>
      <c r="C428"/>
      <c r="D428" s="168"/>
    </row>
    <row r="429" spans="1:4" x14ac:dyDescent="0.35">
      <c r="A429" s="5"/>
      <c r="B429" s="168"/>
      <c r="C429"/>
      <c r="D429" s="168"/>
    </row>
    <row r="430" spans="1:4" x14ac:dyDescent="0.35">
      <c r="A430" s="132" t="s">
        <v>248</v>
      </c>
      <c r="B430" s="149">
        <v>56.7</v>
      </c>
      <c r="C430"/>
      <c r="D430" s="168"/>
    </row>
    <row r="431" spans="1:4" x14ac:dyDescent="0.35">
      <c r="A431" s="132" t="s">
        <v>382</v>
      </c>
      <c r="B431" s="131">
        <v>116090</v>
      </c>
      <c r="C431"/>
      <c r="D431" s="168"/>
    </row>
    <row r="432" spans="1:4" x14ac:dyDescent="0.35">
      <c r="A432" s="132" t="s">
        <v>47</v>
      </c>
      <c r="B432" s="152">
        <f>B430*B431</f>
        <v>6582303</v>
      </c>
      <c r="C432"/>
      <c r="D432" s="168"/>
    </row>
    <row r="433" spans="1:4" x14ac:dyDescent="0.35">
      <c r="A433" s="5"/>
      <c r="B433" s="66"/>
      <c r="C433" s="67"/>
      <c r="D433" s="168"/>
    </row>
    <row r="434" spans="1:4" x14ac:dyDescent="0.35">
      <c r="A434" s="5"/>
      <c r="B434" s="66"/>
      <c r="C434" s="67"/>
      <c r="D434" s="168"/>
    </row>
    <row r="435" spans="1:4" x14ac:dyDescent="0.35">
      <c r="A435" s="5"/>
      <c r="B435" s="66"/>
      <c r="C435" s="67"/>
      <c r="D435" s="168"/>
    </row>
    <row r="436" spans="1:4" ht="43.5" x14ac:dyDescent="0.35">
      <c r="A436" s="273" t="s">
        <v>361</v>
      </c>
      <c r="B436" s="66"/>
      <c r="C436" s="67"/>
      <c r="D436" s="168"/>
    </row>
    <row r="437" spans="1:4" ht="43.5" x14ac:dyDescent="0.35">
      <c r="A437" s="6" t="s">
        <v>362</v>
      </c>
      <c r="B437" s="66"/>
      <c r="C437" s="67"/>
      <c r="D437" s="168"/>
    </row>
    <row r="438" spans="1:4" x14ac:dyDescent="0.35">
      <c r="A438" s="7"/>
      <c r="B438" s="66"/>
      <c r="C438" s="67"/>
      <c r="D438" s="168"/>
    </row>
    <row r="439" spans="1:4" x14ac:dyDescent="0.35">
      <c r="A439" s="144" t="s">
        <v>363</v>
      </c>
      <c r="B439" s="66"/>
      <c r="C439" s="67"/>
      <c r="D439" s="168"/>
    </row>
    <row r="440" spans="1:4" x14ac:dyDescent="0.35">
      <c r="A440" s="6" t="s">
        <v>365</v>
      </c>
      <c r="C440" s="66"/>
      <c r="D440" s="168"/>
    </row>
    <row r="441" spans="1:4" x14ac:dyDescent="0.35">
      <c r="A441" s="6"/>
      <c r="B441" s="66" t="s">
        <v>229</v>
      </c>
      <c r="C441" s="66"/>
      <c r="D441" s="168"/>
    </row>
    <row r="442" spans="1:4" x14ac:dyDescent="0.35">
      <c r="A442" s="5" t="s">
        <v>69</v>
      </c>
      <c r="B442" s="167">
        <f>Biochemical!F17</f>
        <v>5.8106999999999998</v>
      </c>
      <c r="C442" s="167"/>
      <c r="D442" s="168"/>
    </row>
    <row r="443" spans="1:4" x14ac:dyDescent="0.35">
      <c r="A443" s="5" t="s">
        <v>382</v>
      </c>
      <c r="B443" s="16">
        <v>116090</v>
      </c>
      <c r="C443" s="16"/>
      <c r="D443" s="168"/>
    </row>
    <row r="444" spans="1:4" x14ac:dyDescent="0.35">
      <c r="A444" s="132" t="s">
        <v>48</v>
      </c>
      <c r="B444" s="130">
        <f>B442/(B443/1000000)</f>
        <v>50.05340683952106</v>
      </c>
      <c r="C444" s="130"/>
      <c r="D444" s="168"/>
    </row>
    <row r="445" spans="1:4" x14ac:dyDescent="0.35">
      <c r="A445" s="5"/>
      <c r="B445" s="168"/>
      <c r="C445" s="168"/>
      <c r="D445" s="168"/>
    </row>
    <row r="446" spans="1:4" x14ac:dyDescent="0.35">
      <c r="A446" s="132" t="s">
        <v>248</v>
      </c>
      <c r="B446" s="149">
        <v>15</v>
      </c>
      <c r="C446" s="149"/>
      <c r="D446" s="168"/>
    </row>
    <row r="447" spans="1:4" x14ac:dyDescent="0.35">
      <c r="A447" s="132" t="s">
        <v>382</v>
      </c>
      <c r="B447" s="131">
        <v>116090</v>
      </c>
      <c r="C447" s="131"/>
      <c r="D447" s="168"/>
    </row>
    <row r="448" spans="1:4" x14ac:dyDescent="0.35">
      <c r="A448" s="132" t="s">
        <v>47</v>
      </c>
      <c r="B448" s="152">
        <f>B446*B447</f>
        <v>1741350</v>
      </c>
      <c r="C448" s="152"/>
      <c r="D448" s="168"/>
    </row>
    <row r="449" spans="1:4" x14ac:dyDescent="0.35">
      <c r="A449" s="132"/>
      <c r="B449" s="152"/>
      <c r="C449" s="152"/>
      <c r="D449" s="168"/>
    </row>
    <row r="450" spans="1:4" x14ac:dyDescent="0.35">
      <c r="A450" s="132"/>
      <c r="B450" s="152"/>
      <c r="C450" s="152"/>
      <c r="D450" s="168"/>
    </row>
    <row r="451" spans="1:4" x14ac:dyDescent="0.35">
      <c r="A451" s="132"/>
      <c r="B451" s="152"/>
      <c r="C451" s="152"/>
      <c r="D451" s="168"/>
    </row>
    <row r="452" spans="1:4" ht="72.5" x14ac:dyDescent="0.35">
      <c r="A452" s="273" t="s">
        <v>476</v>
      </c>
      <c r="B452" s="152"/>
      <c r="C452" s="152"/>
      <c r="D452" s="168"/>
    </row>
    <row r="453" spans="1:4" ht="43.5" x14ac:dyDescent="0.35">
      <c r="A453" s="6" t="s">
        <v>477</v>
      </c>
      <c r="B453" s="152"/>
      <c r="C453" s="152"/>
      <c r="D453" s="168"/>
    </row>
    <row r="454" spans="1:4" x14ac:dyDescent="0.35">
      <c r="A454" s="7">
        <v>2018</v>
      </c>
      <c r="B454" s="152"/>
      <c r="C454" s="152"/>
      <c r="D454" s="168"/>
    </row>
    <row r="455" spans="1:4" x14ac:dyDescent="0.35">
      <c r="A455" s="144" t="s">
        <v>478</v>
      </c>
      <c r="B455" s="152"/>
      <c r="C455" s="152"/>
      <c r="D455" s="168"/>
    </row>
    <row r="456" spans="1:4" x14ac:dyDescent="0.35">
      <c r="A456" s="6"/>
      <c r="B456" s="66" t="s">
        <v>488</v>
      </c>
      <c r="C456" s="66" t="s">
        <v>489</v>
      </c>
      <c r="D456" s="168"/>
    </row>
    <row r="457" spans="1:4" ht="53.15" customHeight="1" x14ac:dyDescent="0.35">
      <c r="A457" s="5" t="s">
        <v>69</v>
      </c>
      <c r="B457" s="167">
        <f>Biochemical!G17</f>
        <v>2.4900000000000002</v>
      </c>
      <c r="C457" s="167">
        <f>Biochemical!H17</f>
        <v>2.4700000000000002</v>
      </c>
    </row>
    <row r="458" spans="1:4" x14ac:dyDescent="0.35">
      <c r="A458" s="5" t="s">
        <v>382</v>
      </c>
      <c r="B458" s="16">
        <v>116090</v>
      </c>
      <c r="C458" s="16">
        <v>116090</v>
      </c>
    </row>
    <row r="459" spans="1:4" x14ac:dyDescent="0.35">
      <c r="A459" s="132" t="s">
        <v>48</v>
      </c>
      <c r="B459" s="130">
        <f>B457/(B458/1000000)</f>
        <v>21.448875872168149</v>
      </c>
      <c r="C459" s="130">
        <f>C457/(C458/1000000)</f>
        <v>21.276595744680854</v>
      </c>
    </row>
    <row r="460" spans="1:4" x14ac:dyDescent="0.35">
      <c r="A460" s="5"/>
      <c r="B460" s="168"/>
      <c r="C460" s="168"/>
    </row>
    <row r="461" spans="1:4" x14ac:dyDescent="0.35">
      <c r="A461" s="132" t="s">
        <v>248</v>
      </c>
      <c r="B461" s="149">
        <f>Biochemical!G141</f>
        <v>32.479999999999997</v>
      </c>
      <c r="C461" s="149">
        <f>Biochemical!H141</f>
        <v>31.29</v>
      </c>
    </row>
    <row r="462" spans="1:4" x14ac:dyDescent="0.35">
      <c r="A462" s="132" t="s">
        <v>382</v>
      </c>
      <c r="B462" s="131">
        <v>116090</v>
      </c>
      <c r="C462" s="131">
        <v>116090</v>
      </c>
    </row>
    <row r="463" spans="1:4" x14ac:dyDescent="0.35">
      <c r="A463" s="132" t="s">
        <v>47</v>
      </c>
      <c r="B463" s="152">
        <f>B461*B462</f>
        <v>3770603.1999999997</v>
      </c>
      <c r="C463" s="152">
        <f>C461*C462</f>
        <v>3632456.1</v>
      </c>
    </row>
    <row r="464" spans="1:4" x14ac:dyDescent="0.35">
      <c r="C464" s="152"/>
    </row>
    <row r="465" spans="1:7" x14ac:dyDescent="0.35">
      <c r="A465" s="132"/>
      <c r="B465" s="152"/>
      <c r="C465" s="152"/>
    </row>
    <row r="466" spans="1:7" x14ac:dyDescent="0.35">
      <c r="A466" s="132"/>
      <c r="B466" s="152"/>
      <c r="C466" s="152"/>
    </row>
    <row r="467" spans="1:7" ht="43.5" x14ac:dyDescent="0.35">
      <c r="A467" s="276" t="s">
        <v>574</v>
      </c>
      <c r="B467" s="149"/>
      <c r="C467" s="149"/>
      <c r="D467" s="149"/>
      <c r="E467" s="149"/>
      <c r="F467" s="149"/>
      <c r="G467" s="81"/>
    </row>
    <row r="468" spans="1:7" x14ac:dyDescent="0.35">
      <c r="A468" s="207" t="s">
        <v>575</v>
      </c>
      <c r="B468" s="207"/>
      <c r="C468" s="207"/>
      <c r="D468" s="207"/>
      <c r="E468" s="207"/>
      <c r="F468" s="207"/>
      <c r="G468" s="81"/>
    </row>
    <row r="469" spans="1:7" x14ac:dyDescent="0.35">
      <c r="A469" s="143">
        <v>2020</v>
      </c>
      <c r="B469" s="152"/>
      <c r="C469" s="152"/>
      <c r="D469" s="235"/>
      <c r="E469" s="81"/>
      <c r="F469" s="81"/>
      <c r="G469" s="81"/>
    </row>
    <row r="470" spans="1:7" x14ac:dyDescent="0.35">
      <c r="A470" s="143" t="s">
        <v>576</v>
      </c>
      <c r="B470" s="143"/>
      <c r="C470" s="143"/>
      <c r="D470" s="143"/>
      <c r="E470" s="143"/>
      <c r="F470" s="143"/>
      <c r="G470" s="81"/>
    </row>
    <row r="471" spans="1:7" ht="29" x14ac:dyDescent="0.35">
      <c r="A471" s="149"/>
      <c r="B471" s="207" t="s">
        <v>578</v>
      </c>
      <c r="C471" s="207" t="s">
        <v>579</v>
      </c>
      <c r="D471" s="207" t="s">
        <v>580</v>
      </c>
      <c r="E471" s="207" t="s">
        <v>581</v>
      </c>
      <c r="G471" s="207"/>
    </row>
    <row r="472" spans="1:7" x14ac:dyDescent="0.35">
      <c r="A472" s="132" t="s">
        <v>69</v>
      </c>
      <c r="B472" s="236">
        <v>7.79</v>
      </c>
      <c r="C472" s="236">
        <v>10.8</v>
      </c>
      <c r="D472" s="235">
        <v>8.1999999999999993</v>
      </c>
      <c r="E472" s="235">
        <v>11.47</v>
      </c>
      <c r="G472" s="235"/>
    </row>
    <row r="473" spans="1:7" x14ac:dyDescent="0.35">
      <c r="A473" s="132" t="s">
        <v>382</v>
      </c>
      <c r="B473" s="131">
        <v>116090</v>
      </c>
      <c r="C473" s="131">
        <v>116090</v>
      </c>
      <c r="D473" s="131">
        <v>116090</v>
      </c>
      <c r="E473" s="131">
        <v>116090</v>
      </c>
      <c r="G473" s="131"/>
    </row>
    <row r="474" spans="1:7" x14ac:dyDescent="0.35">
      <c r="A474" s="132" t="s">
        <v>48</v>
      </c>
      <c r="B474" s="130">
        <f t="shared" ref="B474:C474" si="4">B472/(B473/1000000)</f>
        <v>67.103109656301143</v>
      </c>
      <c r="C474" s="130">
        <f t="shared" si="4"/>
        <v>93.031268843138946</v>
      </c>
      <c r="D474" s="130">
        <f>D472/(D473/1000000)</f>
        <v>70.63485226979067</v>
      </c>
      <c r="E474" s="130">
        <f>E472/(E473/1000000)</f>
        <v>98.802653113963316</v>
      </c>
      <c r="G474" s="130"/>
    </row>
    <row r="475" spans="1:7" x14ac:dyDescent="0.35">
      <c r="A475" s="132"/>
      <c r="B475" s="235"/>
      <c r="C475" s="235"/>
      <c r="D475" s="81"/>
      <c r="E475" s="81"/>
      <c r="G475" s="81"/>
    </row>
    <row r="476" spans="1:7" x14ac:dyDescent="0.35">
      <c r="A476" s="132" t="s">
        <v>248</v>
      </c>
      <c r="B476" s="151">
        <v>27.854299999999999</v>
      </c>
      <c r="C476" s="151">
        <v>27.903600000000001</v>
      </c>
      <c r="D476" s="151">
        <v>25.5748</v>
      </c>
      <c r="E476" s="151">
        <v>25.575099999999999</v>
      </c>
      <c r="G476" s="151"/>
    </row>
    <row r="477" spans="1:7" x14ac:dyDescent="0.35">
      <c r="A477" s="132" t="s">
        <v>382</v>
      </c>
      <c r="B477" s="131">
        <v>116090</v>
      </c>
      <c r="C477" s="131">
        <v>116090</v>
      </c>
      <c r="D477" s="131">
        <v>116090</v>
      </c>
      <c r="E477" s="131">
        <v>116090</v>
      </c>
      <c r="G477" s="131"/>
    </row>
    <row r="478" spans="1:7" x14ac:dyDescent="0.35">
      <c r="A478" s="132" t="s">
        <v>47</v>
      </c>
      <c r="B478" s="152">
        <f t="shared" ref="B478:C478" si="5">B476*B477</f>
        <v>3233605.6869999999</v>
      </c>
      <c r="C478" s="152">
        <f t="shared" si="5"/>
        <v>3239328.9240000001</v>
      </c>
      <c r="D478" s="152">
        <f>D476*D477</f>
        <v>2968978.5320000001</v>
      </c>
      <c r="E478" s="152">
        <f>E476*E477</f>
        <v>2969013.3589999997</v>
      </c>
      <c r="G478" s="152"/>
    </row>
    <row r="479" spans="1:7" x14ac:dyDescent="0.35">
      <c r="A479" s="132"/>
      <c r="B479" s="152"/>
      <c r="C479" s="152"/>
      <c r="E479" s="76"/>
    </row>
    <row r="480" spans="1:7" x14ac:dyDescent="0.35">
      <c r="A480" s="132"/>
      <c r="B480" s="152"/>
      <c r="C480" s="152"/>
      <c r="E480" s="16"/>
    </row>
    <row r="481" spans="1:5" x14ac:dyDescent="0.35">
      <c r="A481" s="132"/>
      <c r="B481" s="152"/>
      <c r="C481" s="152"/>
      <c r="E481" s="76"/>
    </row>
    <row r="482" spans="1:5" ht="15.5" x14ac:dyDescent="0.35">
      <c r="A482" s="277" t="s">
        <v>306</v>
      </c>
      <c r="B482" s="66"/>
      <c r="C482" s="67"/>
      <c r="E482" s="81"/>
    </row>
    <row r="483" spans="1:5" x14ac:dyDescent="0.35">
      <c r="A483" s="5"/>
      <c r="B483" s="66"/>
      <c r="C483" s="67"/>
    </row>
    <row r="484" spans="1:5" ht="43.5" x14ac:dyDescent="0.35">
      <c r="A484" s="273" t="s">
        <v>760</v>
      </c>
    </row>
    <row r="485" spans="1:5" ht="29" x14ac:dyDescent="0.35">
      <c r="A485" s="13" t="s">
        <v>204</v>
      </c>
    </row>
    <row r="486" spans="1:5" x14ac:dyDescent="0.35">
      <c r="A486" s="7">
        <v>2014</v>
      </c>
    </row>
    <row r="487" spans="1:5" ht="29" x14ac:dyDescent="0.35">
      <c r="A487" s="78" t="s">
        <v>203</v>
      </c>
    </row>
    <row r="488" spans="1:5" x14ac:dyDescent="0.35">
      <c r="B488" s="273" t="s">
        <v>201</v>
      </c>
      <c r="C488" s="273" t="s">
        <v>197</v>
      </c>
    </row>
    <row r="489" spans="1:5" x14ac:dyDescent="0.35">
      <c r="B489" s="56"/>
    </row>
    <row r="490" spans="1:5" x14ac:dyDescent="0.35">
      <c r="A490" s="1" t="s">
        <v>726</v>
      </c>
      <c r="B490" s="116">
        <v>70</v>
      </c>
      <c r="C490" s="116">
        <v>70</v>
      </c>
    </row>
    <row r="491" spans="1:5" x14ac:dyDescent="0.35">
      <c r="A491" s="1" t="s">
        <v>727</v>
      </c>
      <c r="B491" s="103">
        <f>B490*2000/2204</f>
        <v>63.520871143375679</v>
      </c>
      <c r="C491" s="103">
        <f>C490*2000/2204</f>
        <v>63.520871143375679</v>
      </c>
    </row>
    <row r="492" spans="1:5" x14ac:dyDescent="0.35">
      <c r="B492" s="56"/>
    </row>
    <row r="493" spans="1:5" x14ac:dyDescent="0.35">
      <c r="B493" s="56"/>
    </row>
    <row r="494" spans="1:5" x14ac:dyDescent="0.35">
      <c r="A494" s="1" t="s">
        <v>761</v>
      </c>
      <c r="B494" s="74">
        <f>42.9*1000000</f>
        <v>42900000</v>
      </c>
      <c r="C494" s="74">
        <f>69.9*1000000</f>
        <v>69900000</v>
      </c>
    </row>
    <row r="495" spans="1:5" x14ac:dyDescent="0.35">
      <c r="A495" s="5" t="s">
        <v>150</v>
      </c>
      <c r="B495" s="16">
        <v>116090</v>
      </c>
      <c r="C495" s="16">
        <v>116090</v>
      </c>
    </row>
    <row r="496" spans="1:5" x14ac:dyDescent="0.35">
      <c r="A496" s="5" t="s">
        <v>209</v>
      </c>
      <c r="B496" s="76">
        <f>B495/1000000</f>
        <v>0.11609</v>
      </c>
      <c r="C496" s="76">
        <f>C495/1000000</f>
        <v>0.11609</v>
      </c>
    </row>
    <row r="497" spans="1:3" x14ac:dyDescent="0.35">
      <c r="A497" s="5" t="s">
        <v>47</v>
      </c>
      <c r="B497" s="74">
        <f>B494*B496</f>
        <v>4980261</v>
      </c>
      <c r="C497" s="74">
        <f>C494*C496</f>
        <v>8114691</v>
      </c>
    </row>
    <row r="498" spans="1:3" x14ac:dyDescent="0.35">
      <c r="B498" s="56"/>
    </row>
    <row r="499" spans="1:3" x14ac:dyDescent="0.35">
      <c r="B499" s="56"/>
    </row>
    <row r="500" spans="1:3" x14ac:dyDescent="0.35">
      <c r="A500" s="5" t="s">
        <v>69</v>
      </c>
      <c r="B500" s="92">
        <v>4.4400000000000004</v>
      </c>
      <c r="C500" s="92">
        <v>2.52</v>
      </c>
    </row>
    <row r="501" spans="1:3" x14ac:dyDescent="0.35">
      <c r="A501" s="5" t="s">
        <v>382</v>
      </c>
      <c r="B501" s="16">
        <v>116090</v>
      </c>
      <c r="C501" s="16">
        <v>116090</v>
      </c>
    </row>
    <row r="502" spans="1:3" x14ac:dyDescent="0.35">
      <c r="A502" s="5" t="s">
        <v>721</v>
      </c>
      <c r="B502" s="76">
        <f>B501/1000000</f>
        <v>0.11609</v>
      </c>
      <c r="C502" s="76">
        <f>C501/1000000</f>
        <v>0.11609</v>
      </c>
    </row>
    <row r="503" spans="1:3" x14ac:dyDescent="0.35">
      <c r="A503" s="5" t="s">
        <v>48</v>
      </c>
      <c r="B503" s="130">
        <f>B500/B502</f>
        <v>38.246188302179348</v>
      </c>
      <c r="C503" s="130">
        <f>C500/C502</f>
        <v>21.707296063399088</v>
      </c>
    </row>
    <row r="504" spans="1:3" x14ac:dyDescent="0.35">
      <c r="B504" s="56"/>
    </row>
    <row r="505" spans="1:3" x14ac:dyDescent="0.35">
      <c r="B505" s="56"/>
    </row>
    <row r="506" spans="1:3" x14ac:dyDescent="0.35">
      <c r="B506" s="56"/>
    </row>
    <row r="507" spans="1:3" x14ac:dyDescent="0.35">
      <c r="A507" s="5" t="s">
        <v>11</v>
      </c>
      <c r="B507" s="122">
        <v>2000</v>
      </c>
      <c r="C507" s="122">
        <v>2000</v>
      </c>
    </row>
    <row r="508" spans="1:3" x14ac:dyDescent="0.35">
      <c r="A508" s="5" t="s">
        <v>210</v>
      </c>
      <c r="B508" s="74">
        <f>B507*2204/2000</f>
        <v>2204</v>
      </c>
      <c r="C508" s="74">
        <f>C507*2204/2000</f>
        <v>2204</v>
      </c>
    </row>
    <row r="509" spans="1:3" x14ac:dyDescent="0.35">
      <c r="A509" s="5" t="s">
        <v>643</v>
      </c>
      <c r="B509" s="72">
        <v>328.72500000000002</v>
      </c>
      <c r="C509" s="72">
        <v>328.72500000000002</v>
      </c>
    </row>
    <row r="510" spans="1:3" x14ac:dyDescent="0.35">
      <c r="A510" s="5" t="s">
        <v>214</v>
      </c>
      <c r="B510" s="74">
        <f>B508*B509</f>
        <v>724509.9</v>
      </c>
      <c r="C510" s="74">
        <f>C508*C509</f>
        <v>724509.9</v>
      </c>
    </row>
    <row r="511" spans="1:3" x14ac:dyDescent="0.35">
      <c r="A511" s="1" t="s">
        <v>748</v>
      </c>
      <c r="B511" s="74">
        <f>42.9*1000000</f>
        <v>42900000</v>
      </c>
      <c r="C511" s="74">
        <f>69.9*1000000</f>
        <v>69900000</v>
      </c>
    </row>
    <row r="512" spans="1:3" x14ac:dyDescent="0.35">
      <c r="A512" s="5" t="s">
        <v>77</v>
      </c>
      <c r="B512" s="60">
        <f>B511/B510</f>
        <v>59.212441403492207</v>
      </c>
      <c r="C512" s="60">
        <f>C511/C510</f>
        <v>96.479012916179613</v>
      </c>
    </row>
    <row r="516" spans="1:2" ht="15.5" x14ac:dyDescent="0.35">
      <c r="A516" s="277" t="s">
        <v>305</v>
      </c>
    </row>
    <row r="518" spans="1:2" ht="43.5" x14ac:dyDescent="0.35">
      <c r="A518" s="276" t="s">
        <v>272</v>
      </c>
    </row>
    <row r="519" spans="1:2" ht="58" x14ac:dyDescent="0.35">
      <c r="A519" s="80" t="s">
        <v>273</v>
      </c>
    </row>
    <row r="520" spans="1:2" x14ac:dyDescent="0.35">
      <c r="A520" s="143">
        <v>2012</v>
      </c>
    </row>
    <row r="521" spans="1:2" ht="43.5" x14ac:dyDescent="0.35">
      <c r="A521" s="157" t="s">
        <v>661</v>
      </c>
    </row>
    <row r="522" spans="1:2" x14ac:dyDescent="0.35">
      <c r="A522" s="204" t="s">
        <v>223</v>
      </c>
    </row>
    <row r="525" spans="1:2" x14ac:dyDescent="0.35">
      <c r="A525" s="132" t="s">
        <v>268</v>
      </c>
      <c r="B525" s="92">
        <v>18.63</v>
      </c>
    </row>
    <row r="526" spans="1:2" x14ac:dyDescent="0.35">
      <c r="A526" s="5" t="s">
        <v>382</v>
      </c>
      <c r="B526" s="16">
        <v>116090</v>
      </c>
    </row>
    <row r="527" spans="1:2" x14ac:dyDescent="0.35">
      <c r="A527" s="5" t="s">
        <v>713</v>
      </c>
      <c r="B527" s="16">
        <v>128450</v>
      </c>
    </row>
    <row r="528" spans="1:2" x14ac:dyDescent="0.35">
      <c r="A528" s="132" t="s">
        <v>74</v>
      </c>
      <c r="B528" s="156">
        <f>B525*B526/B527</f>
        <v>16.837342934994158</v>
      </c>
    </row>
    <row r="530" spans="1:2" x14ac:dyDescent="0.35">
      <c r="A530" s="132" t="s">
        <v>48</v>
      </c>
      <c r="B530" s="130">
        <f>B528/(B526/1000000)</f>
        <v>145.03697936940441</v>
      </c>
    </row>
    <row r="531" spans="1:2" x14ac:dyDescent="0.35">
      <c r="A531" s="132"/>
      <c r="B531" s="131"/>
    </row>
    <row r="532" spans="1:2" x14ac:dyDescent="0.35">
      <c r="A532" s="132" t="s">
        <v>269</v>
      </c>
      <c r="B532" s="151">
        <f>38654292/1000000</f>
        <v>38.654291999999998</v>
      </c>
    </row>
    <row r="533" spans="1:2" x14ac:dyDescent="0.35">
      <c r="A533" s="132" t="s">
        <v>248</v>
      </c>
      <c r="B533" s="100">
        <f>B532*B527/B526</f>
        <v>42.769780406581098</v>
      </c>
    </row>
    <row r="534" spans="1:2" x14ac:dyDescent="0.35">
      <c r="A534" s="5" t="s">
        <v>47</v>
      </c>
      <c r="B534" s="16">
        <f>B533*B526</f>
        <v>4965143.8073999994</v>
      </c>
    </row>
    <row r="536" spans="1:2" x14ac:dyDescent="0.35">
      <c r="A536" s="1" t="s">
        <v>464</v>
      </c>
      <c r="B536" s="6">
        <v>13.19</v>
      </c>
    </row>
    <row r="537" spans="1:2" x14ac:dyDescent="0.35">
      <c r="A537" s="1" t="s">
        <v>465</v>
      </c>
      <c r="B537" s="73">
        <v>40000</v>
      </c>
    </row>
    <row r="538" spans="1:2" x14ac:dyDescent="0.35">
      <c r="A538" s="1" t="s">
        <v>467</v>
      </c>
      <c r="B538" s="73">
        <f>B536*B537</f>
        <v>527600</v>
      </c>
    </row>
    <row r="539" spans="1:2" x14ac:dyDescent="0.35">
      <c r="A539" s="1" t="s">
        <v>468</v>
      </c>
      <c r="B539" s="6">
        <f>B538/1000</f>
        <v>527.6</v>
      </c>
    </row>
    <row r="540" spans="1:2" x14ac:dyDescent="0.35">
      <c r="A540" s="1" t="s">
        <v>466</v>
      </c>
      <c r="B540" s="6">
        <f>B539/1000</f>
        <v>0.52760000000000007</v>
      </c>
    </row>
    <row r="544" spans="1:2" ht="43.5" x14ac:dyDescent="0.35">
      <c r="A544" s="273" t="s">
        <v>284</v>
      </c>
    </row>
    <row r="545" spans="1:2" ht="43.5" x14ac:dyDescent="0.35">
      <c r="A545" s="13" t="s">
        <v>285</v>
      </c>
    </row>
    <row r="546" spans="1:2" x14ac:dyDescent="0.35">
      <c r="A546" s="9">
        <v>2014</v>
      </c>
    </row>
    <row r="547" spans="1:2" x14ac:dyDescent="0.35">
      <c r="A547" s="157" t="s">
        <v>662</v>
      </c>
    </row>
    <row r="550" spans="1:2" x14ac:dyDescent="0.35">
      <c r="A550" s="1" t="s">
        <v>762</v>
      </c>
      <c r="B550" s="162">
        <v>1339</v>
      </c>
    </row>
    <row r="551" spans="1:2" x14ac:dyDescent="0.35">
      <c r="A551" s="5" t="s">
        <v>11</v>
      </c>
      <c r="B551" s="162">
        <f>B550*2000/2204</f>
        <v>1215.0635208711433</v>
      </c>
    </row>
    <row r="552" spans="1:2" x14ac:dyDescent="0.35">
      <c r="B552" s="162"/>
    </row>
    <row r="553" spans="1:2" x14ac:dyDescent="0.35">
      <c r="A553" s="5" t="s">
        <v>288</v>
      </c>
      <c r="B553" s="6">
        <v>122</v>
      </c>
    </row>
    <row r="554" spans="1:2" x14ac:dyDescent="0.35">
      <c r="A554" s="5" t="s">
        <v>382</v>
      </c>
      <c r="B554" s="16">
        <v>116090</v>
      </c>
    </row>
    <row r="555" spans="1:2" x14ac:dyDescent="0.35">
      <c r="A555" s="5" t="s">
        <v>713</v>
      </c>
      <c r="B555" s="16">
        <v>128450</v>
      </c>
    </row>
    <row r="556" spans="1:2" x14ac:dyDescent="0.35">
      <c r="A556" s="5" t="s">
        <v>77</v>
      </c>
      <c r="B556" s="100">
        <f>B553*B555/B554</f>
        <v>134.98923249203204</v>
      </c>
    </row>
    <row r="558" spans="1:2" x14ac:dyDescent="0.35">
      <c r="A558" s="5" t="s">
        <v>69</v>
      </c>
      <c r="B558" s="203">
        <f>Algae!C151</f>
        <v>4.49</v>
      </c>
    </row>
    <row r="559" spans="1:2" x14ac:dyDescent="0.35">
      <c r="A559" s="132" t="s">
        <v>48</v>
      </c>
      <c r="B559" s="130">
        <f>B558/(B554/1000000)</f>
        <v>38.676888620897579</v>
      </c>
    </row>
    <row r="561" spans="1:2" x14ac:dyDescent="0.35">
      <c r="A561" s="132" t="s">
        <v>269</v>
      </c>
      <c r="B561" s="164">
        <v>54</v>
      </c>
    </row>
    <row r="562" spans="1:2" x14ac:dyDescent="0.35">
      <c r="A562" s="132" t="s">
        <v>248</v>
      </c>
      <c r="B562" s="100">
        <f>B561*B555/B554</f>
        <v>59.749332414505986</v>
      </c>
    </row>
    <row r="563" spans="1:2" x14ac:dyDescent="0.35">
      <c r="A563" s="5" t="s">
        <v>47</v>
      </c>
      <c r="B563" s="16">
        <f>B562*B554</f>
        <v>6936300</v>
      </c>
    </row>
    <row r="567" spans="1:2" ht="43.5" x14ac:dyDescent="0.35">
      <c r="A567" s="276" t="s">
        <v>766</v>
      </c>
    </row>
    <row r="568" spans="1:2" ht="29" x14ac:dyDescent="0.35">
      <c r="A568" s="80" t="s">
        <v>384</v>
      </c>
    </row>
    <row r="569" spans="1:2" x14ac:dyDescent="0.35">
      <c r="A569" s="143">
        <v>2014</v>
      </c>
    </row>
    <row r="570" spans="1:2" x14ac:dyDescent="0.35">
      <c r="A570" s="157" t="s">
        <v>385</v>
      </c>
    </row>
    <row r="572" spans="1:2" x14ac:dyDescent="0.35">
      <c r="A572" s="5" t="s">
        <v>379</v>
      </c>
      <c r="B572" s="6">
        <v>10.555</v>
      </c>
    </row>
    <row r="573" spans="1:2" x14ac:dyDescent="0.35">
      <c r="A573" s="5" t="s">
        <v>380</v>
      </c>
      <c r="B573" s="6">
        <v>3.2705000000000002</v>
      </c>
    </row>
    <row r="574" spans="1:2" x14ac:dyDescent="0.35">
      <c r="A574" s="5" t="s">
        <v>381</v>
      </c>
      <c r="B574" s="16">
        <v>128450</v>
      </c>
    </row>
    <row r="575" spans="1:2" x14ac:dyDescent="0.35">
      <c r="A575" s="5" t="s">
        <v>382</v>
      </c>
      <c r="B575" s="16">
        <v>116090</v>
      </c>
    </row>
    <row r="576" spans="1:2" x14ac:dyDescent="0.35">
      <c r="A576" s="5" t="s">
        <v>383</v>
      </c>
      <c r="B576" s="73">
        <f>(B572+B573)*1000000*(B575/1000000)</f>
        <v>1605002.2949999999</v>
      </c>
    </row>
    <row r="577" spans="1:4" x14ac:dyDescent="0.35">
      <c r="A577" s="5" t="s">
        <v>77</v>
      </c>
      <c r="B577" s="100"/>
    </row>
    <row r="579" spans="1:4" x14ac:dyDescent="0.35">
      <c r="A579" s="5" t="s">
        <v>69</v>
      </c>
      <c r="B579" s="156" t="e">
        <f>Algae!#REF!</f>
        <v>#REF!</v>
      </c>
    </row>
    <row r="580" spans="1:4" x14ac:dyDescent="0.35">
      <c r="A580" s="132" t="s">
        <v>48</v>
      </c>
      <c r="B580" s="130" t="e">
        <f>B579/B575*1000000</f>
        <v>#REF!</v>
      </c>
    </row>
    <row r="581" spans="1:4" ht="30.65" customHeight="1" x14ac:dyDescent="0.35"/>
    <row r="582" spans="1:4" x14ac:dyDescent="0.35">
      <c r="A582" s="132" t="s">
        <v>269</v>
      </c>
      <c r="B582" s="164"/>
    </row>
    <row r="583" spans="1:4" x14ac:dyDescent="0.35">
      <c r="A583" s="132" t="s">
        <v>248</v>
      </c>
      <c r="B583" s="100"/>
    </row>
    <row r="584" spans="1:4" ht="14.5" customHeight="1" x14ac:dyDescent="0.35">
      <c r="A584" s="5" t="s">
        <v>47</v>
      </c>
      <c r="B584" s="16"/>
    </row>
    <row r="586" spans="1:4" x14ac:dyDescent="0.35">
      <c r="A586" s="1" t="s">
        <v>763</v>
      </c>
      <c r="B586" s="73">
        <v>21480.26</v>
      </c>
    </row>
    <row r="587" spans="1:4" x14ac:dyDescent="0.35">
      <c r="A587" s="5" t="s">
        <v>11</v>
      </c>
      <c r="B587" s="73">
        <f>B586*24/1000</f>
        <v>515.52624000000003</v>
      </c>
    </row>
    <row r="591" spans="1:4" s="81" customFormat="1" ht="43.5" x14ac:dyDescent="0.35">
      <c r="A591" s="276" t="s">
        <v>571</v>
      </c>
      <c r="B591" s="207"/>
      <c r="C591" s="137"/>
      <c r="D591" s="137"/>
    </row>
    <row r="592" spans="1:4" s="81" customFormat="1" x14ac:dyDescent="0.35">
      <c r="A592" s="207" t="s">
        <v>572</v>
      </c>
      <c r="B592" s="207"/>
      <c r="C592" s="137"/>
      <c r="D592" s="137"/>
    </row>
    <row r="593" spans="1:4" s="81" customFormat="1" x14ac:dyDescent="0.35">
      <c r="A593" s="207">
        <v>2020</v>
      </c>
      <c r="B593" s="149"/>
      <c r="C593" s="137"/>
      <c r="D593" s="137"/>
    </row>
    <row r="594" spans="1:4" s="81" customFormat="1" x14ac:dyDescent="0.35">
      <c r="A594" s="207" t="s">
        <v>764</v>
      </c>
      <c r="B594" s="207"/>
      <c r="C594" s="137"/>
      <c r="D594" s="137"/>
    </row>
    <row r="595" spans="1:4" s="81" customFormat="1" x14ac:dyDescent="0.35">
      <c r="A595" s="150"/>
      <c r="B595" s="233" t="s">
        <v>582</v>
      </c>
      <c r="C595" s="234" t="s">
        <v>489</v>
      </c>
      <c r="D595" s="137"/>
    </row>
    <row r="596" spans="1:4" s="81" customFormat="1" x14ac:dyDescent="0.35">
      <c r="A596" s="132" t="s">
        <v>69</v>
      </c>
      <c r="B596" s="203">
        <v>9.5</v>
      </c>
      <c r="C596" s="203">
        <v>9.8800000000000008</v>
      </c>
      <c r="D596" s="137"/>
    </row>
    <row r="597" spans="1:4" s="81" customFormat="1" x14ac:dyDescent="0.35">
      <c r="A597" s="132" t="s">
        <v>382</v>
      </c>
      <c r="B597" s="131">
        <v>116090</v>
      </c>
      <c r="C597" s="131">
        <v>116090</v>
      </c>
      <c r="D597" s="137"/>
    </row>
    <row r="598" spans="1:4" s="81" customFormat="1" x14ac:dyDescent="0.35">
      <c r="A598" s="132" t="s">
        <v>48</v>
      </c>
      <c r="B598" s="203">
        <f>B596/B597*1000000</f>
        <v>81.833060556464815</v>
      </c>
      <c r="C598" s="203">
        <f>C596/C597*1000000</f>
        <v>85.106382978723403</v>
      </c>
      <c r="D598" s="137"/>
    </row>
    <row r="599" spans="1:4" s="81" customFormat="1" x14ac:dyDescent="0.35">
      <c r="A599" s="132"/>
      <c r="B599" s="149"/>
      <c r="C599" s="137"/>
      <c r="D599" s="137"/>
    </row>
    <row r="600" spans="1:4" s="81" customFormat="1" x14ac:dyDescent="0.35">
      <c r="A600" s="132" t="s">
        <v>248</v>
      </c>
      <c r="B600" s="149">
        <v>10.52</v>
      </c>
      <c r="C600" s="181">
        <v>10.57</v>
      </c>
      <c r="D600" s="137"/>
    </row>
    <row r="601" spans="1:4" s="81" customFormat="1" x14ac:dyDescent="0.35">
      <c r="A601" s="132" t="s">
        <v>382</v>
      </c>
      <c r="B601" s="131">
        <v>116090</v>
      </c>
      <c r="C601" s="131">
        <v>116090</v>
      </c>
      <c r="D601" s="137"/>
    </row>
    <row r="602" spans="1:4" s="81" customFormat="1" x14ac:dyDescent="0.35">
      <c r="A602" s="132" t="s">
        <v>47</v>
      </c>
      <c r="B602" s="131">
        <f>B600*B601</f>
        <v>1221266.8</v>
      </c>
      <c r="C602" s="131">
        <f>C600*C601</f>
        <v>1227071.3</v>
      </c>
      <c r="D602" s="137"/>
    </row>
  </sheetData>
  <hyperlinks>
    <hyperlink ref="A108" r:id="rId1" xr:uid="{00000000-0004-0000-0700-000000000000}"/>
    <hyperlink ref="A29" r:id="rId2" xr:uid="{00000000-0004-0000-0700-000002000000}"/>
    <hyperlink ref="A123" r:id="rId3" xr:uid="{00000000-0004-0000-0700-000003000000}"/>
    <hyperlink ref="A487" r:id="rId4" display="http://www.sciencedirect.com/science/article/pii/S0306261914002840" xr:uid="{00000000-0004-0000-0700-000004000000}"/>
    <hyperlink ref="A90" r:id="rId5" xr:uid="{00000000-0004-0000-0700-000005000000}"/>
    <hyperlink ref="A263" r:id="rId6" xr:uid="{00000000-0004-0000-0700-000006000000}"/>
    <hyperlink ref="A522" r:id="rId7" xr:uid="{88AC93A9-B835-4F9C-BE23-EDE2ABE452AE}"/>
    <hyperlink ref="A206" r:id="rId8" xr:uid="{00000000-0004-0000-0700-000001000000}"/>
    <hyperlink ref="A168" r:id="rId9" xr:uid="{39EE9361-9458-47D7-A43E-D5728523F232}"/>
  </hyperlinks>
  <pageMargins left="0.7" right="0.7" top="0.75" bottom="0.75" header="0.3" footer="0.3"/>
  <pageSetup orientation="portrait" r:id="rId10"/>
  <ignoredErrors>
    <ignoredError sqref="C56 G56" formulaRange="1"/>
    <ignoredError sqref="B72 F72" formula="1"/>
  </ignoredError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65"/>
  <sheetViews>
    <sheetView topLeftCell="A32" workbookViewId="0">
      <selection activeCell="D31" sqref="D31"/>
    </sheetView>
  </sheetViews>
  <sheetFormatPr defaultRowHeight="14.5" x14ac:dyDescent="0.35"/>
  <cols>
    <col min="1" max="1" width="40.7265625" customWidth="1"/>
  </cols>
  <sheetData>
    <row r="1" spans="1:2" ht="18.5" x14ac:dyDescent="0.45">
      <c r="A1" s="170" t="s">
        <v>506</v>
      </c>
    </row>
    <row r="3" spans="1:2" x14ac:dyDescent="0.35">
      <c r="A3" t="s">
        <v>4</v>
      </c>
      <c r="B3" t="s">
        <v>79</v>
      </c>
    </row>
    <row r="5" spans="1:2" x14ac:dyDescent="0.35">
      <c r="A5" t="s">
        <v>78</v>
      </c>
      <c r="B5" t="s">
        <v>110</v>
      </c>
    </row>
    <row r="6" spans="1:2" x14ac:dyDescent="0.35">
      <c r="B6" t="s">
        <v>80</v>
      </c>
    </row>
    <row r="7" spans="1:2" x14ac:dyDescent="0.35">
      <c r="B7" t="s">
        <v>503</v>
      </c>
    </row>
    <row r="9" spans="1:2" x14ac:dyDescent="0.35">
      <c r="A9" t="s">
        <v>81</v>
      </c>
      <c r="B9" t="s">
        <v>307</v>
      </c>
    </row>
    <row r="10" spans="1:2" x14ac:dyDescent="0.35">
      <c r="B10" t="s">
        <v>82</v>
      </c>
    </row>
    <row r="12" spans="1:2" x14ac:dyDescent="0.35">
      <c r="A12" t="s">
        <v>111</v>
      </c>
      <c r="B12" t="s">
        <v>70</v>
      </c>
    </row>
    <row r="14" spans="1:2" x14ac:dyDescent="0.35">
      <c r="A14" t="s">
        <v>12</v>
      </c>
      <c r="B14" t="s">
        <v>83</v>
      </c>
    </row>
    <row r="16" spans="1:2" x14ac:dyDescent="0.35">
      <c r="A16" t="s">
        <v>13</v>
      </c>
      <c r="B16" t="s">
        <v>71</v>
      </c>
    </row>
    <row r="17" spans="1:2" x14ac:dyDescent="0.35">
      <c r="B17" t="s">
        <v>14</v>
      </c>
    </row>
    <row r="19" spans="1:2" x14ac:dyDescent="0.35">
      <c r="A19" t="s">
        <v>20</v>
      </c>
      <c r="B19" t="s">
        <v>58</v>
      </c>
    </row>
    <row r="20" spans="1:2" x14ac:dyDescent="0.35">
      <c r="B20" t="s">
        <v>59</v>
      </c>
    </row>
    <row r="21" spans="1:2" x14ac:dyDescent="0.35">
      <c r="B21" t="s">
        <v>60</v>
      </c>
    </row>
    <row r="22" spans="1:2" x14ac:dyDescent="0.35">
      <c r="B22" t="s">
        <v>61</v>
      </c>
    </row>
    <row r="24" spans="1:2" x14ac:dyDescent="0.35">
      <c r="A24" t="s">
        <v>72</v>
      </c>
      <c r="B24" t="s">
        <v>73</v>
      </c>
    </row>
    <row r="25" spans="1:2" x14ac:dyDescent="0.35">
      <c r="B25" t="s">
        <v>14</v>
      </c>
    </row>
    <row r="27" spans="1:2" x14ac:dyDescent="0.35">
      <c r="A27" t="s">
        <v>19</v>
      </c>
      <c r="B27" t="s">
        <v>112</v>
      </c>
    </row>
    <row r="29" spans="1:2" x14ac:dyDescent="0.35">
      <c r="A29" t="s">
        <v>84</v>
      </c>
      <c r="B29" t="s">
        <v>85</v>
      </c>
    </row>
    <row r="30" spans="1:2" x14ac:dyDescent="0.35">
      <c r="B30" t="s">
        <v>86</v>
      </c>
    </row>
    <row r="32" spans="1:2" x14ac:dyDescent="0.35">
      <c r="A32" s="44" t="s">
        <v>39</v>
      </c>
      <c r="B32" t="s">
        <v>87</v>
      </c>
    </row>
    <row r="33" spans="1:2" x14ac:dyDescent="0.35">
      <c r="B33" t="s">
        <v>89</v>
      </c>
    </row>
    <row r="34" spans="1:2" x14ac:dyDescent="0.35">
      <c r="B34" t="s">
        <v>88</v>
      </c>
    </row>
    <row r="36" spans="1:2" x14ac:dyDescent="0.35">
      <c r="A36" t="s">
        <v>90</v>
      </c>
      <c r="B36" t="s">
        <v>91</v>
      </c>
    </row>
    <row r="38" spans="1:2" x14ac:dyDescent="0.35">
      <c r="A38" t="s">
        <v>40</v>
      </c>
      <c r="B38" t="s">
        <v>92</v>
      </c>
    </row>
    <row r="40" spans="1:2" x14ac:dyDescent="0.35">
      <c r="A40" t="s">
        <v>43</v>
      </c>
      <c r="B40" t="s">
        <v>93</v>
      </c>
    </row>
    <row r="42" spans="1:2" x14ac:dyDescent="0.35">
      <c r="A42" t="s">
        <v>94</v>
      </c>
      <c r="B42" t="s">
        <v>113</v>
      </c>
    </row>
    <row r="44" spans="1:2" x14ac:dyDescent="0.35">
      <c r="A44" t="s">
        <v>95</v>
      </c>
      <c r="B44" t="s">
        <v>96</v>
      </c>
    </row>
    <row r="46" spans="1:2" x14ac:dyDescent="0.35">
      <c r="A46" t="s">
        <v>97</v>
      </c>
      <c r="B46" t="s">
        <v>98</v>
      </c>
    </row>
    <row r="47" spans="1:2" x14ac:dyDescent="0.35">
      <c r="B47" t="s">
        <v>99</v>
      </c>
    </row>
    <row r="49" spans="1:2" x14ac:dyDescent="0.35">
      <c r="A49" t="s">
        <v>100</v>
      </c>
      <c r="B49" t="s">
        <v>114</v>
      </c>
    </row>
    <row r="50" spans="1:2" x14ac:dyDescent="0.35">
      <c r="B50" t="s">
        <v>101</v>
      </c>
    </row>
    <row r="52" spans="1:2" x14ac:dyDescent="0.35">
      <c r="A52" t="s">
        <v>45</v>
      </c>
      <c r="B52" t="s">
        <v>106</v>
      </c>
    </row>
    <row r="54" spans="1:2" x14ac:dyDescent="0.35">
      <c r="A54" t="s">
        <v>102</v>
      </c>
      <c r="B54" t="s">
        <v>103</v>
      </c>
    </row>
    <row r="55" spans="1:2" x14ac:dyDescent="0.35">
      <c r="B55" t="s">
        <v>104</v>
      </c>
    </row>
    <row r="57" spans="1:2" x14ac:dyDescent="0.35">
      <c r="A57" t="s">
        <v>105</v>
      </c>
      <c r="B57" t="s">
        <v>107</v>
      </c>
    </row>
    <row r="58" spans="1:2" x14ac:dyDescent="0.35">
      <c r="B58" t="s">
        <v>115</v>
      </c>
    </row>
    <row r="60" spans="1:2" x14ac:dyDescent="0.35">
      <c r="A60" t="s">
        <v>108</v>
      </c>
      <c r="B60" t="s">
        <v>308</v>
      </c>
    </row>
    <row r="61" spans="1:2" x14ac:dyDescent="0.35">
      <c r="B61" t="s">
        <v>109</v>
      </c>
    </row>
    <row r="62" spans="1:2" x14ac:dyDescent="0.35">
      <c r="B62" t="s">
        <v>14</v>
      </c>
    </row>
    <row r="64" spans="1:2" x14ac:dyDescent="0.35">
      <c r="A64" t="s">
        <v>72</v>
      </c>
      <c r="B64" t="s">
        <v>73</v>
      </c>
    </row>
    <row r="65" spans="2:2" x14ac:dyDescent="0.35">
      <c r="B65" t="s">
        <v>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AE3F-FF67-4B8E-8C44-C44AC416AAF5}">
  <dimension ref="A2:K174"/>
  <sheetViews>
    <sheetView workbookViewId="0">
      <pane xSplit="2" ySplit="2" topLeftCell="C15" activePane="bottomRight" state="frozen"/>
      <selection pane="topRight" activeCell="C1" sqref="C1"/>
      <selection pane="bottomLeft" activeCell="A3" sqref="A3"/>
      <selection pane="bottomRight" activeCell="E27" sqref="E27"/>
    </sheetView>
  </sheetViews>
  <sheetFormatPr defaultColWidth="9.1796875" defaultRowHeight="14.5" x14ac:dyDescent="0.35"/>
  <cols>
    <col min="1" max="1" width="5.54296875" style="11" customWidth="1"/>
    <col min="2" max="2" width="61.26953125" style="4" customWidth="1"/>
    <col min="3" max="3" width="12.54296875" style="9" customWidth="1"/>
    <col min="4" max="4" width="11" style="9" customWidth="1"/>
    <col min="5" max="5" width="46.54296875" style="13" customWidth="1"/>
    <col min="6" max="6" width="21.453125" style="13" customWidth="1"/>
    <col min="7" max="7" width="33.81640625" style="13" customWidth="1"/>
    <col min="8" max="8" width="17.54296875" style="191" customWidth="1"/>
    <col min="9" max="9" width="19.81640625" style="192" customWidth="1"/>
    <col min="10" max="10" width="20.26953125" style="193" customWidth="1"/>
    <col min="11" max="11" width="16.54296875" style="191" customWidth="1"/>
    <col min="12" max="12" width="14.54296875" style="11" customWidth="1"/>
    <col min="13" max="16384" width="9.1796875" style="11"/>
  </cols>
  <sheetData>
    <row r="2" spans="1:11" s="10" customFormat="1" ht="43.5" x14ac:dyDescent="0.35">
      <c r="B2" s="34"/>
      <c r="C2" s="13" t="s">
        <v>2</v>
      </c>
      <c r="D2" s="13" t="s">
        <v>20</v>
      </c>
      <c r="E2" s="13" t="s">
        <v>195</v>
      </c>
      <c r="F2" s="13" t="s">
        <v>4</v>
      </c>
      <c r="G2" s="13" t="s">
        <v>9</v>
      </c>
      <c r="H2" s="190" t="s">
        <v>237</v>
      </c>
      <c r="I2" s="16" t="s">
        <v>11</v>
      </c>
      <c r="J2" s="63" t="s">
        <v>432</v>
      </c>
      <c r="K2" s="190" t="s">
        <v>458</v>
      </c>
    </row>
    <row r="3" spans="1:11" ht="20.149999999999999" customHeight="1" x14ac:dyDescent="0.35">
      <c r="B3" s="47" t="str">
        <f>'Gasification IDL'!A1</f>
        <v>Gasification, IDL</v>
      </c>
    </row>
    <row r="4" spans="1:11" ht="50.15" customHeight="1" x14ac:dyDescent="0.35">
      <c r="A4" s="11" t="s">
        <v>436</v>
      </c>
      <c r="B4" s="194" t="str">
        <f>'Gasification IDL'!B2</f>
        <v>Techno-Economic Analysis for the Conversion of Lignocellulosic Biomass to Gasoline via the Methanol-to-Gasoline (MTG) Process - Indirectly Heated Gasifier Case</v>
      </c>
      <c r="C4" s="9">
        <f>INDEX('Gasification IDL'!$A$2:$ZZ$309,MATCH(Summary!$C$2,'Gasification IDL'!$A$2:$A$309,0),MATCH(Summary!B4,'Gasification IDL'!$A$2:$ZZ$2,0))</f>
        <v>2009</v>
      </c>
      <c r="D4" s="9">
        <f>INDEX('Gasification IDL'!$A$2:$ZZ$309,MATCH(Summary!$D$2,'Gasification IDL'!$A$2:$A$309,0),MATCH(Summary!B4,'Gasification IDL'!$A$2:$ZZ$2,0))</f>
        <v>2008</v>
      </c>
      <c r="E4" s="13" t="str">
        <f>INDEX('Gasification IDL'!$A$2:$ZZ$309,MATCH(Summary!$E$2,'Gasification IDL'!$A$2:$A$309,0),MATCH(Summary!B4,'Gasification IDL'!$A$2:$ZZ$2,0))</f>
        <v>Indirectly Heated Gasifier</v>
      </c>
      <c r="F4" s="13" t="str">
        <f>INDEX('Gasification IDL'!$A$2:$ZZ$309,MATCH(Summary!$F$2,'Gasification IDL'!$A$2:$A$309,0),MATCH(Summary!B4,'Gasification IDL'!$A$2:$ZZ$2,0))</f>
        <v>Gasoline</v>
      </c>
      <c r="G4" s="13" t="str">
        <f>INDEX('Gasification IDL'!$A$2:$ZZ$309,MATCH(Summary!$G$2,'Gasification IDL'!$A$2:$A$309,0),MATCH(Summary!B4,'Gasification IDL'!$A$2:$ZZ$2,0))</f>
        <v>Hybrid Poplar Wood Chips</v>
      </c>
      <c r="H4" s="191">
        <f>INDEX('Gasification IDL'!$A$2:$ZZ$309,MATCH(Summary!$H$2,'Gasification IDL'!$A$2:$A$309,0),MATCH(Summary!B4,'Gasification IDL'!$A$2:$ZZ$2,0))</f>
        <v>60</v>
      </c>
      <c r="I4" s="192">
        <f>INDEX('Gasification IDL'!$A$2:$ZZ$309,MATCH(Summary!$I$2,'Gasification IDL'!$A$2:$A$309,0),MATCH(Summary!B4,'Gasification IDL'!$A$2:$ZZ$2,0))</f>
        <v>2000</v>
      </c>
      <c r="J4" s="193">
        <f>INDEX('Gasification IDL'!$A$2:$ZZ$309,MATCH(Summary!$J$2,'Gasification IDL'!$A$2:$A$309,0),MATCH(Summary!B4,'Gasification IDL'!$A$2:$ZZ$2,0))</f>
        <v>54.996425232359897</v>
      </c>
      <c r="K4" s="191">
        <f>INDEX('Gasification IDL'!$A$2:$ZZ$309,MATCH(Summary!$K$2,'Gasification IDL'!$A$2:$A$309,0),MATCH(Summary!B4,'Gasification IDL'!$A$2:$ZZ$2,0))</f>
        <v>3.2</v>
      </c>
    </row>
    <row r="5" spans="1:11" ht="50.15" customHeight="1" x14ac:dyDescent="0.35">
      <c r="A5" s="11" t="s">
        <v>437</v>
      </c>
      <c r="B5" s="194" t="str">
        <f>'Gasification IDL'!C2</f>
        <v>Techno-Economic Analysis for the Conversion of Lignocellulosic Biomass to Gasoline via the Methanol-to-Gasoline (MTG) Process - Directly Heated Gasifier Case</v>
      </c>
      <c r="C5" s="9">
        <f>INDEX('Gasification IDL'!$A$2:$ZZ$309,MATCH(Summary!$C$2,'Gasification IDL'!$A$2:$A$309,0),MATCH(Summary!B5,'Gasification IDL'!$A$2:$ZZ$2,0))</f>
        <v>2009</v>
      </c>
      <c r="D5" s="9">
        <f>INDEX('Gasification IDL'!$A$2:$ZZ$309,MATCH(Summary!$D$2,'Gasification IDL'!$A$2:$A$309,0),MATCH(Summary!B5,'Gasification IDL'!$A$2:$ZZ$2,0))</f>
        <v>2008</v>
      </c>
      <c r="E5" s="13" t="str">
        <f>INDEX('Gasification IDL'!$A$2:$ZZ$309,MATCH(Summary!$E$2,'Gasification IDL'!$A$2:$A$309,0),MATCH(Summary!B5,'Gasification IDL'!$A$2:$ZZ$2,0))</f>
        <v>Directly Heated Gasifier</v>
      </c>
      <c r="F5" s="13" t="str">
        <f>INDEX('Gasification IDL'!$A$2:$ZZ$309,MATCH(Summary!$F$2,'Gasification IDL'!$A$2:$A$309,0),MATCH(Summary!B5,'Gasification IDL'!$A$2:$ZZ$2,0))</f>
        <v>Gasoline</v>
      </c>
      <c r="G5" s="13" t="str">
        <f>INDEX('Gasification IDL'!$A$2:$ZZ$309,MATCH(Summary!$G$2,'Gasification IDL'!$A$2:$A$309,0),MATCH(Summary!B5,'Gasification IDL'!$A$2:$ZZ$2,0))</f>
        <v>Hybrid Poplar Wood Chips</v>
      </c>
      <c r="H5" s="191">
        <f>INDEX('Gasification IDL'!$A$2:$ZZ$309,MATCH(Summary!$H$2,'Gasification IDL'!$A$2:$A$309,0),MATCH(Summary!B5,'Gasification IDL'!$A$2:$ZZ$2,0))</f>
        <v>60</v>
      </c>
      <c r="I5" s="192">
        <f>INDEX('Gasification IDL'!$A$2:$ZZ$309,MATCH(Summary!$I$2,'Gasification IDL'!$A$2:$A$309,0),MATCH(Summary!B5,'Gasification IDL'!$A$2:$ZZ$2,0))</f>
        <v>2000</v>
      </c>
      <c r="J5" s="193">
        <f>INDEX('Gasification IDL'!$A$2:$ZZ$309,MATCH(Summary!$J$2,'Gasification IDL'!$A$2:$A$309,0),MATCH(Summary!B5,'Gasification IDL'!$A$2:$ZZ$2,0))</f>
        <v>54.996425232359897</v>
      </c>
      <c r="K5" s="191">
        <f>INDEX('Gasification IDL'!$A$2:$ZZ$309,MATCH(Summary!$K$2,'Gasification IDL'!$A$2:$A$309,0),MATCH(Summary!B5,'Gasification IDL'!$A$2:$ZZ$2,0))</f>
        <v>3.68</v>
      </c>
    </row>
    <row r="6" spans="1:11" ht="40" customHeight="1" x14ac:dyDescent="0.35">
      <c r="A6" s="11" t="s">
        <v>438</v>
      </c>
      <c r="B6" s="78" t="str">
        <f>'Gasification IDL'!D2</f>
        <v>Techno-Economic Analysis of Biomass-to-Liquids Production Based on Gasification - Low Temperature Fluidized-Bed Gasifier Case</v>
      </c>
      <c r="C6" s="9">
        <f>INDEX('Gasification IDL'!$A$2:$ZZ$309,MATCH(Summary!$C$2,'Gasification IDL'!$A$2:$A$309,0),MATCH(Summary!B6,'Gasification IDL'!$A$2:$ZZ$2,0))</f>
        <v>2010</v>
      </c>
      <c r="D6" s="9">
        <f>INDEX('Gasification IDL'!$A$2:$ZZ$309,MATCH(Summary!$D$2,'Gasification IDL'!$A$2:$A$309,0),MATCH(Summary!B6,'Gasification IDL'!$A$2:$ZZ$2,0))</f>
        <v>2007</v>
      </c>
      <c r="E6" s="13" t="str">
        <f>INDEX('Gasification IDL'!$A$2:$ZZ$309,MATCH(Summary!$E$2,'Gasification IDL'!$A$2:$A$309,0),MATCH(Summary!B6,'Gasification IDL'!$A$2:$ZZ$2,0))</f>
        <v>Low Temperature Fluidized-Bed Gasifier</v>
      </c>
      <c r="F6" s="13" t="str">
        <f>INDEX('Gasification IDL'!$A$2:$ZZ$309,MATCH(Summary!$F$2,'Gasification IDL'!$A$2:$A$309,0),MATCH(Summary!B6,'Gasification IDL'!$A$2:$ZZ$2,0))</f>
        <v>Gasoline and Diesel Blendstocks</v>
      </c>
      <c r="G6" s="13" t="str">
        <f>INDEX('Gasification IDL'!$A$2:$ZZ$309,MATCH(Summary!$G$2,'Gasification IDL'!$A$2:$A$309,0),MATCH(Summary!B6,'Gasification IDL'!$A$2:$ZZ$2,0))</f>
        <v>Corn Stover</v>
      </c>
      <c r="H6" s="191">
        <f>INDEX('Gasification IDL'!$A$2:$ZZ$309,MATCH(Summary!$H$2,'Gasification IDL'!$A$2:$A$309,0),MATCH(Summary!B6,'Gasification IDL'!$A$2:$ZZ$2,0))</f>
        <v>75</v>
      </c>
      <c r="I6" s="192">
        <f>INDEX('Gasification IDL'!$A$2:$ZZ$309,MATCH(Summary!$I$2,'Gasification IDL'!$A$2:$A$309,0),MATCH(Summary!B6,'Gasification IDL'!$A$2:$ZZ$2,0))</f>
        <v>2000</v>
      </c>
      <c r="J6" s="193">
        <f>INDEX('Gasification IDL'!$A$2:$ZZ$309,MATCH(Summary!$J$2,'Gasification IDL'!$A$2:$A$309,0),MATCH(Summary!B6,'Gasification IDL'!$A$2:$ZZ$2,0))</f>
        <v>47.209403289865094</v>
      </c>
      <c r="K6" s="191">
        <f>INDEX('Gasification IDL'!$A$2:$ZZ$309,MATCH(Summary!$K$2,'Gasification IDL'!$A$2:$A$309,0),MATCH(Summary!B6,'Gasification IDL'!$A$2:$ZZ$2,0))</f>
        <v>4.83</v>
      </c>
    </row>
    <row r="7" spans="1:11" ht="40" customHeight="1" x14ac:dyDescent="0.35">
      <c r="A7" s="11" t="s">
        <v>439</v>
      </c>
      <c r="B7" s="78" t="str">
        <f>'Gasification IDL'!E2</f>
        <v>Techno-Economic Analysis of Biomass-to-Liquids Production Based on Gasification - High Temperature Entrained-Flow Gasifier Case</v>
      </c>
      <c r="C7" s="9">
        <f>INDEX('Gasification IDL'!$A$2:$ZZ$309,MATCH(Summary!$C$2,'Gasification IDL'!$A$2:$A$309,0),MATCH(Summary!B7,'Gasification IDL'!$A$2:$ZZ$2,0))</f>
        <v>2010</v>
      </c>
      <c r="D7" s="9">
        <f>INDEX('Gasification IDL'!$A$2:$ZZ$309,MATCH(Summary!$D$2,'Gasification IDL'!$A$2:$A$309,0),MATCH(Summary!B7,'Gasification IDL'!$A$2:$ZZ$2,0))</f>
        <v>2007</v>
      </c>
      <c r="E7" s="13" t="str">
        <f>INDEX('Gasification IDL'!$A$2:$ZZ$309,MATCH(Summary!$E$2,'Gasification IDL'!$A$2:$A$309,0),MATCH(Summary!B7,'Gasification IDL'!$A$2:$ZZ$2,0))</f>
        <v>High Temperature Entrained-Flow Gasifier</v>
      </c>
      <c r="F7" s="13" t="str">
        <f>INDEX('Gasification IDL'!$A$2:$ZZ$309,MATCH(Summary!$F$2,'Gasification IDL'!$A$2:$A$309,0),MATCH(Summary!B7,'Gasification IDL'!$A$2:$ZZ$2,0))</f>
        <v>Gasoline and Diesel Blendstocks</v>
      </c>
      <c r="G7" s="13" t="str">
        <f>INDEX('Gasification IDL'!$A$2:$ZZ$309,MATCH(Summary!$G$2,'Gasification IDL'!$A$2:$A$309,0),MATCH(Summary!B7,'Gasification IDL'!$A$2:$ZZ$2,0))</f>
        <v>Corn Stover</v>
      </c>
      <c r="H7" s="191">
        <f>INDEX('Gasification IDL'!$A$2:$ZZ$309,MATCH(Summary!$H$2,'Gasification IDL'!$A$2:$A$309,0),MATCH(Summary!B7,'Gasification IDL'!$A$2:$ZZ$2,0))</f>
        <v>75</v>
      </c>
      <c r="I7" s="192">
        <f>INDEX('Gasification IDL'!$A$2:$ZZ$309,MATCH(Summary!$I$2,'Gasification IDL'!$A$2:$A$309,0),MATCH(Summary!B7,'Gasification IDL'!$A$2:$ZZ$2,0))</f>
        <v>2000</v>
      </c>
      <c r="J7" s="193">
        <f>INDEX('Gasification IDL'!$A$2:$ZZ$309,MATCH(Summary!$J$2,'Gasification IDL'!$A$2:$A$309,0),MATCH(Summary!B7,'Gasification IDL'!$A$2:$ZZ$2,0))</f>
        <v>60.979299840228272</v>
      </c>
      <c r="K7" s="191">
        <f>INDEX('Gasification IDL'!$A$2:$ZZ$309,MATCH(Summary!$K$2,'Gasification IDL'!$A$2:$A$309,0),MATCH(Summary!B7,'Gasification IDL'!$A$2:$ZZ$2,0))</f>
        <v>4.2699999999999996</v>
      </c>
    </row>
    <row r="8" spans="1:11" ht="40" customHeight="1" x14ac:dyDescent="0.35">
      <c r="A8" s="11" t="s">
        <v>440</v>
      </c>
      <c r="B8" s="78" t="str">
        <f>'Gasification IDL'!F2</f>
        <v>Gasoline from Wood via Integrated Gasification, Synthesis, and Methanol-to-Gasoline Technologies</v>
      </c>
      <c r="C8" s="9">
        <f>INDEX('Gasification IDL'!$A$2:$ZZ$309,MATCH(Summary!$C$2,'Gasification IDL'!$A$2:$A$309,0),MATCH(Summary!B8,'Gasification IDL'!$A$2:$ZZ$2,0))</f>
        <v>2011</v>
      </c>
      <c r="D8" s="9">
        <f>INDEX('Gasification IDL'!$A$2:$ZZ$309,MATCH(Summary!$D$2,'Gasification IDL'!$A$2:$A$309,0),MATCH(Summary!B8,'Gasification IDL'!$A$2:$ZZ$2,0))</f>
        <v>2007</v>
      </c>
      <c r="F8" s="13" t="str">
        <f>INDEX('Gasification IDL'!$A$2:$ZZ$309,MATCH(Summary!$F$2,'Gasification IDL'!$A$2:$A$309,0),MATCH(Summary!B8,'Gasification IDL'!$A$2:$ZZ$2,0))</f>
        <v>Gasoline</v>
      </c>
      <c r="G8" s="13" t="str">
        <f>INDEX('Gasification IDL'!$A$2:$ZZ$309,MATCH(Summary!$G$2,'Gasification IDL'!$A$2:$A$309,0),MATCH(Summary!B8,'Gasification IDL'!$A$2:$ZZ$2,0))</f>
        <v>Hybrid Poplar Wood Chips</v>
      </c>
      <c r="H8" s="191">
        <f>INDEX('Gasification IDL'!$A$2:$ZZ$309,MATCH(Summary!$H$2,'Gasification IDL'!$A$2:$A$309,0),MATCH(Summary!B8,'Gasification IDL'!$A$2:$ZZ$2,0))</f>
        <v>50.7</v>
      </c>
      <c r="I8" s="192">
        <f>INDEX('Gasification IDL'!$A$2:$ZZ$309,MATCH(Summary!$I$2,'Gasification IDL'!$A$2:$A$309,0),MATCH(Summary!B8,'Gasification IDL'!$A$2:$ZZ$2,0))</f>
        <v>2000</v>
      </c>
      <c r="J8" s="193">
        <f>INDEX('Gasification IDL'!$A$2:$ZZ$309,MATCH(Summary!$J$2,'Gasification IDL'!$A$2:$A$309,0),MATCH(Summary!B8,'Gasification IDL'!$A$2:$ZZ$2,0))</f>
        <v>55.1</v>
      </c>
      <c r="K8" s="191">
        <f>INDEX('Gasification IDL'!$A$2:$ZZ$309,MATCH(Summary!$K$2,'Gasification IDL'!$A$2:$A$309,0),MATCH(Summary!B8,'Gasification IDL'!$A$2:$ZZ$2,0))</f>
        <v>1.95</v>
      </c>
    </row>
    <row r="9" spans="1:11" ht="50.15" customHeight="1" x14ac:dyDescent="0.35">
      <c r="A9" s="11" t="s">
        <v>441</v>
      </c>
      <c r="B9" s="78" t="str">
        <f>'Gasification IDL'!G2</f>
        <v>Single-Step Syngas-to-Distillates (S2D) Process Based on Biomass-derived Syngas – A Techno-Economic Analysis - State of Technology (SOT) Case</v>
      </c>
      <c r="C9" s="9">
        <f>INDEX('Gasification IDL'!$A$2:$ZZ$309,MATCH(Summary!$C$2,'Gasification IDL'!$A$2:$A$309,0),MATCH(Summary!B9,'Gasification IDL'!$A$2:$ZZ$2,0))</f>
        <v>2012</v>
      </c>
      <c r="D9" s="9">
        <f>INDEX('Gasification IDL'!$A$2:$ZZ$309,MATCH(Summary!$D$2,'Gasification IDL'!$A$2:$A$309,0),MATCH(Summary!B9,'Gasification IDL'!$A$2:$ZZ$2,0))</f>
        <v>2007</v>
      </c>
      <c r="E9" s="13" t="str">
        <f>INDEX('Gasification IDL'!$A$2:$ZZ$309,MATCH(Summary!$E$2,'Gasification IDL'!$A$2:$A$309,0),MATCH(Summary!B9,'Gasification IDL'!$A$2:$ZZ$2,0))</f>
        <v>State of Technology (SOT)</v>
      </c>
      <c r="F9" s="13" t="str">
        <f>INDEX('Gasification IDL'!$A$2:$ZZ$309,MATCH(Summary!$F$2,'Gasification IDL'!$A$2:$A$309,0),MATCH(Summary!B9,'Gasification IDL'!$A$2:$ZZ$2,0))</f>
        <v>Gasoline Blendstock</v>
      </c>
      <c r="G9" s="13" t="str">
        <f>INDEX('Gasification IDL'!$A$2:$ZZ$309,MATCH(Summary!$G$2,'Gasification IDL'!$A$2:$A$309,0),MATCH(Summary!B9,'Gasification IDL'!$A$2:$ZZ$2,0))</f>
        <v>Low-Ash Wood Chips</v>
      </c>
      <c r="H9" s="191">
        <f>INDEX('Gasification IDL'!$A$2:$ZZ$309,MATCH(Summary!$H$2,'Gasification IDL'!$A$2:$A$309,0),MATCH(Summary!B9,'Gasification IDL'!$A$2:$ZZ$2,0))</f>
        <v>63.52</v>
      </c>
      <c r="I9" s="192">
        <f>INDEX('Gasification IDL'!$A$2:$ZZ$309,MATCH(Summary!$I$2,'Gasification IDL'!$A$2:$A$309,0),MATCH(Summary!B9,'Gasification IDL'!$A$2:$ZZ$2,0))</f>
        <v>2000</v>
      </c>
      <c r="J9" s="193">
        <f>INDEX('Gasification IDL'!$A$2:$ZZ$309,MATCH(Summary!$J$2,'Gasification IDL'!$A$2:$A$309,0),MATCH(Summary!B9,'Gasification IDL'!$A$2:$ZZ$2,0))</f>
        <v>32.447890887092342</v>
      </c>
      <c r="K9" s="191">
        <f>INDEX('Gasification IDL'!$A$2:$ZZ$309,MATCH(Summary!$K$2,'Gasification IDL'!$A$2:$A$309,0),MATCH(Summary!B9,'Gasification IDL'!$A$2:$ZZ$2,0))</f>
        <v>6.75</v>
      </c>
    </row>
    <row r="10" spans="1:11" ht="40" customHeight="1" x14ac:dyDescent="0.35">
      <c r="A10" s="11" t="s">
        <v>442</v>
      </c>
      <c r="B10" s="78" t="str">
        <f>'Gasification IDL'!H2</f>
        <v>Single-Step Syngas-to-Distillates (S2D) Process Based on Biomass-derived Syngas – A Techno-Economic Analysis - Goal Case</v>
      </c>
      <c r="C10" s="9">
        <f>INDEX('Gasification IDL'!$A$2:$ZZ$309,MATCH(Summary!$C$2,'Gasification IDL'!$A$2:$A$309,0),MATCH(Summary!B10,'Gasification IDL'!$A$2:$ZZ$2,0))</f>
        <v>2012</v>
      </c>
      <c r="D10" s="9">
        <f>INDEX('Gasification IDL'!$A$2:$ZZ$309,MATCH(Summary!$D$2,'Gasification IDL'!$A$2:$A$309,0),MATCH(Summary!B10,'Gasification IDL'!$A$2:$ZZ$2,0))</f>
        <v>2007</v>
      </c>
      <c r="E10" s="13" t="str">
        <f>INDEX('Gasification IDL'!$A$2:$ZZ$309,MATCH(Summary!$E$2,'Gasification IDL'!$A$2:$A$309,0),MATCH(Summary!B10,'Gasification IDL'!$A$2:$ZZ$2,0))</f>
        <v>Goal</v>
      </c>
      <c r="F10" s="13" t="str">
        <f>INDEX('Gasification IDL'!$A$2:$ZZ$309,MATCH(Summary!$F$2,'Gasification IDL'!$A$2:$A$309,0),MATCH(Summary!B10,'Gasification IDL'!$A$2:$ZZ$2,0))</f>
        <v>Gasoline Blendstock</v>
      </c>
      <c r="G10" s="13" t="str">
        <f>INDEX('Gasification IDL'!$A$2:$ZZ$309,MATCH(Summary!$G$2,'Gasification IDL'!$A$2:$A$309,0),MATCH(Summary!B10,'Gasification IDL'!$A$2:$ZZ$2,0))</f>
        <v>Low-Ash Wood Chips</v>
      </c>
      <c r="H10" s="191">
        <f>INDEX('Gasification IDL'!$A$2:$ZZ$309,MATCH(Summary!$H$2,'Gasification IDL'!$A$2:$A$309,0),MATCH(Summary!B10,'Gasification IDL'!$A$2:$ZZ$2,0))</f>
        <v>63.52</v>
      </c>
      <c r="I10" s="192">
        <f>INDEX('Gasification IDL'!$A$2:$ZZ$309,MATCH(Summary!$I$2,'Gasification IDL'!$A$2:$A$309,0),MATCH(Summary!B10,'Gasification IDL'!$A$2:$ZZ$2,0))</f>
        <v>2000</v>
      </c>
      <c r="J10" s="193">
        <f>INDEX('Gasification IDL'!$A$2:$ZZ$309,MATCH(Summary!$J$2,'Gasification IDL'!$A$2:$A$309,0),MATCH(Summary!B10,'Gasification IDL'!$A$2:$ZZ$2,0))</f>
        <v>59.94610350327229</v>
      </c>
      <c r="K10" s="191">
        <f>INDEX('Gasification IDL'!$A$2:$ZZ$309,MATCH(Summary!$K$2,'Gasification IDL'!$A$2:$A$309,0),MATCH(Summary!B10,'Gasification IDL'!$A$2:$ZZ$2,0))</f>
        <v>2.78</v>
      </c>
    </row>
    <row r="11" spans="1:11" ht="40" customHeight="1" x14ac:dyDescent="0.35">
      <c r="A11" s="11" t="s">
        <v>443</v>
      </c>
      <c r="B11" s="78" t="str">
        <f>'Gasification IDL'!I2</f>
        <v>Single-Step Syngas-to-Distillates (S2D) Process Based on Biomass-derived Syngas – A Techno-Economic Analysis - Conventional Case</v>
      </c>
      <c r="C11" s="9">
        <f>INDEX('Gasification IDL'!$A$2:$ZZ$309,MATCH(Summary!$C$2,'Gasification IDL'!$A$2:$A$309,0),MATCH(Summary!B11,'Gasification IDL'!$A$2:$ZZ$2,0))</f>
        <v>2012</v>
      </c>
      <c r="D11" s="9">
        <f>INDEX('Gasification IDL'!$A$2:$ZZ$309,MATCH(Summary!$D$2,'Gasification IDL'!$A$2:$A$309,0),MATCH(Summary!B11,'Gasification IDL'!$A$2:$ZZ$2,0))</f>
        <v>2007</v>
      </c>
      <c r="E11" s="13" t="str">
        <f>INDEX('Gasification IDL'!$A$2:$ZZ$309,MATCH(Summary!$E$2,'Gasification IDL'!$A$2:$A$309,0),MATCH(Summary!B11,'Gasification IDL'!$A$2:$ZZ$2,0))</f>
        <v>Conventional</v>
      </c>
      <c r="F11" s="13" t="str">
        <f>INDEX('Gasification IDL'!$A$2:$ZZ$309,MATCH(Summary!$F$2,'Gasification IDL'!$A$2:$A$309,0),MATCH(Summary!B11,'Gasification IDL'!$A$2:$ZZ$2,0))</f>
        <v>Gasoline Blendstock</v>
      </c>
      <c r="G11" s="13" t="str">
        <f>INDEX('Gasification IDL'!$A$2:$ZZ$309,MATCH(Summary!$G$2,'Gasification IDL'!$A$2:$A$309,0),MATCH(Summary!B11,'Gasification IDL'!$A$2:$ZZ$2,0))</f>
        <v>Low-Ash Wood Chips</v>
      </c>
      <c r="H11" s="191">
        <f>INDEX('Gasification IDL'!$A$2:$ZZ$309,MATCH(Summary!$H$2,'Gasification IDL'!$A$2:$A$309,0),MATCH(Summary!B11,'Gasification IDL'!$A$2:$ZZ$2,0))</f>
        <v>63.52</v>
      </c>
      <c r="I11" s="192">
        <f>INDEX('Gasification IDL'!$A$2:$ZZ$309,MATCH(Summary!$I$2,'Gasification IDL'!$A$2:$A$309,0),MATCH(Summary!B11,'Gasification IDL'!$A$2:$ZZ$2,0))</f>
        <v>2000</v>
      </c>
      <c r="J11" s="193">
        <f>INDEX('Gasification IDL'!$A$2:$ZZ$309,MATCH(Summary!$J$2,'Gasification IDL'!$A$2:$A$309,0),MATCH(Summary!B11,'Gasification IDL'!$A$2:$ZZ$2,0))</f>
        <v>56.921300115492492</v>
      </c>
      <c r="K11" s="191">
        <f>INDEX('Gasification IDL'!$A$2:$ZZ$309,MATCH(Summary!$K$2,'Gasification IDL'!$A$2:$A$309,0),MATCH(Summary!B11,'Gasification IDL'!$A$2:$ZZ$2,0))</f>
        <v>3.29</v>
      </c>
    </row>
    <row r="12" spans="1:11" ht="70" customHeight="1" x14ac:dyDescent="0.35">
      <c r="A12" s="11" t="s">
        <v>444</v>
      </c>
      <c r="B12" s="78" t="str">
        <f>'Gasification IDL'!J2</f>
        <v>Process Design and Economics for the Conversion of Lignocellulosic Biomass to Hydrocarbons via Indirect Liquefaction, Thermochemical Research Pathway to High-Octane Gasoline Blendstock Through Methanol/Dimethyl Ether Intermediates</v>
      </c>
      <c r="C12" s="9">
        <f>INDEX('Gasification IDL'!$A$2:$ZZ$309,MATCH(Summary!$C$2,'Gasification IDL'!$A$2:$A$309,0),MATCH(Summary!B12,'Gasification IDL'!$A$2:$ZZ$2,0))</f>
        <v>2015</v>
      </c>
      <c r="D12" s="9">
        <f>INDEX('Gasification IDL'!$A$2:$ZZ$309,MATCH(Summary!$D$2,'Gasification IDL'!$A$2:$A$309,0),MATCH(Summary!B12,'Gasification IDL'!$A$2:$ZZ$2,0))</f>
        <v>2014</v>
      </c>
      <c r="E12" s="13" t="str">
        <f>INDEX('Gasification IDL'!$A$2:$ZZ$309,MATCH(Summary!$E$2,'Gasification IDL'!$A$2:$A$309,0),MATCH(Summary!B12,'Gasification IDL'!$A$2:$ZZ$2,0))</f>
        <v>2022 Target Case in 2014 Dollars</v>
      </c>
      <c r="F12" s="13" t="str">
        <f>INDEX('Gasification IDL'!$A$2:$ZZ$309,MATCH(Summary!$F$2,'Gasification IDL'!$A$2:$A$309,0),MATCH(Summary!B12,'Gasification IDL'!$A$2:$ZZ$2,0))</f>
        <v>High-Octane Gasoline Blendstock</v>
      </c>
      <c r="G12" s="13" t="str">
        <f>INDEX('Gasification IDL'!$A$2:$ZZ$309,MATCH(Summary!$G$2,'Gasification IDL'!$A$2:$A$309,0),MATCH(Summary!B12,'Gasification IDL'!$A$2:$ZZ$2,0))</f>
        <v>Woody Material, consistent with the composition of Hybrid Poplar</v>
      </c>
      <c r="H12" s="191">
        <f>INDEX('Gasification IDL'!$A$2:$ZZ$309,MATCH(Summary!$H$2,'Gasification IDL'!$A$2:$A$309,0),MATCH(Summary!B12,'Gasification IDL'!$A$2:$ZZ$2,0))</f>
        <v>84.45</v>
      </c>
      <c r="I12" s="192">
        <f>INDEX('Gasification IDL'!$A$2:$ZZ$309,MATCH(Summary!$I$2,'Gasification IDL'!$A$2:$A$309,0),MATCH(Summary!B12,'Gasification IDL'!$A$2:$ZZ$2,0))</f>
        <v>2000</v>
      </c>
      <c r="J12" s="193">
        <f>INDEX('Gasification IDL'!$A$2:$ZZ$309,MATCH(Summary!$J$2,'Gasification IDL'!$A$2:$A$309,0),MATCH(Summary!B12,'Gasification IDL'!$A$2:$ZZ$2,0))</f>
        <v>61.9</v>
      </c>
      <c r="K12" s="191">
        <f>INDEX('Gasification IDL'!$A$2:$ZZ$309,MATCH(Summary!$K$2,'Gasification IDL'!$A$2:$A$309,0),MATCH(Summary!B12,'Gasification IDL'!$A$2:$ZZ$2,0))</f>
        <v>3.47</v>
      </c>
    </row>
    <row r="13" spans="1:11" ht="80.150000000000006" customHeight="1" x14ac:dyDescent="0.35">
      <c r="A13" s="11" t="s">
        <v>445</v>
      </c>
      <c r="B13" s="78" t="str">
        <f>'Gasification IDL'!K2</f>
        <v>Comparative Techno-Economic Analysis and Process Design for Indirect Liquefaction Pathways to Distillate-range Fuels via Biomass-derived Oxygenated Intermediates Upgrading - Pathway 1A</v>
      </c>
      <c r="C13" s="9">
        <f>INDEX('Gasification IDL'!$A$2:$ZZ$309,MATCH(Summary!$C$2,'Gasification IDL'!$A$2:$A$309,0),MATCH(Summary!B13,'Gasification IDL'!$A$2:$ZZ$2,0))</f>
        <v>2016</v>
      </c>
      <c r="D13" s="9">
        <f>INDEX('Gasification IDL'!$A$2:$ZZ$309,MATCH(Summary!$D$2,'Gasification IDL'!$A$2:$A$309,0),MATCH(Summary!B13,'Gasification IDL'!$A$2:$ZZ$2,0))</f>
        <v>2011</v>
      </c>
      <c r="E13" s="13" t="str">
        <f>INDEX('Gasification IDL'!$A$2:$ZZ$309,MATCH(Summary!$E$2,'Gasification IDL'!$A$2:$A$309,0),MATCH(Summary!B13,'Gasification IDL'!$A$2:$ZZ$2,0))</f>
        <v>Pathway 1A: Syngas to molybdenum disulfide (MoS2)-catalyzed alcohols followed by fuel production via alcohol condensation (Guerbet reaction), dehydration, oligomerization, and hydrogenation</v>
      </c>
      <c r="F13" s="13" t="str">
        <f>INDEX('Gasification IDL'!$A$2:$ZZ$309,MATCH(Summary!$F$2,'Gasification IDL'!$A$2:$A$309,0),MATCH(Summary!B13,'Gasification IDL'!$A$2:$ZZ$2,0))</f>
        <v>Naphtha, Jet, Diesel</v>
      </c>
      <c r="G13" s="13" t="str">
        <f>INDEX('Gasification IDL'!$A$2:$ZZ$309,MATCH(Summary!$G$2,'Gasification IDL'!$A$2:$A$309,0),MATCH(Summary!B13,'Gasification IDL'!$A$2:$ZZ$2,0))</f>
        <v>Wood Chips (Blended Woody Biomass)</v>
      </c>
      <c r="H13" s="191">
        <f>INDEX('Gasification IDL'!$A$2:$ZZ$309,MATCH(Summary!$H$2,'Gasification IDL'!$A$2:$A$309,0),MATCH(Summary!B13,'Gasification IDL'!$A$2:$ZZ$2,0))</f>
        <v>80</v>
      </c>
      <c r="I13" s="192">
        <f>INDEX('Gasification IDL'!$A$2:$ZZ$309,MATCH(Summary!$I$2,'Gasification IDL'!$A$2:$A$309,0),MATCH(Summary!B13,'Gasification IDL'!$A$2:$ZZ$2,0))</f>
        <v>2000</v>
      </c>
      <c r="J13" s="193">
        <f>INDEX('Gasification IDL'!$A$2:$ZZ$309,MATCH(Summary!$J$2,'Gasification IDL'!$A$2:$A$309,0),MATCH(Summary!B13,'Gasification IDL'!$A$2:$ZZ$2,0))</f>
        <v>56.7</v>
      </c>
      <c r="K13" s="191">
        <f>INDEX('Gasification IDL'!$A$2:$ZZ$309,MATCH(Summary!$K$2,'Gasification IDL'!$A$2:$A$309,0),MATCH(Summary!B13,'Gasification IDL'!$A$2:$ZZ$2,0))</f>
        <v>4.8899999999999997</v>
      </c>
    </row>
    <row r="14" spans="1:11" ht="60" customHeight="1" x14ac:dyDescent="0.35">
      <c r="A14" s="11" t="s">
        <v>446</v>
      </c>
      <c r="B14" s="78" t="str">
        <f>'Gasification IDL'!L2</f>
        <v>Comparative Techno-Economic Analysis and Process Design for Indirect Liquefaction Pathways to Distillate-range Fuels via Biomass-derived Oxygenated Intermediates Upgrading - Pathway 1B</v>
      </c>
      <c r="C14" s="9">
        <f>INDEX('Gasification IDL'!$A$2:$ZZ$309,MATCH(Summary!$C$2,'Gasification IDL'!$A$2:$A$309,0),MATCH(Summary!B14,'Gasification IDL'!$A$2:$ZZ$2,0))</f>
        <v>2016</v>
      </c>
      <c r="D14" s="9">
        <f>INDEX('Gasification IDL'!$A$2:$ZZ$309,MATCH(Summary!$D$2,'Gasification IDL'!$A$2:$A$309,0),MATCH(Summary!B14,'Gasification IDL'!$A$2:$ZZ$2,0))</f>
        <v>2011</v>
      </c>
      <c r="E14" s="13" t="str">
        <f>INDEX('Gasification IDL'!$A$2:$ZZ$309,MATCH(Summary!$E$2,'Gasification IDL'!$A$2:$A$309,0),MATCH(Summary!B14,'Gasification IDL'!$A$2:$ZZ$2,0))</f>
        <v>Pathway 1B: Syngas fermentation to ethanol followed by fuel production via alcohol condensation (Guerbet reaction), dehydration, oligomerization, and hydrogenation</v>
      </c>
      <c r="F14" s="13" t="str">
        <f>INDEX('Gasification IDL'!$A$2:$ZZ$309,MATCH(Summary!$F$2,'Gasification IDL'!$A$2:$A$309,0),MATCH(Summary!B14,'Gasification IDL'!$A$2:$ZZ$2,0))</f>
        <v>Naphtha, Jet, Diesel</v>
      </c>
      <c r="G14" s="13" t="str">
        <f>INDEX('Gasification IDL'!$A$2:$ZZ$309,MATCH(Summary!$G$2,'Gasification IDL'!$A$2:$A$309,0),MATCH(Summary!B14,'Gasification IDL'!$A$2:$ZZ$2,0))</f>
        <v>Wood Chips (Blended Woody Biomass)</v>
      </c>
      <c r="H14" s="191">
        <f>INDEX('Gasification IDL'!$A$2:$ZZ$309,MATCH(Summary!$H$2,'Gasification IDL'!$A$2:$A$309,0),MATCH(Summary!B14,'Gasification IDL'!$A$2:$ZZ$2,0))</f>
        <v>80</v>
      </c>
      <c r="I14" s="192">
        <f>INDEX('Gasification IDL'!$A$2:$ZZ$309,MATCH(Summary!$I$2,'Gasification IDL'!$A$2:$A$309,0),MATCH(Summary!B14,'Gasification IDL'!$A$2:$ZZ$2,0))</f>
        <v>2000</v>
      </c>
      <c r="J14" s="193">
        <f>INDEX('Gasification IDL'!$A$2:$ZZ$309,MATCH(Summary!$J$2,'Gasification IDL'!$A$2:$A$309,0),MATCH(Summary!B14,'Gasification IDL'!$A$2:$ZZ$2,0))</f>
        <v>61.9</v>
      </c>
      <c r="K14" s="191">
        <f>INDEX('Gasification IDL'!$A$2:$ZZ$309,MATCH(Summary!$K$2,'Gasification IDL'!$A$2:$A$309,0),MATCH(Summary!B14,'Gasification IDL'!$A$2:$ZZ$2,0))</f>
        <v>3.4</v>
      </c>
    </row>
    <row r="15" spans="1:11" ht="60" customHeight="1" x14ac:dyDescent="0.35">
      <c r="A15" s="11" t="s">
        <v>447</v>
      </c>
      <c r="B15" s="78" t="str">
        <f>'Gasification IDL'!M2</f>
        <v>Comparative Techno-Economic Analysis and Process Design for Indirect Liquefaction Pathways to Distillate-range Fuels via Biomass-derived Oxygenated Intermediates Upgrading - Pathway 2A</v>
      </c>
      <c r="C15" s="9">
        <f>INDEX('Gasification IDL'!$A$2:$ZZ$309,MATCH(Summary!$C$2,'Gasification IDL'!$A$2:$A$309,0),MATCH(Summary!B15,'Gasification IDL'!$A$2:$ZZ$2,0))</f>
        <v>2016</v>
      </c>
      <c r="D15" s="9">
        <f>INDEX('Gasification IDL'!$A$2:$ZZ$309,MATCH(Summary!$D$2,'Gasification IDL'!$A$2:$A$309,0),MATCH(Summary!B15,'Gasification IDL'!$A$2:$ZZ$2,0))</f>
        <v>2011</v>
      </c>
      <c r="E15" s="13" t="str">
        <f>INDEX('Gasification IDL'!$A$2:$ZZ$309,MATCH(Summary!$E$2,'Gasification IDL'!$A$2:$A$309,0),MATCH(Summary!B15,'Gasification IDL'!$A$2:$ZZ$2,0))</f>
        <v>Pathway 2A: Syngas to rhodium (Rh)-catalyzed mixed oxygenates followed by fuel production via carbon coupling/deoxygenation (to isobutene), oligomerization, and hydrogenation</v>
      </c>
      <c r="F15" s="13" t="str">
        <f>INDEX('Gasification IDL'!$A$2:$ZZ$309,MATCH(Summary!$F$2,'Gasification IDL'!$A$2:$A$309,0),MATCH(Summary!B15,'Gasification IDL'!$A$2:$ZZ$2,0))</f>
        <v>Naphtha, Jet, Diesel</v>
      </c>
      <c r="G15" s="13" t="str">
        <f>INDEX('Gasification IDL'!$A$2:$ZZ$309,MATCH(Summary!$G$2,'Gasification IDL'!$A$2:$A$309,0),MATCH(Summary!B15,'Gasification IDL'!$A$2:$ZZ$2,0))</f>
        <v>Wood Chips (Blended Woody Biomass)</v>
      </c>
      <c r="H15" s="191">
        <f>INDEX('Gasification IDL'!$A$2:$ZZ$309,MATCH(Summary!$H$2,'Gasification IDL'!$A$2:$A$309,0),MATCH(Summary!B15,'Gasification IDL'!$A$2:$ZZ$2,0))</f>
        <v>88</v>
      </c>
      <c r="I15" s="192">
        <f>INDEX('Gasification IDL'!$A$2:$ZZ$309,MATCH(Summary!$I$2,'Gasification IDL'!$A$2:$A$309,0),MATCH(Summary!B15,'Gasification IDL'!$A$2:$ZZ$2,0))</f>
        <v>2000</v>
      </c>
      <c r="J15" s="193">
        <f>INDEX('Gasification IDL'!$A$2:$ZZ$309,MATCH(Summary!$J$2,'Gasification IDL'!$A$2:$A$309,0),MATCH(Summary!B15,'Gasification IDL'!$A$2:$ZZ$2,0))</f>
        <v>48</v>
      </c>
      <c r="K15" s="191">
        <f>INDEX('Gasification IDL'!$A$2:$ZZ$309,MATCH(Summary!$K$2,'Gasification IDL'!$A$2:$A$309,0),MATCH(Summary!B15,'Gasification IDL'!$A$2:$ZZ$2,0))</f>
        <v>3.69</v>
      </c>
    </row>
    <row r="16" spans="1:11" ht="60" customHeight="1" x14ac:dyDescent="0.35">
      <c r="A16" s="11" t="s">
        <v>448</v>
      </c>
      <c r="B16" s="78" t="str">
        <f>'Gasification IDL'!N2</f>
        <v>Comparative Techno-Economic Analysis and Process Design for Indirect Liquefaction Pathways to Distillate-range Fuels via Biomass-derived Oxygenated Intermediates Upgrading - Pathway 2B</v>
      </c>
      <c r="C16" s="9">
        <f>INDEX('Gasification IDL'!$A$2:$ZZ$309,MATCH(Summary!$C$2,'Gasification IDL'!$A$2:$A$309,0),MATCH(Summary!B16,'Gasification IDL'!$A$2:$ZZ$2,0))</f>
        <v>2016</v>
      </c>
      <c r="D16" s="9">
        <f>INDEX('Gasification IDL'!$A$2:$ZZ$309,MATCH(Summary!$D$2,'Gasification IDL'!$A$2:$A$309,0),MATCH(Summary!B16,'Gasification IDL'!$A$2:$ZZ$2,0))</f>
        <v>2011</v>
      </c>
      <c r="E16" s="13" t="str">
        <f>INDEX('Gasification IDL'!$A$2:$ZZ$309,MATCH(Summary!$E$2,'Gasification IDL'!$A$2:$A$309,0),MATCH(Summary!B16,'Gasification IDL'!$A$2:$ZZ$2,0))</f>
        <v>Pathway 2B: Syngas fermentation to ethanol followed by fuel production via carbon coupling/deoxygenation (to isobutene), oligomerization, and hydrogenation</v>
      </c>
      <c r="F16" s="13" t="str">
        <f>INDEX('Gasification IDL'!$A$2:$ZZ$309,MATCH(Summary!$F$2,'Gasification IDL'!$A$2:$A$309,0),MATCH(Summary!B16,'Gasification IDL'!$A$2:$ZZ$2,0))</f>
        <v>Naphtha, Jet, Diesel</v>
      </c>
      <c r="G16" s="13" t="str">
        <f>INDEX('Gasification IDL'!$A$2:$ZZ$309,MATCH(Summary!$G$2,'Gasification IDL'!$A$2:$A$309,0),MATCH(Summary!B16,'Gasification IDL'!$A$2:$ZZ$2,0))</f>
        <v>Wood Chips (Blended Woody Biomass)</v>
      </c>
      <c r="H16" s="191">
        <f>INDEX('Gasification IDL'!$A$2:$ZZ$309,MATCH(Summary!$H$2,'Gasification IDL'!$A$2:$A$309,0),MATCH(Summary!B16,'Gasification IDL'!$A$2:$ZZ$2,0))</f>
        <v>88</v>
      </c>
      <c r="I16" s="192">
        <f>INDEX('Gasification IDL'!$A$2:$ZZ$309,MATCH(Summary!$I$2,'Gasification IDL'!$A$2:$A$309,0),MATCH(Summary!B16,'Gasification IDL'!$A$2:$ZZ$2,0))</f>
        <v>2000</v>
      </c>
      <c r="J16" s="193">
        <f>INDEX('Gasification IDL'!$A$2:$ZZ$309,MATCH(Summary!$J$2,'Gasification IDL'!$A$2:$A$309,0),MATCH(Summary!B16,'Gasification IDL'!$A$2:$ZZ$2,0))</f>
        <v>30.1</v>
      </c>
      <c r="K16" s="191">
        <f>INDEX('Gasification IDL'!$A$2:$ZZ$309,MATCH(Summary!$K$2,'Gasification IDL'!$A$2:$A$309,0),MATCH(Summary!B16,'Gasification IDL'!$A$2:$ZZ$2,0))</f>
        <v>5.04</v>
      </c>
    </row>
    <row r="17" spans="1:11" ht="60" customHeight="1" x14ac:dyDescent="0.35">
      <c r="A17" s="11" t="s">
        <v>449</v>
      </c>
      <c r="B17" s="78" t="str">
        <f>'Gasification IDL'!O2</f>
        <v>Comparative Techno-Economic Analysis and Process Design for Indirect Liquefaction Pathways to Distillate-range Fuels via Biomass-derived Oxygenated Intermediates Upgrading - Pathway HT</v>
      </c>
      <c r="C17" s="9">
        <f>INDEX('Gasification IDL'!$A$2:$ZZ$309,MATCH(Summary!$C$2,'Gasification IDL'!$A$2:$A$309,0),MATCH(Summary!B17,'Gasification IDL'!$A$2:$ZZ$2,0))</f>
        <v>2016</v>
      </c>
      <c r="D17" s="9">
        <f>INDEX('Gasification IDL'!$A$2:$ZZ$309,MATCH(Summary!$D$2,'Gasification IDL'!$A$2:$A$309,0),MATCH(Summary!B17,'Gasification IDL'!$A$2:$ZZ$2,0))</f>
        <v>2011</v>
      </c>
      <c r="E17" s="13" t="str">
        <f>INDEX('Gasification IDL'!$A$2:$ZZ$309,MATCH(Summary!$E$2,'Gasification IDL'!$A$2:$A$309,0),MATCH(Summary!B17,'Gasification IDL'!$A$2:$ZZ$2,0))</f>
        <v>Pathway HT: Syngas to liquid fuels via Fischer-Tropsch technology as a commercial benchmark for comparisons</v>
      </c>
      <c r="F17" s="13" t="str">
        <f>INDEX('Gasification IDL'!$A$2:$ZZ$309,MATCH(Summary!$F$2,'Gasification IDL'!$A$2:$A$309,0),MATCH(Summary!B17,'Gasification IDL'!$A$2:$ZZ$2,0))</f>
        <v>Naphtha, Jet, Diesel</v>
      </c>
      <c r="G17" s="13" t="str">
        <f>INDEX('Gasification IDL'!$A$2:$ZZ$309,MATCH(Summary!$G$2,'Gasification IDL'!$A$2:$A$309,0),MATCH(Summary!B17,'Gasification IDL'!$A$2:$ZZ$2,0))</f>
        <v>Wood Chips (Blended Woody Biomass)</v>
      </c>
      <c r="H17" s="191">
        <f>INDEX('Gasification IDL'!$A$2:$ZZ$309,MATCH(Summary!$H$2,'Gasification IDL'!$A$2:$A$309,0),MATCH(Summary!B17,'Gasification IDL'!$A$2:$ZZ$2,0))</f>
        <v>80</v>
      </c>
      <c r="I17" s="192">
        <f>INDEX('Gasification IDL'!$A$2:$ZZ$309,MATCH(Summary!$I$2,'Gasification IDL'!$A$2:$A$309,0),MATCH(Summary!B17,'Gasification IDL'!$A$2:$ZZ$2,0))</f>
        <v>2000</v>
      </c>
      <c r="J17" s="193">
        <f>INDEX('Gasification IDL'!$A$2:$ZZ$309,MATCH(Summary!$J$2,'Gasification IDL'!$A$2:$A$309,0),MATCH(Summary!B17,'Gasification IDL'!$A$2:$ZZ$2,0))</f>
        <v>47.5</v>
      </c>
      <c r="K17" s="191">
        <f>INDEX('Gasification IDL'!$A$2:$ZZ$309,MATCH(Summary!$K$2,'Gasification IDL'!$A$2:$A$309,0),MATCH(Summary!B17,'Gasification IDL'!$A$2:$ZZ$2,0))</f>
        <v>3.58</v>
      </c>
    </row>
    <row r="18" spans="1:11" ht="50.15" customHeight="1" x14ac:dyDescent="0.35">
      <c r="A18" s="11" t="s">
        <v>450</v>
      </c>
      <c r="B18" s="78" t="str">
        <f>'Gasification IDL'!P2</f>
        <v>Economic and Environmental Potentials for Natural Gas to Enhance Biomass-to-Liquid Fuels Technologies - GBtL (50% Wood Chips, 50% NG by weight)</v>
      </c>
      <c r="C18" s="9">
        <f>INDEX('Gasification IDL'!$A$2:$ZZ$309,MATCH(Summary!$C$2,'Gasification IDL'!$A$2:$A$309,0),MATCH(Summary!B18,'Gasification IDL'!$A$2:$ZZ$2,0))</f>
        <v>2018</v>
      </c>
      <c r="D18" s="9">
        <f>INDEX('Gasification IDL'!$A$2:$ZZ$309,MATCH(Summary!$D$2,'Gasification IDL'!$A$2:$A$309,0),MATCH(Summary!B18,'Gasification IDL'!$A$2:$ZZ$2,0))</f>
        <v>2016</v>
      </c>
      <c r="E18" s="13" t="str">
        <f>INDEX('Gasification IDL'!$A$2:$ZZ$309,MATCH(Summary!$E$2,'Gasification IDL'!$A$2:$A$309,0),MATCH(Summary!B18,'Gasification IDL'!$A$2:$ZZ$2,0))</f>
        <v>GBtL (50% Wood Chips, 50% NG by weight)</v>
      </c>
      <c r="F18" s="13" t="str">
        <f>INDEX('Gasification IDL'!$A$2:$ZZ$309,MATCH(Summary!$F$2,'Gasification IDL'!$A$2:$A$309,0),MATCH(Summary!B18,'Gasification IDL'!$A$2:$ZZ$2,0))</f>
        <v>43% Jet, 37% Gasoline, 20% Diesel (GGE Basis)</v>
      </c>
      <c r="G18" s="13" t="str">
        <f>INDEX('Gasification IDL'!$A$2:$ZZ$309,MATCH(Summary!$G$2,'Gasification IDL'!$A$2:$A$309,0),MATCH(Summary!B18,'Gasification IDL'!$A$2:$ZZ$2,0))</f>
        <v>Wood Chips and Natural Gas
(Wood Flowrate is the basis for yield calculations)</v>
      </c>
      <c r="H18" s="191" t="str">
        <f>INDEX('Gasification IDL'!$A$2:$ZZ$309,MATCH(Summary!$H$2,'Gasification IDL'!$A$2:$A$309,0),MATCH(Summary!B18,'Gasification IDL'!$A$2:$ZZ$2,0))</f>
        <v>$80.00 (Wood)</v>
      </c>
      <c r="I18" s="192">
        <f>INDEX('Gasification IDL'!$A$2:$ZZ$309,MATCH(Summary!$I$2,'Gasification IDL'!$A$2:$A$309,0),MATCH(Summary!B18,'Gasification IDL'!$A$2:$ZZ$2,0))</f>
        <v>1684</v>
      </c>
      <c r="J18" s="193">
        <f>INDEX('Gasification IDL'!$A$2:$ZZ$309,MATCH(Summary!$J$2,'Gasification IDL'!$A$2:$A$309,0),MATCH(Summary!B18,'Gasification IDL'!$A$2:$ZZ$2,0))</f>
        <v>0</v>
      </c>
      <c r="K18" s="191">
        <f>INDEX('Gasification IDL'!$A$2:$ZZ$309,MATCH(Summary!$K$2,'Gasification IDL'!$A$2:$A$309,0),MATCH(Summary!B18,'Gasification IDL'!$A$2:$ZZ$2,0))</f>
        <v>2.3502000000000001</v>
      </c>
    </row>
    <row r="19" spans="1:11" ht="50.15" customHeight="1" x14ac:dyDescent="0.35">
      <c r="A19" s="11" t="s">
        <v>451</v>
      </c>
      <c r="B19" s="78" t="str">
        <f>'Gasification IDL'!Q2</f>
        <v>Economic and Environmental Potentials for Natural Gas to Enhance Biomass-to-Liquid Fuels Technologies - GBtL (90% Wood Chips, 10% NG by weight)</v>
      </c>
      <c r="C19" s="9">
        <f>INDEX('Gasification IDL'!$A$2:$ZZ$309,MATCH(Summary!$C$2,'Gasification IDL'!$A$2:$A$309,0),MATCH(Summary!B19,'Gasification IDL'!$A$2:$ZZ$2,0))</f>
        <v>2018</v>
      </c>
      <c r="D19" s="9">
        <f>INDEX('Gasification IDL'!$A$2:$ZZ$309,MATCH(Summary!$D$2,'Gasification IDL'!$A$2:$A$309,0),MATCH(Summary!B19,'Gasification IDL'!$A$2:$ZZ$2,0))</f>
        <v>2016</v>
      </c>
      <c r="E19" s="13" t="str">
        <f>INDEX('Gasification IDL'!$A$2:$ZZ$309,MATCH(Summary!$E$2,'Gasification IDL'!$A$2:$A$309,0),MATCH(Summary!B19,'Gasification IDL'!$A$2:$ZZ$2,0))</f>
        <v>GBtL (90% Wood Chips, 10% NG by weight)</v>
      </c>
      <c r="F19" s="13" t="str">
        <f>INDEX('Gasification IDL'!$A$2:$ZZ$309,MATCH(Summary!$F$2,'Gasification IDL'!$A$2:$A$309,0),MATCH(Summary!B19,'Gasification IDL'!$A$2:$ZZ$2,0))</f>
        <v>43% Jet, 37% Gasoline, 20% Diesel (GGE Basis)</v>
      </c>
      <c r="G19" s="13" t="str">
        <f>INDEX('Gasification IDL'!$A$2:$ZZ$309,MATCH(Summary!$G$2,'Gasification IDL'!$A$2:$A$309,0),MATCH(Summary!B19,'Gasification IDL'!$A$2:$ZZ$2,0))</f>
        <v>Wood Chips and Natural Gas
(Wood Flowrate is the basis for yield calculations)</v>
      </c>
      <c r="H19" s="191" t="str">
        <f>INDEX('Gasification IDL'!$A$2:$ZZ$309,MATCH(Summary!$H$2,'Gasification IDL'!$A$2:$A$309,0),MATCH(Summary!B19,'Gasification IDL'!$A$2:$ZZ$2,0))</f>
        <v>$80.00 (Wood)</v>
      </c>
      <c r="I19" s="192">
        <f>INDEX('Gasification IDL'!$A$2:$ZZ$309,MATCH(Summary!$I$2,'Gasification IDL'!$A$2:$A$309,0),MATCH(Summary!B19,'Gasification IDL'!$A$2:$ZZ$2,0))</f>
        <v>640</v>
      </c>
      <c r="J19" s="193">
        <f>INDEX('Gasification IDL'!$A$2:$ZZ$309,MATCH(Summary!$J$2,'Gasification IDL'!$A$2:$A$309,0),MATCH(Summary!B19,'Gasification IDL'!$A$2:$ZZ$2,0))</f>
        <v>0</v>
      </c>
      <c r="K19" s="191">
        <f>INDEX('Gasification IDL'!$A$2:$ZZ$309,MATCH(Summary!$K$2,'Gasification IDL'!$A$2:$A$309,0),MATCH(Summary!B19,'Gasification IDL'!$A$2:$ZZ$2,0))</f>
        <v>2.7528999999999999</v>
      </c>
    </row>
    <row r="20" spans="1:11" ht="50.15" customHeight="1" x14ac:dyDescent="0.35">
      <c r="A20" s="11" t="s">
        <v>452</v>
      </c>
      <c r="B20" s="78" t="str">
        <f>'Gasification IDL'!R2</f>
        <v>High-Octane Gasoline from Lignocellulosic Biomass via Syngas and DME Intermediates (2018 SOT)</v>
      </c>
      <c r="C20" s="9">
        <f>INDEX('Gasification IDL'!$A$2:$ZZ$309,MATCH(Summary!$C$2,'Gasification IDL'!$A$2:$A$309,0),MATCH(Summary!B20,'Gasification IDL'!$A$2:$ZZ$2,0))</f>
        <v>2018</v>
      </c>
      <c r="D20" s="9">
        <f>INDEX('Gasification IDL'!$A$2:$ZZ$309,MATCH(Summary!$D$2,'Gasification IDL'!$A$2:$A$309,0),MATCH(Summary!B20,'Gasification IDL'!$A$2:$ZZ$2,0))</f>
        <v>2016</v>
      </c>
      <c r="E20" s="13" t="str">
        <f>INDEX('Gasification IDL'!$A$2:$ZZ$309,MATCH(Summary!$E$2,'Gasification IDL'!$A$2:$A$309,0),MATCH(Summary!B20,'Gasification IDL'!$A$2:$ZZ$2,0))</f>
        <v>2018 SOT</v>
      </c>
      <c r="F20" s="13" t="str">
        <f>INDEX('Gasification IDL'!$A$2:$ZZ$309,MATCH(Summary!$F$2,'Gasification IDL'!$A$2:$A$309,0),MATCH(Summary!B20,'Gasification IDL'!$A$2:$ZZ$2,0))</f>
        <v>Gasoline</v>
      </c>
      <c r="G20" s="13" t="str">
        <f>INDEX('Gasification IDL'!$A$2:$ZZ$309,MATCH(Summary!$G$2,'Gasification IDL'!$A$2:$A$309,0),MATCH(Summary!B20,'Gasification IDL'!$A$2:$ZZ$2,0))</f>
        <v>Woody Biomass (Logging Residue)</v>
      </c>
      <c r="H20" s="191">
        <f>INDEX('Gasification IDL'!$A$2:$ZZ$309,MATCH(Summary!$H$2,'Gasification IDL'!$A$2:$A$309,0),MATCH(Summary!B20,'Gasification IDL'!$A$2:$ZZ$2,0))</f>
        <v>60.58</v>
      </c>
      <c r="I20" s="192">
        <f>INDEX('Gasification IDL'!$A$2:$ZZ$309,MATCH(Summary!$I$2,'Gasification IDL'!$A$2:$A$309,0),MATCH(Summary!B20,'Gasification IDL'!$A$2:$ZZ$2,0))</f>
        <v>2000</v>
      </c>
      <c r="J20" s="193">
        <f>INDEX('Gasification IDL'!$A$2:$ZZ$309,MATCH(Summary!$J$2,'Gasification IDL'!$A$2:$A$309,0),MATCH(Summary!B20,'Gasification IDL'!$A$2:$ZZ$2,0))</f>
        <v>49.59</v>
      </c>
      <c r="K20" s="191">
        <f>INDEX('Gasification IDL'!$A$2:$ZZ$309,MATCH(Summary!$K$2,'Gasification IDL'!$A$2:$A$309,0),MATCH(Summary!B20,'Gasification IDL'!$A$2:$ZZ$2,0))</f>
        <v>3.79</v>
      </c>
    </row>
    <row r="21" spans="1:11" ht="50.15" customHeight="1" x14ac:dyDescent="0.35">
      <c r="A21" s="11" t="s">
        <v>502</v>
      </c>
      <c r="B21" s="78" t="str">
        <f>'Gasification IDL'!S2</f>
        <v>High-Octane Gasoline from Lignocellulosic Biomass via Syngas and DME Intermediates (2022 Projection)</v>
      </c>
      <c r="C21" s="9">
        <f>INDEX('Gasification IDL'!$A$2:$ZZ$309,MATCH(Summary!$C$2,'Gasification IDL'!$A$2:$A$309,0),MATCH(Summary!B21,'Gasification IDL'!$A$2:$ZZ$2,0))</f>
        <v>2018</v>
      </c>
      <c r="D21" s="9">
        <f>INDEX('Gasification IDL'!$A$2:$ZZ$309,MATCH(Summary!$D$2,'Gasification IDL'!$A$2:$A$309,0),MATCH(Summary!B21,'Gasification IDL'!$A$2:$ZZ$2,0))</f>
        <v>2016</v>
      </c>
      <c r="E21" s="13" t="str">
        <f>INDEX('Gasification IDL'!$A$2:$ZZ$309,MATCH(Summary!$E$2,'Gasification IDL'!$A$2:$A$309,0),MATCH(Summary!B21,'Gasification IDL'!$A$2:$ZZ$2,0))</f>
        <v>2022 Projection</v>
      </c>
      <c r="F21" s="13" t="str">
        <f>INDEX('Gasification IDL'!$A$2:$ZZ$309,MATCH(Summary!$F$2,'Gasification IDL'!$A$2:$A$309,0),MATCH(Summary!B21,'Gasification IDL'!$A$2:$ZZ$2,0))</f>
        <v>Gasoline</v>
      </c>
      <c r="G21" s="13" t="str">
        <f>INDEX('Gasification IDL'!$A$2:$ZZ$309,MATCH(Summary!$G$2,'Gasification IDL'!$A$2:$A$309,0),MATCH(Summary!B21,'Gasification IDL'!$A$2:$ZZ$2,0))</f>
        <v>Woody Biomass (Logging Residue)</v>
      </c>
      <c r="H21" s="191">
        <f>INDEX('Gasification IDL'!$A$2:$ZZ$309,MATCH(Summary!$H$2,'Gasification IDL'!$A$2:$A$309,0),MATCH(Summary!B21,'Gasification IDL'!$A$2:$ZZ$2,0))</f>
        <v>60.58</v>
      </c>
      <c r="I21" s="192">
        <f>INDEX('Gasification IDL'!$A$2:$ZZ$309,MATCH(Summary!$I$2,'Gasification IDL'!$A$2:$A$309,0),MATCH(Summary!B21,'Gasification IDL'!$A$2:$ZZ$2,0))</f>
        <v>2000</v>
      </c>
      <c r="J21" s="193">
        <f>INDEX('Gasification IDL'!$A$2:$ZZ$309,MATCH(Summary!$J$2,'Gasification IDL'!$A$2:$A$309,0),MATCH(Summary!B21,'Gasification IDL'!$A$2:$ZZ$2,0))</f>
        <v>54.7</v>
      </c>
      <c r="K21" s="191">
        <f>INDEX('Gasification IDL'!$A$2:$ZZ$309,MATCH(Summary!$K$2,'Gasification IDL'!$A$2:$A$309,0),MATCH(Summary!B21,'Gasification IDL'!$A$2:$ZZ$2,0))</f>
        <v>3.3</v>
      </c>
    </row>
    <row r="22" spans="1:11" ht="50.15" customHeight="1" x14ac:dyDescent="0.35">
      <c r="A22" s="11" t="s">
        <v>604</v>
      </c>
      <c r="B22" s="216" t="s">
        <v>605</v>
      </c>
      <c r="C22" s="9">
        <f>INDEX('Gasification IDL'!$A$2:$ZZ$309,MATCH(Summary!$C$2,'Gasification IDL'!$A$2:$A$309,0),MATCH(Summary!B22,'Gasification IDL'!$A$2:$ZZ$2,0))</f>
        <v>2020</v>
      </c>
      <c r="D22" s="9">
        <f>INDEX('Gasification IDL'!$A$2:$ZZ$309,MATCH(Summary!$D$2,'Gasification IDL'!$A$2:$A$309,0),MATCH(Summary!B22,'Gasification IDL'!$A$2:$ZZ$2,0))</f>
        <v>2016</v>
      </c>
      <c r="E22" s="13" t="str">
        <f>INDEX('Gasification IDL'!$A$2:$ZZ$309,MATCH(Summary!$E$2,'Gasification IDL'!$A$2:$A$309,0),MATCH(Summary!B22,'Gasification IDL'!$A$2:$ZZ$2,0))</f>
        <v>2019 SOT</v>
      </c>
      <c r="F22" s="13" t="str">
        <f>INDEX('Gasification IDL'!$A$2:$ZZ$309,MATCH(Summary!$F$2,'Gasification IDL'!$A$2:$A$309,0),MATCH(Summary!B22,'Gasification IDL'!$A$2:$ZZ$2,0))</f>
        <v>Gasoline, LPG</v>
      </c>
      <c r="G22" s="13" t="str">
        <f>INDEX('Gasification IDL'!$A$2:$ZZ$309,MATCH(Summary!$G$2,'Gasification IDL'!$A$2:$A$309,0),MATCH(Summary!B22,'Gasification IDL'!$A$2:$ZZ$2,0))</f>
        <v>Blended Woody Biomass</v>
      </c>
      <c r="H22" s="191">
        <f>INDEX('Gasification IDL'!$A$2:$ZZ$309,MATCH(Summary!$H$2,'Gasification IDL'!$A$2:$A$309,0),MATCH(Summary!B22,'Gasification IDL'!$A$2:$ZZ$2,0))</f>
        <v>63.23</v>
      </c>
      <c r="I22" s="192">
        <f>INDEX('Gasification IDL'!$A$2:$ZZ$309,MATCH(Summary!$I$2,'Gasification IDL'!$A$2:$A$309,0),MATCH(Summary!B22,'Gasification IDL'!$A$2:$ZZ$2,0))</f>
        <v>2000</v>
      </c>
      <c r="J22" s="264">
        <f>INDEX('Gasification IDL'!$A$2:$ZZ$309,MATCH(Summary!$J$2,'Gasification IDL'!$A$2:$A$309,0),MATCH(Summary!B22,'Gasification IDL'!$A$2:$ZZ$2,0))</f>
        <v>48.96</v>
      </c>
      <c r="K22" s="191">
        <f>INDEX('Gasification IDL'!$A$2:$ZZ$309,MATCH(Summary!$K$2,'Gasification IDL'!$A$2:$A$309,0),MATCH(Summary!B22,'Gasification IDL'!$A$2:$ZZ$2,0))</f>
        <v>3.53</v>
      </c>
    </row>
    <row r="23" spans="1:11" ht="50.15" customHeight="1" x14ac:dyDescent="0.35">
      <c r="A23" s="11" t="s">
        <v>607</v>
      </c>
      <c r="B23" s="216" t="s">
        <v>606</v>
      </c>
      <c r="C23" s="9">
        <f>INDEX('Gasification IDL'!$A$2:$ZZ$309,MATCH(Summary!$C$2,'Gasification IDL'!$A$2:$A$309,0),MATCH(Summary!B23,'Gasification IDL'!$A$2:$ZZ$2,0))</f>
        <v>2020</v>
      </c>
      <c r="D23" s="9">
        <f>INDEX('Gasification IDL'!$A$2:$ZZ$309,MATCH(Summary!$D$2,'Gasification IDL'!$A$2:$A$309,0),MATCH(Summary!B23,'Gasification IDL'!$A$2:$ZZ$2,0))</f>
        <v>2016</v>
      </c>
      <c r="E23" s="13" t="str">
        <f>INDEX('Gasification IDL'!$A$2:$ZZ$309,MATCH(Summary!$E$2,'Gasification IDL'!$A$2:$A$309,0),MATCH(Summary!B23,'Gasification IDL'!$A$2:$ZZ$2,0))</f>
        <v>2022 Projection</v>
      </c>
      <c r="F23" s="13" t="str">
        <f>INDEX('Gasification IDL'!$A$2:$ZZ$309,MATCH(Summary!$F$2,'Gasification IDL'!$A$2:$A$309,0),MATCH(Summary!B23,'Gasification IDL'!$A$2:$ZZ$2,0))</f>
        <v>Gasoline</v>
      </c>
      <c r="G23" s="13" t="str">
        <f>INDEX('Gasification IDL'!$A$2:$ZZ$309,MATCH(Summary!$G$2,'Gasification IDL'!$A$2:$A$309,0),MATCH(Summary!B23,'Gasification IDL'!$A$2:$ZZ$2,0))</f>
        <v>Blended Woody Biomass</v>
      </c>
      <c r="H23" s="191">
        <f>INDEX('Gasification IDL'!$A$2:$ZZ$309,MATCH(Summary!$H$2,'Gasification IDL'!$A$2:$A$309,0),MATCH(Summary!B23,'Gasification IDL'!$A$2:$ZZ$2,0))</f>
        <v>60.54</v>
      </c>
      <c r="I23" s="192">
        <f>INDEX('Gasification IDL'!$A$2:$ZZ$309,MATCH(Summary!$I$2,'Gasification IDL'!$A$2:$A$309,0),MATCH(Summary!B23,'Gasification IDL'!$A$2:$ZZ$2,0))</f>
        <v>2000</v>
      </c>
      <c r="J23" s="193">
        <f>INDEX('Gasification IDL'!$A$2:$ZZ$309,MATCH(Summary!$J$2,'Gasification IDL'!$A$2:$A$309,0),MATCH(Summary!B23,'Gasification IDL'!$A$2:$ZZ$2,0))</f>
        <v>54.66</v>
      </c>
      <c r="K23" s="191">
        <f>INDEX('Gasification IDL'!$A$2:$ZZ$309,MATCH(Summary!$K$2,'Gasification IDL'!$A$2:$A$309,0),MATCH(Summary!B23,'Gasification IDL'!$A$2:$ZZ$2,0))</f>
        <v>3.3</v>
      </c>
    </row>
    <row r="24" spans="1:11" ht="50.15" customHeight="1" x14ac:dyDescent="0.35">
      <c r="B24" s="78"/>
    </row>
    <row r="25" spans="1:11" ht="20.149999999999999" customHeight="1" x14ac:dyDescent="0.35">
      <c r="B25" s="47" t="str">
        <f>Pyrolysis!A1</f>
        <v>Pyrolysis</v>
      </c>
    </row>
    <row r="26" spans="1:11" ht="40" customHeight="1" x14ac:dyDescent="0.35">
      <c r="A26" s="201" t="s">
        <v>436</v>
      </c>
      <c r="B26" s="78" t="str">
        <f>Pyrolysis!B2</f>
        <v>Techno-Economic Analysis of Biomass Fast Pyrolysis to Transportation Fuels - Stand-alone (H2 Production) Case</v>
      </c>
      <c r="C26" s="9">
        <f>INDEX(Pyrolysis!$A$2:$ZV$305,MATCH(Summary!$C$2,Pyrolysis!$A$2:$A$305,0),MATCH(Summary!B26,Pyrolysis!$A$2:$ZV$2,0))</f>
        <v>2010</v>
      </c>
      <c r="D26" s="9">
        <f>INDEX(Pyrolysis!$A$2:$ZV$305,MATCH(Summary!$D$2,Pyrolysis!$A$2:$A$305,0),MATCH(Summary!B26,Pyrolysis!$A$2:$ZV$2,0))</f>
        <v>2007</v>
      </c>
      <c r="E26" s="13" t="str">
        <f>INDEX(Pyrolysis!$A$2:$ZV$305,MATCH(Summary!$E$2,Pyrolysis!$A$2:$A$305,0),MATCH(Summary!B26,Pyrolysis!$A$2:$ZV$2,0))</f>
        <v>Stand-alone (H2 Production)</v>
      </c>
      <c r="F26" s="13" t="str">
        <f>INDEX(Pyrolysis!$A$2:$ZV$305,MATCH(Summary!$F$2,Pyrolysis!$A$2:$A$305,0),MATCH(Summary!B26,Pyrolysis!$A$2:$ZV$2,0))</f>
        <v>Gasoline and Diesel Blendstocks</v>
      </c>
      <c r="G26" s="13" t="str">
        <f>INDEX(Pyrolysis!$A$2:$ZV$305,MATCH(Summary!$G$2,Pyrolysis!$A$2:$A$305,0),MATCH(Summary!B26,Pyrolysis!$A$2:$ZV$2,0))</f>
        <v>Corn Stover</v>
      </c>
      <c r="H26" s="191">
        <f>INDEX(Pyrolysis!$A$2:$ZV$305,MATCH(Summary!$H$2,Pyrolysis!$A$2:$A$305,0),MATCH(Summary!B26,Pyrolysis!$A$2:$ZV$2,0))</f>
        <v>75</v>
      </c>
      <c r="I26" s="192">
        <f>INDEX(Pyrolysis!$A$2:$ZV$305,MATCH(Summary!$I$2,Pyrolysis!$A$2:$A$305,0),MATCH(Summary!B26,Pyrolysis!$A$2:$ZV$2,0))</f>
        <v>2000</v>
      </c>
      <c r="J26" s="193">
        <f>INDEX(Pyrolysis!$A$2:$ZV$305,MATCH(Summary!$J$2,Pyrolysis!$A$2:$A$305,0),MATCH(Summary!B26,Pyrolysis!$A$2:$ZV$2,0))</f>
        <v>51.262860092576197</v>
      </c>
      <c r="K26" s="191">
        <f>INDEX(Pyrolysis!$A$2:$ZV$305,MATCH(Summary!$K$2,Pyrolysis!$A$2:$A$305,0),MATCH(Summary!B26,Pyrolysis!$A$2:$ZV$2,0))</f>
        <v>2.9338194160464544</v>
      </c>
    </row>
    <row r="27" spans="1:11" ht="40" customHeight="1" x14ac:dyDescent="0.35">
      <c r="A27" s="11" t="s">
        <v>437</v>
      </c>
      <c r="B27" s="78" t="str">
        <f>Pyrolysis!C2</f>
        <v>Techno-Economic Analysis of Biomass Fast Pyrolysis to Transportation Fuels - Co-located (H2 Purchase) Case</v>
      </c>
      <c r="C27" s="9">
        <f>INDEX(Pyrolysis!$A$2:$ZV$305,MATCH(Summary!$C$2,Pyrolysis!$A$2:$A$305,0),MATCH(Summary!B27,Pyrolysis!$A$2:$ZV$2,0))</f>
        <v>2010</v>
      </c>
      <c r="D27" s="9">
        <f>INDEX(Pyrolysis!$A$2:$ZV$305,MATCH(Summary!$D$2,Pyrolysis!$A$2:$A$305,0),MATCH(Summary!B27,Pyrolysis!$A$2:$ZV$2,0))</f>
        <v>2007</v>
      </c>
      <c r="E27" s="13" t="str">
        <f>INDEX(Pyrolysis!$A$2:$ZV$305,MATCH(Summary!$E$2,Pyrolysis!$A$2:$A$305,0),MATCH(Summary!B27,Pyrolysis!$A$2:$ZV$2,0))</f>
        <v>Co-located (H2 purchase)</v>
      </c>
      <c r="F27" s="13" t="str">
        <f>INDEX(Pyrolysis!$A$2:$ZV$305,MATCH(Summary!$F$2,Pyrolysis!$A$2:$A$305,0),MATCH(Summary!B27,Pyrolysis!$A$2:$ZV$2,0))</f>
        <v>Gasoline and Diesel Blendstocks</v>
      </c>
      <c r="G27" s="13" t="str">
        <f>INDEX(Pyrolysis!$A$2:$ZV$305,MATCH(Summary!$G$2,Pyrolysis!$A$2:$A$305,0),MATCH(Summary!B27,Pyrolysis!$A$2:$ZV$2,0))</f>
        <v>Corn Stover</v>
      </c>
      <c r="H27" s="191">
        <f>INDEX(Pyrolysis!$A$2:$ZV$305,MATCH(Summary!$H$2,Pyrolysis!$A$2:$A$305,0),MATCH(Summary!B27,Pyrolysis!$A$2:$ZV$2,0))</f>
        <v>75</v>
      </c>
      <c r="I27" s="192">
        <f>INDEX(Pyrolysis!$A$2:$ZV$305,MATCH(Summary!$I$2,Pyrolysis!$A$2:$A$305,0),MATCH(Summary!B27,Pyrolysis!$A$2:$ZV$2,0))</f>
        <v>2000</v>
      </c>
      <c r="J27" s="193">
        <f>INDEX(Pyrolysis!$A$2:$ZV$305,MATCH(Summary!$J$2,Pyrolysis!$A$2:$A$305,0),MATCH(Summary!B27,Pyrolysis!$A$2:$ZV$2,0))</f>
        <v>84.424427779581691</v>
      </c>
      <c r="K27" s="191">
        <f>INDEX(Pyrolysis!$A$2:$ZV$305,MATCH(Summary!$K$2,Pyrolysis!$A$2:$A$305,0),MATCH(Summary!B27,Pyrolysis!$A$2:$ZV$2,0))</f>
        <v>2.0033524167825303</v>
      </c>
    </row>
    <row r="28" spans="1:11" ht="40" customHeight="1" x14ac:dyDescent="0.35">
      <c r="A28" s="11" t="s">
        <v>438</v>
      </c>
      <c r="B28" s="78" t="str">
        <f>Pyrolysis!D2</f>
        <v>Biomass to Gasoline and Diesel Using Integrated Hydropyrolysis and Hydroconversion</v>
      </c>
      <c r="C28" s="9">
        <f>INDEX(Pyrolysis!$A$2:$ZV$305,MATCH(Summary!$C$2,Pyrolysis!$A$2:$A$305,0),MATCH(Summary!B28,Pyrolysis!$A$2:$ZV$2,0))</f>
        <v>2012</v>
      </c>
      <c r="D28" s="9">
        <f>INDEX(Pyrolysis!$A$2:$ZV$305,MATCH(Summary!$D$2,Pyrolysis!$A$2:$A$305,0),MATCH(Summary!B28,Pyrolysis!$A$2:$ZV$2,0))</f>
        <v>2007</v>
      </c>
      <c r="F28" s="13" t="str">
        <f>INDEX(Pyrolysis!$A$2:$ZV$305,MATCH(Summary!$F$2,Pyrolysis!$A$2:$A$305,0),MATCH(Summary!B28,Pyrolysis!$A$2:$ZV$2,0))</f>
        <v>Gasoline and Diesel Blendstocks</v>
      </c>
      <c r="G28" s="13" t="str">
        <f>INDEX(Pyrolysis!$A$2:$ZV$305,MATCH(Summary!$G$2,Pyrolysis!$A$2:$A$305,0),MATCH(Summary!B28,Pyrolysis!$A$2:$ZV$2,0))</f>
        <v>Woody Mix: 32% Softwood, 68% Hardwood</v>
      </c>
      <c r="H28" s="191">
        <f>INDEX(Pyrolysis!$A$2:$ZV$305,MATCH(Summary!$H$2,Pyrolysis!$A$2:$A$305,0),MATCH(Summary!B28,Pyrolysis!$A$2:$ZV$2,0))</f>
        <v>71.97</v>
      </c>
      <c r="I28" s="192">
        <f>INDEX(Pyrolysis!$A$2:$ZV$305,MATCH(Summary!$I$2,Pyrolysis!$A$2:$A$305,0),MATCH(Summary!B28,Pyrolysis!$A$2:$ZV$2,0))</f>
        <v>2000</v>
      </c>
      <c r="J28" s="193">
        <f>INDEX(Pyrolysis!$A$2:$ZV$305,MATCH(Summary!$J$2,Pyrolysis!$A$2:$A$305,0),MATCH(Summary!B28,Pyrolysis!$A$2:$ZV$2,0))</f>
        <v>78.819999999999993</v>
      </c>
      <c r="K28" s="191">
        <f>INDEX(Pyrolysis!$A$2:$ZV$305,MATCH(Summary!$K$2,Pyrolysis!$A$2:$A$305,0),MATCH(Summary!B28,Pyrolysis!$A$2:$ZV$2,0))</f>
        <v>1.6</v>
      </c>
    </row>
    <row r="29" spans="1:11" ht="60" customHeight="1" x14ac:dyDescent="0.35">
      <c r="A29" s="11" t="s">
        <v>439</v>
      </c>
      <c r="B29" s="78" t="str">
        <f>Pyrolysis!E2</f>
        <v>Process Design and Economics for the Conversion of Lignocellulosic Biomass to Hydrocarbon Fuels, Fast Pyrolysis and Hydrotreating Bio-Oil Pathway</v>
      </c>
      <c r="C29" s="9">
        <f>INDEX(Pyrolysis!$A$2:$ZV$305,MATCH(Summary!$C$2,Pyrolysis!$A$2:$A$305,0),MATCH(Summary!B29,Pyrolysis!$A$2:$ZV$2,0))</f>
        <v>2013</v>
      </c>
      <c r="D29" s="9">
        <f>INDEX(Pyrolysis!$A$2:$ZV$305,MATCH(Summary!$D$2,Pyrolysis!$A$2:$A$305,0),MATCH(Summary!B29,Pyrolysis!$A$2:$ZV$2,0))</f>
        <v>2011</v>
      </c>
      <c r="F29" s="13" t="str">
        <f>INDEX(Pyrolysis!$A$2:$ZV$305,MATCH(Summary!$F$2,Pyrolysis!$A$2:$A$305,0),MATCH(Summary!B29,Pyrolysis!$A$2:$ZV$2,0))</f>
        <v>Gasoline and Diesel Blendstocks</v>
      </c>
      <c r="G29" s="13" t="str">
        <f>INDEX(Pyrolysis!$A$2:$ZV$305,MATCH(Summary!$G$2,Pyrolysis!$A$2:$A$305,0),MATCH(Summary!B29,Pyrolysis!$A$2:$ZV$2,0))</f>
        <v>Blended, mostly Woody Feedstock:  30% Pulp, 35% Logging Residues, 10% Switchgrass, 25% Construction and Demolition Waste</v>
      </c>
      <c r="H29" s="191">
        <f>INDEX(Pyrolysis!$A$2:$ZV$305,MATCH(Summary!$H$2,Pyrolysis!$A$2:$A$305,0),MATCH(Summary!B29,Pyrolysis!$A$2:$ZV$2,0))</f>
        <v>80</v>
      </c>
      <c r="I29" s="192">
        <f>INDEX(Pyrolysis!$A$2:$ZV$305,MATCH(Summary!$I$2,Pyrolysis!$A$2:$A$305,0),MATCH(Summary!B29,Pyrolysis!$A$2:$ZV$2,0))</f>
        <v>2000</v>
      </c>
      <c r="J29" s="193">
        <f>INDEX(Pyrolysis!$A$2:$ZV$305,MATCH(Summary!$J$2,Pyrolysis!$A$2:$A$305,0),MATCH(Summary!B29,Pyrolysis!$A$2:$ZV$2,0))</f>
        <v>87.156516495822217</v>
      </c>
      <c r="K29" s="191">
        <f>INDEX(Pyrolysis!$A$2:$ZV$305,MATCH(Summary!$K$2,Pyrolysis!$A$2:$A$305,0),MATCH(Summary!B29,Pyrolysis!$A$2:$ZV$2,0))</f>
        <v>3.35</v>
      </c>
    </row>
    <row r="30" spans="1:11" ht="70" customHeight="1" x14ac:dyDescent="0.35">
      <c r="A30" s="11" t="s">
        <v>440</v>
      </c>
      <c r="B30" s="78" t="str">
        <f>Pyrolysis!F2</f>
        <v>Process Design and Economics for the Conversion of Lignocellulosic Biomass to Hydrocarbon Fuels, Thermochemical Research Pathways with In Situ and Ex Situ Upgrading of Fast Pyrolysis Vapors - Ex-Situ CFP 2022 Target Case in 2014 dollars</v>
      </c>
      <c r="C30" s="9">
        <f>INDEX(Pyrolysis!$A$2:$ZV$305,MATCH(Summary!$C$2,Pyrolysis!$A$2:$A$305,0),MATCH(Summary!B30,Pyrolysis!$A$2:$ZV$2,0))</f>
        <v>2015</v>
      </c>
      <c r="D30" s="9">
        <f>INDEX(Pyrolysis!$A$2:$ZV$305,MATCH(Summary!$D$2,Pyrolysis!$A$2:$A$305,0),MATCH(Summary!B30,Pyrolysis!$A$2:$ZV$2,0))</f>
        <v>2014</v>
      </c>
      <c r="E30" s="13" t="str">
        <f>INDEX(Pyrolysis!$A$2:$ZV$305,MATCH(Summary!$E$2,Pyrolysis!$A$2:$A$305,0),MATCH(Summary!B30,Pyrolysis!$A$2:$ZV$2,0))</f>
        <v>Ex-Situ CFP 2022 Target Case in 2014 Dollars</v>
      </c>
      <c r="F30" s="13" t="str">
        <f>INDEX(Pyrolysis!$A$2:$ZV$305,MATCH(Summary!$F$2,Pyrolysis!$A$2:$A$305,0),MATCH(Summary!B30,Pyrolysis!$A$2:$ZV$2,0))</f>
        <v>Gasoline and Diesel Blendstocks</v>
      </c>
      <c r="G30" s="13" t="str">
        <f>INDEX(Pyrolysis!$A$2:$ZV$305,MATCH(Summary!$G$2,Pyrolysis!$A$2:$A$305,0),MATCH(Summary!B30,Pyrolysis!$A$2:$ZV$2,0))</f>
        <v>Blended, mostly Woody Feedstock:  45% Pulpwood, 32% Wood Residues, 3% Switchgrass, 20% Construction and Demolition Waste</v>
      </c>
      <c r="H30" s="191">
        <f>INDEX(Pyrolysis!$A$2:$ZV$305,MATCH(Summary!$H$2,Pyrolysis!$A$2:$A$305,0),MATCH(Summary!B30,Pyrolysis!$A$2:$ZV$2,0))</f>
        <v>84.45</v>
      </c>
      <c r="I30" s="192">
        <f>INDEX(Pyrolysis!$A$2:$ZV$305,MATCH(Summary!$I$2,Pyrolysis!$A$2:$A$305,0),MATCH(Summary!B30,Pyrolysis!$A$2:$ZV$2,0))</f>
        <v>2000</v>
      </c>
      <c r="J30" s="193">
        <f>INDEX(Pyrolysis!$A$2:$ZV$305,MATCH(Summary!$J$2,Pyrolysis!$A$2:$A$305,0),MATCH(Summary!B30,Pyrolysis!$A$2:$ZV$2,0))</f>
        <v>78</v>
      </c>
      <c r="K30" s="191">
        <f>INDEX(Pyrolysis!$A$2:$ZV$305,MATCH(Summary!$K$2,Pyrolysis!$A$2:$A$305,0),MATCH(Summary!B30,Pyrolysis!$A$2:$ZV$2,0))</f>
        <v>3.38</v>
      </c>
    </row>
    <row r="31" spans="1:11" ht="70" customHeight="1" x14ac:dyDescent="0.35">
      <c r="A31" s="11" t="s">
        <v>441</v>
      </c>
      <c r="B31" s="78" t="str">
        <f>Pyrolysis!G2</f>
        <v>Process Design and Economics for the Conversion of Lignocellulosic Biomass to Hydrocarbon Fuels, Thermochemical Research Pathways with In Situ and Ex Situ Upgrading of Fast Pyrolysis Vapors - In-Situ CFP 2022 Target Case in 2014 dollars</v>
      </c>
      <c r="C31" s="9">
        <f>INDEX(Pyrolysis!$A$2:$ZV$305,MATCH(Summary!$C$2,Pyrolysis!$A$2:$A$305,0),MATCH(Summary!B31,Pyrolysis!$A$2:$ZV$2,0))</f>
        <v>2015</v>
      </c>
      <c r="D31" s="9">
        <f>INDEX(Pyrolysis!$A$2:$ZV$305,MATCH(Summary!$D$2,Pyrolysis!$A$2:$A$305,0),MATCH(Summary!B31,Pyrolysis!$A$2:$ZV$2,0))</f>
        <v>2014</v>
      </c>
      <c r="E31" s="13" t="str">
        <f>INDEX(Pyrolysis!$A$2:$ZV$305,MATCH(Summary!$E$2,Pyrolysis!$A$2:$A$305,0),MATCH(Summary!B31,Pyrolysis!$A$2:$ZV$2,0))</f>
        <v>In-Situ CFP 2022 Target Case in 2014 Dollars</v>
      </c>
      <c r="F31" s="13" t="str">
        <f>INDEX(Pyrolysis!$A$2:$ZV$305,MATCH(Summary!$F$2,Pyrolysis!$A$2:$A$305,0),MATCH(Summary!B31,Pyrolysis!$A$2:$ZV$2,0))</f>
        <v>Gasoline and Diesel Blendstocks</v>
      </c>
      <c r="G31" s="13" t="str">
        <f>INDEX(Pyrolysis!$A$2:$ZV$305,MATCH(Summary!$G$2,Pyrolysis!$A$2:$A$305,0),MATCH(Summary!B31,Pyrolysis!$A$2:$ZV$2,0))</f>
        <v>Blended, mostly Woody Feedstock:  45% Pulpwood, 32% Wood Residues, 3% Switchgrass, 20% Construction and Demolition Waste</v>
      </c>
      <c r="H31" s="191">
        <f>INDEX(Pyrolysis!$A$2:$ZV$305,MATCH(Summary!$H$2,Pyrolysis!$A$2:$A$305,0),MATCH(Summary!B31,Pyrolysis!$A$2:$ZV$2,0))</f>
        <v>84.45</v>
      </c>
      <c r="I31" s="192">
        <f>INDEX(Pyrolysis!$A$2:$ZV$305,MATCH(Summary!$I$2,Pyrolysis!$A$2:$A$305,0),MATCH(Summary!B31,Pyrolysis!$A$2:$ZV$2,0))</f>
        <v>2000</v>
      </c>
      <c r="J31" s="193">
        <f>INDEX(Pyrolysis!$A$2:$ZV$305,MATCH(Summary!$J$2,Pyrolysis!$A$2:$A$305,0),MATCH(Summary!B31,Pyrolysis!$A$2:$ZV$2,0))</f>
        <v>74.900000000000006</v>
      </c>
      <c r="K31" s="191">
        <f>INDEX(Pyrolysis!$A$2:$ZV$305,MATCH(Summary!$K$2,Pyrolysis!$A$2:$A$305,0),MATCH(Summary!B31,Pyrolysis!$A$2:$ZV$2,0))</f>
        <v>3.54</v>
      </c>
    </row>
    <row r="32" spans="1:11" ht="55" customHeight="1" x14ac:dyDescent="0.35">
      <c r="A32" s="11" t="s">
        <v>442</v>
      </c>
      <c r="B32" s="78" t="str">
        <f>Pyrolysis!H2</f>
        <v>Ex Situ Catalytic Fast Pyrolysis of Lignocellulosic Biomass to Hydrocarbon Fuels: 2018 State of Technology and Future Research - Ex-Situ Fixed Bed 2018 SOT (0.5 wt% Pt/TiO2 catalyst)</v>
      </c>
      <c r="C32" s="9">
        <f>INDEX(Pyrolysis!$A$2:$ZV$305,MATCH(Summary!$C$2,Pyrolysis!$A$2:$A$305,0),MATCH(Summary!B32,Pyrolysis!$A$2:$ZV$2,0))</f>
        <v>2018</v>
      </c>
      <c r="D32" s="9">
        <f>INDEX(Pyrolysis!$A$2:$ZV$305,MATCH(Summary!$D$2,Pyrolysis!$A$2:$A$305,0),MATCH(Summary!B32,Pyrolysis!$A$2:$ZV$2,0))</f>
        <v>2016</v>
      </c>
      <c r="E32" s="13" t="str">
        <f>INDEX(Pyrolysis!$A$2:$ZV$305,MATCH(Summary!$E$2,Pyrolysis!$A$2:$A$305,0),MATCH(Summary!B32,Pyrolysis!$A$2:$ZV$2,0))</f>
        <v>Ex-Situ Fixed Bed 2018 SOT (0.5 wt% Pt/TiO2 Catalyst)</v>
      </c>
      <c r="F32" s="13" t="str">
        <f>INDEX(Pyrolysis!$A$2:$ZV$305,MATCH(Summary!$F$2,Pyrolysis!$A$2:$A$305,0),MATCH(Summary!B32,Pyrolysis!$A$2:$ZV$2,0))</f>
        <v>Gasoline and Diesel Blendstocks</v>
      </c>
      <c r="G32" s="13" t="str">
        <f>INDEX(Pyrolysis!$A$2:$ZV$305,MATCH(Summary!$G$2,Pyrolysis!$A$2:$A$305,0),MATCH(Summary!B32,Pyrolysis!$A$2:$ZV$2,0))</f>
        <v>Clean Pine</v>
      </c>
      <c r="H32" s="191">
        <f>INDEX(Pyrolysis!$A$2:$ZV$305,MATCH(Summary!$H$2,Pyrolysis!$A$2:$A$305,0),MATCH(Summary!B32,Pyrolysis!$A$2:$ZV$2,0))</f>
        <v>87.82</v>
      </c>
      <c r="I32" s="192">
        <f>INDEX(Pyrolysis!$A$2:$ZV$305,MATCH(Summary!$I$2,Pyrolysis!$A$2:$A$305,0),MATCH(Summary!B32,Pyrolysis!$A$2:$ZV$2,0))</f>
        <v>2000</v>
      </c>
      <c r="J32" s="193">
        <f>INDEX(Pyrolysis!$A$2:$ZV$305,MATCH(Summary!$J$2,Pyrolysis!$A$2:$A$305,0),MATCH(Summary!B32,Pyrolysis!$A$2:$ZV$2,0))</f>
        <v>71.7</v>
      </c>
      <c r="K32" s="191">
        <f>INDEX(Pyrolysis!$A$2:$ZV$305,MATCH(Summary!$K$2,Pyrolysis!$A$2:$A$305,0),MATCH(Summary!B32,Pyrolysis!$A$2:$ZV$2,0))</f>
        <v>3.5</v>
      </c>
    </row>
    <row r="33" spans="1:11" ht="55" customHeight="1" x14ac:dyDescent="0.35">
      <c r="A33" s="11" t="s">
        <v>443</v>
      </c>
      <c r="B33" s="216" t="s">
        <v>770</v>
      </c>
      <c r="C33" s="9">
        <f>INDEX(Pyrolysis!$A$2:$ZV$305,MATCH(Summary!$C$2,Pyrolysis!$A$2:$A$305,0),MATCH(Summary!B33,Pyrolysis!$A$2:$ZV$2,0))</f>
        <v>2018</v>
      </c>
      <c r="D33" s="9">
        <f>INDEX(Pyrolysis!$A$2:$ZV$305,MATCH(Summary!$D$2,Pyrolysis!$A$2:$A$305,0),MATCH(Summary!B33,Pyrolysis!$A$2:$ZV$2,0))</f>
        <v>2016</v>
      </c>
      <c r="E33" s="13" t="str">
        <f>INDEX(Pyrolysis!$A$2:$ZV$305,MATCH(Summary!$E$2,Pyrolysis!$A$2:$A$305,0),MATCH(Summary!B33,Pyrolysis!$A$2:$ZV$2,0))</f>
        <v>Ex-Situ Fixed Bed 2022 Projection</v>
      </c>
      <c r="F33" s="13" t="str">
        <f>INDEX(Pyrolysis!$A$2:$ZV$305,MATCH(Summary!$F$2,Pyrolysis!$A$2:$A$305,0),MATCH(Summary!B33,Pyrolysis!$A$2:$ZV$2,0))</f>
        <v>Gasoline and Diesel Blendstocks</v>
      </c>
      <c r="G33" s="13" t="str">
        <f>INDEX(Pyrolysis!$A$2:$ZV$305,MATCH(Summary!$G$2,Pyrolysis!$A$2:$A$305,0),MATCH(Summary!B33,Pyrolysis!$A$2:$ZV$2,0))</f>
        <v>Clean Pine</v>
      </c>
      <c r="H33" s="191">
        <f>INDEX(Pyrolysis!$A$2:$ZV$305,MATCH(Summary!$H$2,Pyrolysis!$A$2:$A$305,0),MATCH(Summary!B33,Pyrolysis!$A$2:$ZV$2,0))</f>
        <v>70.31</v>
      </c>
      <c r="I33" s="192">
        <f>INDEX(Pyrolysis!$A$2:$ZV$305,MATCH(Summary!$I$2,Pyrolysis!$A$2:$A$305,0),MATCH(Summary!B33,Pyrolysis!$A$2:$ZV$2,0))</f>
        <v>2000</v>
      </c>
      <c r="J33" s="193">
        <f>INDEX(Pyrolysis!$A$2:$ZV$305,MATCH(Summary!$J$2,Pyrolysis!$A$2:$A$305,0),MATCH(Summary!B33,Pyrolysis!$A$2:$ZV$2,0))</f>
        <v>77.3</v>
      </c>
      <c r="K33" s="191">
        <f>INDEX(Pyrolysis!$A$2:$ZV$305,MATCH(Summary!$K$2,Pyrolysis!$A$2:$A$305,0),MATCH(Summary!B33,Pyrolysis!$A$2:$ZV$2,0))</f>
        <v>2.93</v>
      </c>
    </row>
    <row r="34" spans="1:11" ht="55" customHeight="1" x14ac:dyDescent="0.35">
      <c r="A34" s="11" t="s">
        <v>444</v>
      </c>
      <c r="B34" s="216" t="s">
        <v>623</v>
      </c>
      <c r="C34" s="9">
        <f>INDEX(Pyrolysis!$A$2:$ZV$305,MATCH(Summary!$C$2,Pyrolysis!$A$2:$A$305,0),MATCH(Summary!B34,Pyrolysis!$A$2:$ZV$2,0))</f>
        <v>2020</v>
      </c>
      <c r="D34" s="9">
        <f>INDEX(Pyrolysis!$A$2:$ZV$305,MATCH(Summary!$D$2,Pyrolysis!$A$2:$A$305,0),MATCH(Summary!B34,Pyrolysis!$A$2:$ZV$2,0))</f>
        <v>2016</v>
      </c>
      <c r="E34" s="13" t="str">
        <f>INDEX(Pyrolysis!$A$2:$ZV$305,MATCH(Summary!$E$2,Pyrolysis!$A$2:$A$305,0),MATCH(Summary!B34,Pyrolysis!$A$2:$ZV$2,0))</f>
        <v>Ex-Situ CFP 2019 SOT</v>
      </c>
      <c r="F34" s="13" t="str">
        <f>INDEX(Pyrolysis!$A$2:$ZV$305,MATCH(Summary!$F$2,Pyrolysis!$A$2:$A$305,0),MATCH(Summary!B34,Pyrolysis!$A$2:$ZV$2,0))</f>
        <v>Gasoline and Diesel Blendstocks</v>
      </c>
      <c r="G34" s="13" t="str">
        <f>INDEX(Pyrolysis!$A$2:$ZV$305,MATCH(Summary!$G$2,Pyrolysis!$A$2:$A$305,0),MATCH(Summary!B34,Pyrolysis!$A$2:$ZV$2,0))</f>
        <v>Blended, mostly Woody Feedstock: 50% Forest Residues, 50% Clean Pine</v>
      </c>
      <c r="H34" s="191">
        <f>INDEX(Pyrolysis!$A$2:$ZV$305,MATCH(Summary!$H$2,Pyrolysis!$A$2:$A$305,0),MATCH(Summary!B34,Pyrolysis!$A$2:$ZV$2,0))</f>
        <v>70.150000000000006</v>
      </c>
      <c r="I34" s="192">
        <f>INDEX(Pyrolysis!$A$2:$ZV$305,MATCH(Summary!$I$2,Pyrolysis!$A$2:$A$305,0),MATCH(Summary!B34,Pyrolysis!$A$2:$ZV$2,0))</f>
        <v>2000</v>
      </c>
      <c r="J34" s="193">
        <f>INDEX(Pyrolysis!$A$2:$ZV$305,MATCH(Summary!$J$2,Pyrolysis!$A$2:$A$305,0),MATCH(Summary!B34,Pyrolysis!$A$2:$ZV$2,0))</f>
        <v>59.5</v>
      </c>
      <c r="K34" s="191">
        <f>INDEX(Pyrolysis!$A$2:$ZV$305,MATCH(Summary!$K$2,Pyrolysis!$A$2:$A$305,0),MATCH(Summary!B34,Pyrolysis!$A$2:$ZV$2,0))</f>
        <v>3.33</v>
      </c>
    </row>
    <row r="35" spans="1:11" ht="55" customHeight="1" x14ac:dyDescent="0.35">
      <c r="A35" s="11" t="s">
        <v>445</v>
      </c>
      <c r="B35" s="216" t="s">
        <v>624</v>
      </c>
      <c r="C35" s="9">
        <f>INDEX(Pyrolysis!$A$2:$ZV$305,MATCH(Summary!$C$2,Pyrolysis!$A$2:$A$305,0),MATCH(Summary!B35,Pyrolysis!$A$2:$ZV$2,0))</f>
        <v>2020</v>
      </c>
      <c r="D35" s="9">
        <f>INDEX(Pyrolysis!$A$2:$ZV$305,MATCH(Summary!$D$2,Pyrolysis!$A$2:$A$305,0),MATCH(Summary!B35,Pyrolysis!$A$2:$ZV$2,0))</f>
        <v>2016</v>
      </c>
      <c r="E35" s="13" t="str">
        <f>INDEX(Pyrolysis!$A$2:$ZV$305,MATCH(Summary!$E$2,Pyrolysis!$A$2:$A$305,0),MATCH(Summary!B35,Pyrolysis!$A$2:$ZV$2,0))</f>
        <v>Ex-Situ CFP 2020 Projection with Co-Hydroprocessing Option</v>
      </c>
      <c r="F35" s="13" t="str">
        <f>INDEX(Pyrolysis!$A$2:$ZV$305,MATCH(Summary!$F$2,Pyrolysis!$A$2:$A$305,0),MATCH(Summary!B35,Pyrolysis!$A$2:$ZV$2,0))</f>
        <v>Gasoline and Diesel Blendstocks</v>
      </c>
      <c r="G35" s="13" t="str">
        <f>INDEX(Pyrolysis!$A$2:$ZV$305,MATCH(Summary!$G$2,Pyrolysis!$A$2:$A$305,0),MATCH(Summary!B35,Pyrolysis!$A$2:$ZV$2,0))</f>
        <v>Blended, mostly Woody Feedstock: 50% Forest Residues, 50% Clean Pine</v>
      </c>
      <c r="H35" s="191">
        <f>INDEX(Pyrolysis!$A$2:$ZV$305,MATCH(Summary!$H$2,Pyrolysis!$A$2:$A$305,0),MATCH(Summary!B35,Pyrolysis!$A$2:$ZV$2,0))</f>
        <v>70.150000000000006</v>
      </c>
      <c r="I35" s="192">
        <f>INDEX(Pyrolysis!$A$2:$ZV$305,MATCH(Summary!$I$2,Pyrolysis!$A$2:$A$305,0),MATCH(Summary!B35,Pyrolysis!$A$2:$ZV$2,0))</f>
        <v>2000</v>
      </c>
      <c r="J35" s="193">
        <f>INDEX(Pyrolysis!$A$2:$ZV$305,MATCH(Summary!$J$2,Pyrolysis!$A$2:$A$305,0),MATCH(Summary!B35,Pyrolysis!$A$2:$ZV$2,0))</f>
        <v>59.5</v>
      </c>
      <c r="K35" s="191">
        <f>INDEX(Pyrolysis!$A$2:$ZV$305,MATCH(Summary!$K$2,Pyrolysis!$A$2:$A$305,0),MATCH(Summary!B35,Pyrolysis!$A$2:$ZV$2,0))</f>
        <v>3.09</v>
      </c>
    </row>
    <row r="36" spans="1:11" ht="50.15" customHeight="1" x14ac:dyDescent="0.35"/>
    <row r="37" spans="1:11" ht="20.149999999999999" customHeight="1" x14ac:dyDescent="0.35">
      <c r="B37" s="97" t="s">
        <v>523</v>
      </c>
    </row>
    <row r="38" spans="1:11" ht="70" customHeight="1" x14ac:dyDescent="0.35">
      <c r="A38" s="11" t="s">
        <v>436</v>
      </c>
      <c r="B38" s="78" t="str">
        <f>Biochemical!B2</f>
        <v>Process Design and Economics for the Conversion of Lignocellulosic Biomass to Hydrocarbons:  Dilute Acid and Enzymatic Deconstruction of Biomass to Sugars and Biological Conversion of Sugars to Hydrocarbons</v>
      </c>
      <c r="C38" s="9">
        <f>INDEX(Biochemical!$A$2:$ZS$311,MATCH(Summary!$C$2,Biochemical!$A$2:$A$311,0),MATCH(Summary!B38,Biochemical!$A$2:$ZS$2,0))</f>
        <v>2013</v>
      </c>
      <c r="D38" s="9">
        <f>INDEX(Biochemical!$A$2:$ZS$311,MATCH(Summary!$D$2,Biochemical!$A$2:$A$311,0),MATCH(Summary!B38,Biochemical!$A$2:$ZS$2,0))</f>
        <v>2011</v>
      </c>
      <c r="E38" s="13" t="str">
        <f>INDEX(Biochemical!$A$2:$ZS$311,MATCH(Summary!$E$2,Biochemical!$A$2:$A$311,0),MATCH(Summary!B38,Biochemical!$A$2:$ZS$2,0))</f>
        <v>2013 Biochemical Design Case: Corn Stover-Derived Sugars to Diesel</v>
      </c>
      <c r="F38" s="13" t="str">
        <f>INDEX(Biochemical!$A$2:$ZS$311,MATCH(Summary!$F$2,Biochemical!$A$2:$A$311,0),MATCH(Summary!B38,Biochemical!$A$2:$ZS$2,0))</f>
        <v>Renewable Diesel Blendstock</v>
      </c>
      <c r="G38" s="13" t="str">
        <f>INDEX(Biochemical!$A$2:$ZS$311,MATCH(Summary!$G$2,Biochemical!$A$2:$A$311,0),MATCH(Summary!B38,Biochemical!$A$2:$ZS$2,0))</f>
        <v>Blend of Multi-pass Corn Stover, Single-pass Corn Stover, and Switchgrass</v>
      </c>
      <c r="H38" s="191">
        <f>INDEX(Biochemical!$A$2:$ZS$311,MATCH(Summary!$H$2,Biochemical!$A$2:$A$311,0),MATCH(Summary!B38,Biochemical!$A$2:$ZS$2,0))</f>
        <v>80</v>
      </c>
      <c r="I38" s="192">
        <f>INDEX(Biochemical!$A$2:$ZS$311,MATCH(Summary!$I$2,Biochemical!$A$2:$A$311,0),MATCH(Summary!B38,Biochemical!$A$2:$ZS$2,0))</f>
        <v>2000</v>
      </c>
      <c r="J38" s="193">
        <f>INDEX(Biochemical!$A$2:$ZS$311,MATCH(Summary!$J$2,Biochemical!$A$2:$A$311,0),MATCH(Summary!B38,Biochemical!$A$2:$ZS$2,0))</f>
        <v>45.4</v>
      </c>
      <c r="K38" s="191">
        <f>INDEX(Biochemical!$A$2:$ZS$311,MATCH(Summary!$K$2,Biochemical!$A$2:$A$311,0),MATCH(Summary!B38,Biochemical!$A$2:$ZS$2,0))</f>
        <v>5.0999999999999996</v>
      </c>
    </row>
    <row r="39" spans="1:11" ht="70" customHeight="1" x14ac:dyDescent="0.35">
      <c r="A39" s="11" t="s">
        <v>437</v>
      </c>
      <c r="B39" s="78" t="str">
        <f>Biochemical!C2</f>
        <v>Process Design and Economics for the Conversion of Lignocellulosic Biomass to Hydrocarbons: Dilute-Acid and Enzymatic Deconstruction of Biomass to Sugars and Catalytic Conversion of Sugars to Hydrocarbons</v>
      </c>
      <c r="C39" s="9">
        <f>INDEX(Biochemical!$A$2:$ZS$311,MATCH(Summary!$C$2,Biochemical!$A$2:$A$311,0),MATCH(Summary!B39,Biochemical!$A$2:$ZS$2,0))</f>
        <v>2015</v>
      </c>
      <c r="D39" s="9">
        <f>INDEX(Biochemical!$A$2:$ZS$311,MATCH(Summary!$D$2,Biochemical!$A$2:$A$311,0),MATCH(Summary!B39,Biochemical!$A$2:$ZS$2,0))</f>
        <v>2014</v>
      </c>
      <c r="E39" s="13" t="str">
        <f>INDEX(Biochemical!$A$2:$ZS$311,MATCH(Summary!$E$2,Biochemical!$A$2:$A$311,0),MATCH(Summary!B39,Biochemical!$A$2:$ZS$2,0))</f>
        <v>2015 Biochemical Catalysis Design Report (Base Case Updated to 2014$)</v>
      </c>
      <c r="F39" s="13" t="str">
        <f>INDEX(Biochemical!$A$2:$ZS$311,MATCH(Summary!$F$2,Biochemical!$A$2:$A$311,0),MATCH(Summary!B39,Biochemical!$A$2:$ZS$2,0))</f>
        <v>Hydrocarbon Blendstock</v>
      </c>
      <c r="G39" s="13" t="str">
        <f>INDEX(Biochemical!$A$2:$ZS$311,MATCH(Summary!$G$2,Biochemical!$A$2:$A$311,0),MATCH(Summary!B39,Biochemical!$A$2:$ZS$2,0))</f>
        <v>Blend of Multi-pass Corn Stover, Single-pass Corn Stover, and Switchgrass</v>
      </c>
      <c r="H39" s="191">
        <f>INDEX(Biochemical!$A$2:$ZS$311,MATCH(Summary!$H$2,Biochemical!$A$2:$A$311,0),MATCH(Summary!B39,Biochemical!$A$2:$ZS$2,0))</f>
        <v>84.45</v>
      </c>
      <c r="I39" s="192">
        <f>INDEX(Biochemical!$A$2:$ZS$311,MATCH(Summary!$I$2,Biochemical!$A$2:$A$311,0),MATCH(Summary!B39,Biochemical!$A$2:$ZS$2,0))</f>
        <v>2000</v>
      </c>
      <c r="J39" s="193">
        <f>INDEX(Biochemical!$A$2:$ZS$311,MATCH(Summary!$J$2,Biochemical!$A$2:$A$311,0),MATCH(Summary!B39,Biochemical!$A$2:$ZS$2,0))</f>
        <v>78.3</v>
      </c>
      <c r="K39" s="191">
        <f>INDEX(Biochemical!$A$2:$ZS$311,MATCH(Summary!$K$2,Biochemical!$A$2:$A$311,0),MATCH(Summary!B39,Biochemical!$A$2:$ZS$2,0))</f>
        <v>4.2580999999999998</v>
      </c>
    </row>
    <row r="40" spans="1:11" ht="50.15" customHeight="1" x14ac:dyDescent="0.35">
      <c r="A40" s="11" t="s">
        <v>438</v>
      </c>
      <c r="B40" s="78" t="str">
        <f>Biochemical!D2</f>
        <v>Techno-Economic Analysis for Upgrading the Biomass-derived Ethanol-to-Jet Blendstocks - Corn Stover Case in 2014$</v>
      </c>
      <c r="C40" s="9">
        <f>INDEX(Biochemical!$A$2:$ZS$311,MATCH(Summary!$C$2,Biochemical!$A$2:$A$311,0),MATCH(Summary!B40,Biochemical!$A$2:$ZS$2,0))</f>
        <v>2017</v>
      </c>
      <c r="D40" s="9">
        <f>INDEX(Biochemical!$A$2:$ZS$311,MATCH(Summary!$D$2,Biochemical!$A$2:$A$311,0),MATCH(Summary!B40,Biochemical!$A$2:$ZS$2,0))</f>
        <v>2014</v>
      </c>
      <c r="E40" s="13" t="str">
        <f>INDEX(Biochemical!$A$2:$ZS$311,MATCH(Summary!$E$2,Biochemical!$A$2:$A$311,0),MATCH(Summary!B40,Biochemical!$A$2:$ZS$2,0))</f>
        <v>Corn Stover Case in 2014$</v>
      </c>
      <c r="F40" s="13" t="str">
        <f>INDEX(Biochemical!$A$2:$ZS$311,MATCH(Summary!$F$2,Biochemical!$A$2:$A$311,0),MATCH(Summary!B40,Biochemical!$A$2:$ZS$2,0))</f>
        <v>Mostly Jet Blendstock, Some Gasoline and Diesel Blendstock</v>
      </c>
      <c r="G40" s="13" t="str">
        <f>INDEX(Biochemical!$A$2:$ZS$311,MATCH(Summary!$G$2,Biochemical!$A$2:$A$311,0),MATCH(Summary!B40,Biochemical!$A$2:$ZS$2,0))</f>
        <v>Blend of Multi-pass Corn Stover, Single-pass Corn Stover, and Switchgrass</v>
      </c>
      <c r="H40" s="191">
        <f>INDEX(Biochemical!$A$2:$ZS$311,MATCH(Summary!$H$2,Biochemical!$A$2:$A$311,0),MATCH(Summary!B40,Biochemical!$A$2:$ZS$2,0))</f>
        <v>84.45</v>
      </c>
      <c r="I40" s="192">
        <f>INDEX(Biochemical!$A$2:$ZS$311,MATCH(Summary!$I$2,Biochemical!$A$2:$A$311,0),MATCH(Summary!B40,Biochemical!$A$2:$ZS$2,0))</f>
        <v>2000</v>
      </c>
      <c r="J40" s="193">
        <f>INDEX(Biochemical!$A$2:$ZS$311,MATCH(Summary!$J$2,Biochemical!$A$2:$A$311,0),MATCH(Summary!B40,Biochemical!$A$2:$ZS$2,0))</f>
        <v>49.6</v>
      </c>
      <c r="K40" s="191">
        <f>INDEX(Biochemical!$A$2:$ZS$311,MATCH(Summary!$K$2,Biochemical!$A$2:$A$311,0),MATCH(Summary!B40,Biochemical!$A$2:$ZS$2,0))</f>
        <v>4.9747434488127684</v>
      </c>
    </row>
    <row r="41" spans="1:11" ht="50.15" customHeight="1" x14ac:dyDescent="0.35">
      <c r="A41" s="11" t="s">
        <v>439</v>
      </c>
      <c r="B41" s="78" t="str">
        <f>Biochemical!E2</f>
        <v>Techno-Economic Analysis for Upgrading the Biomass-derived Ethanol-to-Jet Blendstocks - Corn Grain Case in 2014$</v>
      </c>
      <c r="C41" s="9">
        <f>INDEX(Biochemical!$A$2:$ZS$311,MATCH(Summary!$C$2,Biochemical!$A$2:$A$311,0),MATCH(Summary!B41,Biochemical!$A$2:$ZS$2,0))</f>
        <v>2017</v>
      </c>
      <c r="D41" s="9">
        <f>INDEX(Biochemical!$A$2:$ZS$311,MATCH(Summary!$D$2,Biochemical!$A$2:$A$311,0),MATCH(Summary!B41,Biochemical!$A$2:$ZS$2,0))</f>
        <v>2014</v>
      </c>
      <c r="E41" s="13" t="str">
        <f>INDEX(Biochemical!$A$2:$ZS$311,MATCH(Summary!$E$2,Biochemical!$A$2:$A$311,0),MATCH(Summary!B41,Biochemical!$A$2:$ZS$2,0))</f>
        <v>Corn Grain Case in 2014$</v>
      </c>
      <c r="F41" s="13" t="str">
        <f>INDEX(Biochemical!$A$2:$ZS$311,MATCH(Summary!$F$2,Biochemical!$A$2:$A$311,0),MATCH(Summary!B41,Biochemical!$A$2:$ZS$2,0))</f>
        <v>Mostly Jet Blendstock, Some Gasoline and Diesel Blendstock</v>
      </c>
      <c r="G41" s="13" t="str">
        <f>INDEX(Biochemical!$A$2:$ZS$311,MATCH(Summary!$G$2,Biochemical!$A$2:$A$311,0),MATCH(Summary!B41,Biochemical!$A$2:$ZS$2,0))</f>
        <v>Shelled Corn Grain</v>
      </c>
      <c r="H41" s="191">
        <f>INDEX(Biochemical!$A$2:$ZS$311,MATCH(Summary!$H$2,Biochemical!$A$2:$A$311,0),MATCH(Summary!B41,Biochemical!$A$2:$ZS$2,0))</f>
        <v>181.1764705882353</v>
      </c>
      <c r="I41" s="192">
        <f>INDEX(Biochemical!$A$2:$ZS$311,MATCH(Summary!$I$2,Biochemical!$A$2:$A$311,0),MATCH(Summary!B41,Biochemical!$A$2:$ZS$2,0))</f>
        <v>2000</v>
      </c>
      <c r="J41" s="193">
        <f>INDEX(Biochemical!$A$2:$ZS$311,MATCH(Summary!$J$2,Biochemical!$A$2:$A$311,0),MATCH(Summary!B41,Biochemical!$A$2:$ZS$2,0))</f>
        <v>60.36</v>
      </c>
      <c r="K41" s="191">
        <f>INDEX(Biochemical!$A$2:$ZS$311,MATCH(Summary!$K$2,Biochemical!$A$2:$A$311,0),MATCH(Summary!B41,Biochemical!$A$2:$ZS$2,0))</f>
        <v>4.09</v>
      </c>
    </row>
    <row r="42" spans="1:11" ht="50.15" customHeight="1" x14ac:dyDescent="0.35">
      <c r="A42" s="11" t="s">
        <v>440</v>
      </c>
      <c r="B42" s="78" t="str">
        <f>Biochemical!F2</f>
        <v>The Techno-Economic Basis for Coproduct Manufacturing To Enable Hydrocarbon Fuel Production from Lignocellulosic Biomass</v>
      </c>
      <c r="C42" s="9">
        <f>INDEX(Biochemical!$A$2:$ZS$311,MATCH(Summary!$C$2,Biochemical!$A$2:$A$311,0),MATCH(Summary!B42,Biochemical!$A$2:$ZS$2,0))</f>
        <v>2016</v>
      </c>
      <c r="D42" s="9">
        <f>INDEX(Biochemical!$A$2:$ZS$311,MATCH(Summary!$D$2,Biochemical!$A$2:$A$311,0),MATCH(Summary!B42,Biochemical!$A$2:$ZS$2,0))</f>
        <v>2014</v>
      </c>
      <c r="E42" s="13" t="str">
        <f>INDEX(Biochemical!$A$2:$ZS$311,MATCH(Summary!$E$2,Biochemical!$A$2:$A$311,0),MATCH(Summary!B42,Biochemical!$A$2:$ZS$2,0))</f>
        <v>Coproduction of Fuels and Chemicals via Biochemical C5/C6 Sugar Splitting Pathway</v>
      </c>
      <c r="F42" s="13" t="str">
        <f>INDEX(Biochemical!$A$2:$ZS$311,MATCH(Summary!$F$2,Biochemical!$A$2:$A$311,0),MATCH(Summary!B42,Biochemical!$A$2:$ZS$2,0))</f>
        <v>Renewable Diesel Blendstock, Succinic Acid</v>
      </c>
      <c r="G42" s="13" t="str">
        <f>INDEX(Biochemical!$A$2:$ZS$311,MATCH(Summary!$G$2,Biochemical!$A$2:$A$311,0),MATCH(Summary!B42,Biochemical!$A$2:$ZS$2,0))</f>
        <v>Blend of Multi-pass Corn Stover, Single-pass Corn Stover, and Switchgrass</v>
      </c>
      <c r="H42" s="191">
        <f>INDEX(Biochemical!$A$2:$ZS$311,MATCH(Summary!$H$2,Biochemical!$A$2:$A$311,0),MATCH(Summary!B42,Biochemical!$A$2:$ZS$2,0))</f>
        <v>84.45</v>
      </c>
      <c r="I42" s="192">
        <f>INDEX(Biochemical!$A$2:$ZS$311,MATCH(Summary!$I$2,Biochemical!$A$2:$A$311,0),MATCH(Summary!B42,Biochemical!$A$2:$ZS$2,0))</f>
        <v>2000</v>
      </c>
      <c r="J42" s="193">
        <f>INDEX(Biochemical!$A$2:$ZS$311,MATCH(Summary!$J$2,Biochemical!$A$2:$A$311,0),MATCH(Summary!B42,Biochemical!$A$2:$ZS$2,0))</f>
        <v>20.7</v>
      </c>
      <c r="K42" s="191">
        <f>INDEX(Biochemical!$A$2:$ZS$311,MATCH(Summary!$K$2,Biochemical!$A$2:$A$311,0),MATCH(Summary!B42,Biochemical!$A$2:$ZS$2,0))</f>
        <v>5.8106999999999998</v>
      </c>
    </row>
    <row r="43" spans="1:11" ht="81" customHeight="1" x14ac:dyDescent="0.35">
      <c r="A43" s="11" t="s">
        <v>441</v>
      </c>
      <c r="B43" s="78" t="str">
        <f>Biochemical!G2</f>
        <v>Process Design and Economics for the Conversion of Lignocellulosic Biomass to Hydrocarbon Fuels and Coproducts: 2018 Biochemical Design Case Update - Organic Acids Intermediate Pathway</v>
      </c>
      <c r="C43" s="9">
        <f>INDEX(Biochemical!$A$2:$ZS$311,MATCH(Summary!$C$2,Biochemical!$A$2:$A$311,0),MATCH(Summary!B43,Biochemical!$A$2:$ZS$2,0))</f>
        <v>2018</v>
      </c>
      <c r="D43" s="9">
        <f>INDEX(Biochemical!$A$2:$ZS$311,MATCH(Summary!$D$2,Biochemical!$A$2:$A$311,0),MATCH(Summary!B43,Biochemical!$A$2:$ZS$2,0))</f>
        <v>2016</v>
      </c>
      <c r="E43" s="13" t="str">
        <f>INDEX(Biochemical!$A$2:$ZS$311,MATCH(Summary!$E$2,Biochemical!$A$2:$A$311,0),MATCH(Summary!B43,Biochemical!$A$2:$ZS$2,0))</f>
        <v>2018 Biochemical Design Case: Organic Acids Pathway</v>
      </c>
      <c r="F43" s="13" t="str">
        <f>INDEX(Biochemical!$A$2:$ZS$311,MATCH(Summary!$F$2,Biochemical!$A$2:$A$311,0),MATCH(Summary!B43,Biochemical!$A$2:$ZS$2,0))</f>
        <v>Renewable Diesel Blendstock, Adipic Acid</v>
      </c>
      <c r="G43" s="13" t="str">
        <f>INDEX(Biochemical!$A$2:$ZS$311,MATCH(Summary!$G$2,Biochemical!$A$2:$A$311,0),MATCH(Summary!B43,Biochemical!$A$2:$ZS$2,0))</f>
        <v>Blended Herbaceous Feedstock (primarily Corn Stover)</v>
      </c>
      <c r="H43" s="191">
        <f>INDEX(Biochemical!$A$2:$ZS$311,MATCH(Summary!$H$2,Biochemical!$A$2:$A$311,0),MATCH(Summary!B43,Biochemical!$A$2:$ZS$2,0))</f>
        <v>71.260000000000005</v>
      </c>
      <c r="I43" s="192">
        <f>INDEX(Biochemical!$A$2:$ZS$311,MATCH(Summary!$I$2,Biochemical!$A$2:$A$311,0),MATCH(Summary!B43,Biochemical!$A$2:$ZS$2,0))</f>
        <v>2000</v>
      </c>
      <c r="J43" s="193">
        <f>INDEX(Biochemical!$A$2:$ZS$311,MATCH(Summary!$J$2,Biochemical!$A$2:$A$311,0),MATCH(Summary!B43,Biochemical!$A$2:$ZS$2,0))</f>
        <v>44.8</v>
      </c>
      <c r="K43" s="191">
        <f>INDEX(Biochemical!$A$2:$ZS$311,MATCH(Summary!$K$2,Biochemical!$A$2:$A$311,0),MATCH(Summary!B43,Biochemical!$A$2:$ZS$2,0))</f>
        <v>2.4900000000000002</v>
      </c>
    </row>
    <row r="44" spans="1:11" ht="82.5" customHeight="1" x14ac:dyDescent="0.35">
      <c r="A44" s="11" t="s">
        <v>442</v>
      </c>
      <c r="B44" s="78" t="str">
        <f>Biochemical!H2</f>
        <v>Process Design and Economics for the Conversion of Lignocellulosic Biomass to Hydrocarbon Fuels and Coproducts: 2018 Biochemical Design Case Update - BDO Intermediate Pathway</v>
      </c>
      <c r="C44" s="9">
        <f>INDEX(Biochemical!$A$2:$ZS$311,MATCH(Summary!$C$2,Biochemical!$A$2:$A$311,0),MATCH(Summary!B44,Biochemical!$A$2:$ZS$2,0))</f>
        <v>2018</v>
      </c>
      <c r="D44" s="9">
        <f>INDEX(Biochemical!$A$2:$ZS$311,MATCH(Summary!$D$2,Biochemical!$A$2:$A$311,0),MATCH(Summary!B44,Biochemical!$A$2:$ZS$2,0))</f>
        <v>2016</v>
      </c>
      <c r="E44" s="13" t="str">
        <f>INDEX(Biochemical!$A$2:$ZS$311,MATCH(Summary!$E$2,Biochemical!$A$2:$A$311,0),MATCH(Summary!B44,Biochemical!$A$2:$ZS$2,0))</f>
        <v>2018 Biochemical Design Case: BDO Pathway</v>
      </c>
      <c r="F44" s="13" t="str">
        <f>INDEX(Biochemical!$A$2:$ZS$311,MATCH(Summary!$F$2,Biochemical!$A$2:$A$311,0),MATCH(Summary!B44,Biochemical!$A$2:$ZS$2,0))</f>
        <v>Renewable Diesel Blendstock, Adipic Acid</v>
      </c>
      <c r="G44" s="13" t="str">
        <f>INDEX(Biochemical!$A$2:$ZS$311,MATCH(Summary!$G$2,Biochemical!$A$2:$A$311,0),MATCH(Summary!B44,Biochemical!$A$2:$ZS$2,0))</f>
        <v>Blended Herbaceous Feedstock (primarily Corn Stover)</v>
      </c>
      <c r="H44" s="191">
        <f>INDEX(Biochemical!$A$2:$ZS$311,MATCH(Summary!$H$2,Biochemical!$A$2:$A$311,0),MATCH(Summary!B44,Biochemical!$A$2:$ZS$2,0))</f>
        <v>71.260000000000005</v>
      </c>
      <c r="I44" s="192">
        <f>INDEX(Biochemical!$A$2:$ZS$311,MATCH(Summary!$I$2,Biochemical!$A$2:$A$311,0),MATCH(Summary!B44,Biochemical!$A$2:$ZS$2,0))</f>
        <v>2000</v>
      </c>
      <c r="J44" s="193">
        <f>INDEX(Biochemical!$A$2:$ZS$311,MATCH(Summary!$J$2,Biochemical!$A$2:$A$311,0),MATCH(Summary!B44,Biochemical!$A$2:$ZS$2,0))</f>
        <v>43.2</v>
      </c>
      <c r="K44" s="191">
        <f>INDEX(Biochemical!$A$2:$ZS$311,MATCH(Summary!$K$2,Biochemical!$A$2:$A$311,0),MATCH(Summary!B44,Biochemical!$A$2:$ZS$2,0))</f>
        <v>2.4700000000000002</v>
      </c>
    </row>
    <row r="45" spans="1:11" ht="82.5" customHeight="1" x14ac:dyDescent="0.35">
      <c r="A45" s="11" t="s">
        <v>443</v>
      </c>
      <c r="B45" s="219" t="s">
        <v>615</v>
      </c>
      <c r="C45" s="9">
        <f>INDEX(Biochemical!$A$2:$ZS$311,MATCH(Summary!$C$2,Biochemical!$A$2:$A$311,0),MATCH(Summary!B45,Biochemical!$A$2:$ZS$2,0))</f>
        <v>2020</v>
      </c>
      <c r="D45" s="9">
        <f>INDEX(Biochemical!$A$2:$ZS$311,MATCH(Summary!$D$2,Biochemical!$A$2:$A$311,0),MATCH(Summary!B45,Biochemical!$A$2:$ZS$2,0))</f>
        <v>2016</v>
      </c>
      <c r="E45" s="13" t="str">
        <f>INDEX(Biochemical!$A$2:$ZS$311,MATCH(Summary!$E$2,Biochemical!$A$2:$A$311,0),MATCH(Summary!B45,Biochemical!$A$2:$ZS$2,0))</f>
        <v>Biochemical 2019 SOT: BDO Pathway (Burn Lignin Case)</v>
      </c>
      <c r="F45" s="13" t="str">
        <f>INDEX(Biochemical!$A$2:$ZS$311,MATCH(Summary!$F$2,Biochemical!$A$2:$A$311,0),MATCH(Summary!B45,Biochemical!$A$2:$ZS$2,0))</f>
        <v>Renewable Diesel Blendstock</v>
      </c>
      <c r="G45" s="13" t="str">
        <f>INDEX(Biochemical!$A$2:$ZS$311,MATCH(Summary!$G$2,Biochemical!$A$2:$A$311,0),MATCH(Summary!B45,Biochemical!$A$2:$ZS$2,0))</f>
        <v>Blend of 2-pass and 3-pass Corn Stover</v>
      </c>
      <c r="H45" s="191">
        <f>INDEX(Biochemical!$A$2:$ZS$311,MATCH(Summary!$H$2,Biochemical!$A$2:$A$311,0),MATCH(Summary!B45,Biochemical!$A$2:$ZS$2,0))</f>
        <v>81.37</v>
      </c>
      <c r="I45" s="192">
        <f>INDEX(Biochemical!$A$2:$ZS$311,MATCH(Summary!$I$2,Biochemical!$A$2:$A$311,0),MATCH(Summary!B45,Biochemical!$A$2:$ZS$2,0))</f>
        <v>2000</v>
      </c>
      <c r="J45" s="193">
        <f>INDEX(Biochemical!$A$2:$ZS$311,MATCH(Summary!$J$2,Biochemical!$A$2:$A$311,0),MATCH(Summary!B45,Biochemical!$A$2:$ZS$2,0))</f>
        <v>38.5</v>
      </c>
      <c r="K45" s="191">
        <f>INDEX(Biochemical!$A$2:$ZS$311,MATCH(Summary!$K$2,Biochemical!$A$2:$A$311,0),MATCH(Summary!B45,Biochemical!$A$2:$ZS$2,0))</f>
        <v>7.79</v>
      </c>
    </row>
    <row r="46" spans="1:11" ht="82.5" customHeight="1" x14ac:dyDescent="0.35">
      <c r="A46" s="11" t="s">
        <v>444</v>
      </c>
      <c r="B46" s="219" t="s">
        <v>618</v>
      </c>
      <c r="C46" s="9">
        <f>INDEX(Biochemical!$A$2:$ZS$311,MATCH(Summary!$C$2,Biochemical!$A$2:$A$311,0),MATCH(Summary!B46,Biochemical!$A$2:$ZS$2,0))</f>
        <v>2020</v>
      </c>
      <c r="D46" s="9">
        <f>INDEX(Biochemical!$A$2:$ZS$311,MATCH(Summary!$D$2,Biochemical!$A$2:$A$311,0),MATCH(Summary!B46,Biochemical!$A$2:$ZS$2,0))</f>
        <v>2016</v>
      </c>
      <c r="E46" s="13" t="str">
        <f>INDEX(Biochemical!$A$2:$ZS$311,MATCH(Summary!$E$2,Biochemical!$A$2:$A$311,0),MATCH(Summary!B46,Biochemical!$A$2:$ZS$2,0))</f>
        <v>Biochemical 2019 SOT: BDO Pathway (Convert Lignin - "Base" Case)</v>
      </c>
      <c r="F46" s="13" t="str">
        <f>INDEX(Biochemical!$A$2:$ZS$311,MATCH(Summary!$F$2,Biochemical!$A$2:$A$311,0),MATCH(Summary!B46,Biochemical!$A$2:$ZS$2,0))</f>
        <v>Renewable Diesel Blendstock, Adipic Acid</v>
      </c>
      <c r="G46" s="13" t="str">
        <f>INDEX(Biochemical!$A$2:$ZS$311,MATCH(Summary!$G$2,Biochemical!$A$2:$A$311,0),MATCH(Summary!B46,Biochemical!$A$2:$ZS$2,0))</f>
        <v>Blend of 2-pass and 3-pass Corn Stover</v>
      </c>
      <c r="H46" s="191">
        <f>INDEX(Biochemical!$A$2:$ZS$311,MATCH(Summary!$H$2,Biochemical!$A$2:$A$311,0),MATCH(Summary!B46,Biochemical!$A$2:$ZS$2,0))</f>
        <v>81.37</v>
      </c>
      <c r="I46" s="192">
        <f>INDEX(Biochemical!$A$2:$ZS$311,MATCH(Summary!$I$2,Biochemical!$A$2:$A$311,0),MATCH(Summary!B46,Biochemical!$A$2:$ZS$2,0))</f>
        <v>2000</v>
      </c>
      <c r="J46" s="193">
        <f>INDEX(Biochemical!$A$2:$ZS$311,MATCH(Summary!$J$2,Biochemical!$A$2:$A$311,0),MATCH(Summary!B46,Biochemical!$A$2:$ZS$2,0))</f>
        <v>38.5</v>
      </c>
      <c r="K46" s="191">
        <f>INDEX(Biochemical!$A$2:$ZS$311,MATCH(Summary!$K$2,Biochemical!$A$2:$A$311,0),MATCH(Summary!B46,Biochemical!$A$2:$ZS$2,0))</f>
        <v>10.8</v>
      </c>
    </row>
    <row r="47" spans="1:11" ht="82.5" customHeight="1" x14ac:dyDescent="0.35">
      <c r="A47" s="11" t="s">
        <v>446</v>
      </c>
      <c r="B47" s="219" t="s">
        <v>620</v>
      </c>
      <c r="C47" s="9">
        <f>INDEX(Biochemical!$A$2:$ZS$311,MATCH(Summary!$C$2,Biochemical!$A$2:$A$311,0),MATCH(Summary!B47,Biochemical!$A$2:$ZS$2,0))</f>
        <v>2020</v>
      </c>
      <c r="D47" s="9">
        <f>INDEX(Biochemical!$A$2:$ZS$311,MATCH(Summary!$D$2,Biochemical!$A$2:$A$311,0),MATCH(Summary!B47,Biochemical!$A$2:$ZS$2,0))</f>
        <v>2016</v>
      </c>
      <c r="E47" s="13" t="str">
        <f>INDEX(Biochemical!$A$2:$ZS$311,MATCH(Summary!$E$2,Biochemical!$A$2:$A$311,0),MATCH(Summary!B47,Biochemical!$A$2:$ZS$2,0))</f>
        <v>Biochemical 2019 SOT: Acids Pathway (Burn Lignin Case)</v>
      </c>
      <c r="F47" s="13" t="str">
        <f>INDEX(Biochemical!$A$2:$ZS$311,MATCH(Summary!$F$2,Biochemical!$A$2:$A$311,0),MATCH(Summary!B47,Biochemical!$A$2:$ZS$2,0))</f>
        <v>Renewable Diesel Blendstock</v>
      </c>
      <c r="G47" s="13" t="str">
        <f>INDEX(Biochemical!$A$2:$ZS$311,MATCH(Summary!$G$2,Biochemical!$A$2:$A$311,0),MATCH(Summary!B47,Biochemical!$A$2:$ZS$2,0))</f>
        <v>Blend of 2-pass and 3-pass Corn Stover</v>
      </c>
      <c r="H47" s="191">
        <f>INDEX(Biochemical!$A$2:$ZS$311,MATCH(Summary!$H$2,Biochemical!$A$2:$A$311,0),MATCH(Summary!B47,Biochemical!$A$2:$ZS$2,0))</f>
        <v>81.37</v>
      </c>
      <c r="I47" s="192">
        <f>INDEX(Biochemical!$A$2:$ZS$311,MATCH(Summary!$I$2,Biochemical!$A$2:$A$311,0),MATCH(Summary!B47,Biochemical!$A$2:$ZS$2,0))</f>
        <v>2000</v>
      </c>
      <c r="J47" s="193">
        <f>INDEX(Biochemical!$A$2:$ZS$311,MATCH(Summary!$J$2,Biochemical!$A$2:$A$311,0),MATCH(Summary!B47,Biochemical!$A$2:$ZS$2,0))</f>
        <v>35.299999999999997</v>
      </c>
      <c r="K47" s="191">
        <f>INDEX(Biochemical!$A$2:$ZS$311,MATCH(Summary!$K$2,Biochemical!$A$2:$A$311,0),MATCH(Summary!B47,Biochemical!$A$2:$ZS$2,0))</f>
        <v>8.1999999999999993</v>
      </c>
    </row>
    <row r="48" spans="1:11" ht="82.5" customHeight="1" x14ac:dyDescent="0.35">
      <c r="A48" s="11" t="s">
        <v>447</v>
      </c>
      <c r="B48" s="219" t="s">
        <v>622</v>
      </c>
      <c r="C48" s="9">
        <f>INDEX(Biochemical!$A$2:$ZS$311,MATCH(Summary!$C$2,Biochemical!$A$2:$A$311,0),MATCH(Summary!B48,Biochemical!$A$2:$ZS$2,0))</f>
        <v>2020</v>
      </c>
      <c r="D48" s="9">
        <f>INDEX(Biochemical!$A$2:$ZS$311,MATCH(Summary!$D$2,Biochemical!$A$2:$A$311,0),MATCH(Summary!B48,Biochemical!$A$2:$ZS$2,0))</f>
        <v>2016</v>
      </c>
      <c r="E48" s="13" t="str">
        <f>INDEX(Biochemical!$A$2:$ZS$311,MATCH(Summary!$E$2,Biochemical!$A$2:$A$311,0),MATCH(Summary!B48,Biochemical!$A$2:$ZS$2,0))</f>
        <v>Biochemical 2019 SOT: Acids Pathway (Convert Lignin - "Base" Case)</v>
      </c>
      <c r="F48" s="13" t="str">
        <f>INDEX(Biochemical!$A$2:$ZS$311,MATCH(Summary!$F$2,Biochemical!$A$2:$A$311,0),MATCH(Summary!B48,Biochemical!$A$2:$ZS$2,0))</f>
        <v>Renewable Diesel Blendstock, Adipic Acid</v>
      </c>
      <c r="G48" s="13" t="str">
        <f>INDEX(Biochemical!$A$2:$ZS$311,MATCH(Summary!$G$2,Biochemical!$A$2:$A$311,0),MATCH(Summary!B48,Biochemical!$A$2:$ZS$2,0))</f>
        <v>Blend of 2-pass and 3-pass Corn Stover</v>
      </c>
      <c r="H48" s="191">
        <f>INDEX(Biochemical!$A$2:$ZS$311,MATCH(Summary!$H$2,Biochemical!$A$2:$A$311,0),MATCH(Summary!B48,Biochemical!$A$2:$ZS$2,0))</f>
        <v>81.37</v>
      </c>
      <c r="I48" s="192">
        <f>INDEX(Biochemical!$A$2:$ZS$311,MATCH(Summary!$I$2,Biochemical!$A$2:$A$311,0),MATCH(Summary!B48,Biochemical!$A$2:$ZS$2,0))</f>
        <v>2000</v>
      </c>
      <c r="J48" s="193">
        <f>INDEX(Biochemical!$A$2:$ZS$311,MATCH(Summary!$J$2,Biochemical!$A$2:$A$311,0),MATCH(Summary!B48,Biochemical!$A$2:$ZS$2,0))</f>
        <v>35.299999999999997</v>
      </c>
      <c r="K48" s="191">
        <f>INDEX(Biochemical!$A$2:$ZS$311,MATCH(Summary!$K$2,Biochemical!$A$2:$A$311,0),MATCH(Summary!B48,Biochemical!$A$2:$ZS$2,0))</f>
        <v>11.47</v>
      </c>
    </row>
    <row r="49" spans="1:11" ht="50.15" customHeight="1" x14ac:dyDescent="0.35"/>
    <row r="50" spans="1:11" ht="20.149999999999999" customHeight="1" x14ac:dyDescent="0.35">
      <c r="B50" s="47" t="str">
        <f>HEFA!A1</f>
        <v>Hydroprocessed Esters and Fatty Acids (HEFA)</v>
      </c>
    </row>
    <row r="51" spans="1:11" ht="50.15" customHeight="1" x14ac:dyDescent="0.35">
      <c r="A51" s="11" t="s">
        <v>436</v>
      </c>
      <c r="B51" s="78" t="str">
        <f>HEFA!B2</f>
        <v>Techno-Economic and Resource Analysis of Hydroprocessed Jet Fuel - Jatropha Feedstock Case</v>
      </c>
      <c r="C51" s="9">
        <f>INDEX(HEFA!$A$2:$ZZ$301,MATCH(Summary!$C$2,HEFA!$A$2:$A$301,0),MATCH(Summary!B51,HEFA!$A$2:$ZZ$2,0))</f>
        <v>2017</v>
      </c>
      <c r="D51" s="9">
        <f>INDEX(HEFA!$A$2:$ZZ$301,MATCH(Summary!$D$2,HEFA!$A$2:$A$301,0),MATCH(Summary!B51,HEFA!$A$2:$ZZ$2,0))</f>
        <v>2014</v>
      </c>
      <c r="E51" s="13" t="str">
        <f>INDEX(HEFA!$A$2:$ZZ$301,MATCH(Summary!$E$2,HEFA!$A$2:$A$301,0),MATCH(Summary!B51,HEFA!$A$2:$ZZ$2,0))</f>
        <v>Jatropha Feedstock</v>
      </c>
      <c r="F51" s="13" t="str">
        <f>INDEX(HEFA!$A$2:$ZZ$301,MATCH(Summary!$F$2,HEFA!$A$2:$A$301,0),MATCH(Summary!B51,HEFA!$A$2:$ZZ$2,0))</f>
        <v>Mostly Jet Blendstock, Some Gasoline and Diesel Blendstock</v>
      </c>
      <c r="G51" s="13" t="str">
        <f>INDEX(HEFA!$A$2:$ZZ$301,MATCH(Summary!$G$2,HEFA!$A$2:$A$301,0),MATCH(Summary!B51,HEFA!$A$2:$ZZ$2,0))</f>
        <v>Jatropha</v>
      </c>
      <c r="H51" s="191">
        <f>INDEX(HEFA!$A$2:$ZZ$301,MATCH(Summary!$H$2,HEFA!$A$2:$A$301,0),MATCH(Summary!B51,HEFA!$A$2:$ZZ$2,0))</f>
        <v>388.40000000000003</v>
      </c>
      <c r="I51" s="192">
        <f>INDEX(HEFA!$A$2:$ZZ$301,MATCH(Summary!$I$2,HEFA!$A$2:$A$301,0),MATCH(Summary!B51,HEFA!$A$2:$ZZ$2,0))</f>
        <v>788</v>
      </c>
      <c r="J51" s="193">
        <f>INDEX(HEFA!$A$2:$ZZ$301,MATCH(Summary!$J$2,HEFA!$A$2:$A$301,0),MATCH(Summary!B51,HEFA!$A$2:$ZZ$2,0))</f>
        <v>188</v>
      </c>
      <c r="K51" s="191">
        <f>INDEX(HEFA!$A$2:$ZZ$301,MATCH(Summary!$K$2,HEFA!$A$2:$A$301,0),MATCH(Summary!B51,HEFA!$A$2:$ZZ$2,0))</f>
        <v>3.3299430337174565</v>
      </c>
    </row>
    <row r="52" spans="1:11" ht="50.15" customHeight="1" x14ac:dyDescent="0.35">
      <c r="A52" s="11" t="s">
        <v>437</v>
      </c>
      <c r="B52" s="78" t="str">
        <f>HEFA!C2</f>
        <v>Techno-Economic and Resource Analysis of Hydroprocessed Jet Fuel - Yellow Grease Feedstock Case</v>
      </c>
      <c r="C52" s="9">
        <f>INDEX(HEFA!$A$2:$ZZ$301,MATCH(Summary!$C$2,HEFA!$A$2:$A$301,0),MATCH(Summary!B52,HEFA!$A$2:$ZZ$2,0))</f>
        <v>2017</v>
      </c>
      <c r="D52" s="9">
        <f>INDEX(HEFA!$A$2:$ZZ$301,MATCH(Summary!$D$2,HEFA!$A$2:$A$301,0),MATCH(Summary!B52,HEFA!$A$2:$ZZ$2,0))</f>
        <v>2014</v>
      </c>
      <c r="E52" s="13" t="str">
        <f>INDEX(HEFA!$A$2:$ZZ$301,MATCH(Summary!$E$2,HEFA!$A$2:$A$301,0),MATCH(Summary!B52,HEFA!$A$2:$ZZ$2,0))</f>
        <v>Yellow Grease Feedstock</v>
      </c>
      <c r="F52" s="13" t="str">
        <f>INDEX(HEFA!$A$2:$ZZ$301,MATCH(Summary!$F$2,HEFA!$A$2:$A$301,0),MATCH(Summary!B52,HEFA!$A$2:$ZZ$2,0))</f>
        <v>Mostly Jet Blendstock, Some Gasoline and Diesel Blendstock</v>
      </c>
      <c r="G52" s="13" t="str">
        <f>INDEX(HEFA!$A$2:$ZZ$301,MATCH(Summary!$G$2,HEFA!$A$2:$A$301,0),MATCH(Summary!B52,HEFA!$A$2:$ZZ$2,0))</f>
        <v>Yellow Grease</v>
      </c>
      <c r="H52" s="191">
        <f>INDEX(HEFA!$A$2:$ZZ$301,MATCH(Summary!$H$2,HEFA!$A$2:$A$301,0),MATCH(Summary!B52,HEFA!$A$2:$ZZ$2,0))</f>
        <v>559</v>
      </c>
      <c r="I52" s="192">
        <f>INDEX(HEFA!$A$2:$ZZ$301,MATCH(Summary!$I$2,HEFA!$A$2:$A$301,0),MATCH(Summary!B52,HEFA!$A$2:$ZZ$2,0))</f>
        <v>913.27</v>
      </c>
      <c r="J52" s="193">
        <f>INDEX(HEFA!$A$2:$ZZ$301,MATCH(Summary!$J$2,HEFA!$A$2:$A$301,0),MATCH(Summary!B52,HEFA!$A$2:$ZZ$2,0))</f>
        <v>168</v>
      </c>
      <c r="K52" s="191">
        <f>INDEX(HEFA!$A$2:$ZZ$301,MATCH(Summary!$K$2,HEFA!$A$2:$A$301,0),MATCH(Summary!B52,HEFA!$A$2:$ZZ$2,0))</f>
        <v>4.1774034366197181</v>
      </c>
    </row>
    <row r="53" spans="1:11" ht="50.15" customHeight="1" x14ac:dyDescent="0.35"/>
    <row r="54" spans="1:11" ht="20.149999999999999" customHeight="1" x14ac:dyDescent="0.35">
      <c r="B54" s="47" t="str">
        <f>HTL!A1</f>
        <v>Hydrothermal Liquefaction (HTL)</v>
      </c>
    </row>
    <row r="55" spans="1:11" ht="50.15" customHeight="1" x14ac:dyDescent="0.35">
      <c r="A55" s="11" t="s">
        <v>436</v>
      </c>
      <c r="B55" s="78" t="str">
        <f>HTL!B2</f>
        <v>Techno-Economic Analysis of Liquid Fuel Production from Woody Biomass via Hydrothermal Liquefaction (HTL) and Upgrading - State of Technology (SOT) Case</v>
      </c>
      <c r="C55" s="9">
        <f>INDEX(HTL!$A$2:$ZZ$320,MATCH(Summary!$C$2,HTL!$A$2:$A$320,0),MATCH(Summary!B55,HTL!$A$2:$ZZ$2,0))</f>
        <v>2014</v>
      </c>
      <c r="D55" s="9">
        <f>INDEX(HTL!$A$2:$ZZ$320,MATCH(Summary!$D$2,HTL!$A$2:$A$320,0),MATCH(Summary!B55,HTL!$A$2:$ZZ$2,0))</f>
        <v>2007</v>
      </c>
      <c r="E55" s="13" t="str">
        <f>INDEX(HTL!$A$2:$ZZ$320,MATCH(Summary!$E$2,HTL!$A$2:$A$320,0),MATCH(Summary!B55,HTL!$A$2:$ZZ$2,0))</f>
        <v>State of Technology (SOT)</v>
      </c>
      <c r="F55" s="13" t="str">
        <f>INDEX(HTL!$A$2:$ZZ$320,MATCH(Summary!$F$2,HTL!$A$2:$A$320,0),MATCH(Summary!B55,HTL!$A$2:$ZZ$2,0))</f>
        <v>Gasoline Blendstock</v>
      </c>
      <c r="G55" s="13" t="str">
        <f>INDEX(HTL!$A$2:$ZZ$320,MATCH(Summary!$G$2,HTL!$A$2:$A$320,0),MATCH(Summary!B55,HTL!$A$2:$ZZ$2,0))</f>
        <v>Woody Biomass</v>
      </c>
      <c r="H55" s="191">
        <f>INDEX(HTL!$A$2:$ZZ$320,MATCH(Summary!$H$2,HTL!$A$2:$A$320,0),MATCH(Summary!B55,HTL!$A$2:$ZZ$2,0))</f>
        <v>63.520871143375679</v>
      </c>
      <c r="I55" s="192">
        <f>INDEX(HTL!$A$2:$ZZ$320,MATCH(Summary!$I$2,HTL!$A$2:$A$320,0),MATCH(Summary!B55,HTL!$A$2:$ZZ$2,0))</f>
        <v>2000</v>
      </c>
      <c r="J55" s="193">
        <f>INDEX(HTL!$A$2:$ZZ$320,MATCH(Summary!$J$2,HTL!$A$2:$A$320,0),MATCH(Summary!B55,HTL!$A$2:$ZZ$2,0))</f>
        <v>59.212441403492207</v>
      </c>
      <c r="K55" s="191">
        <f>INDEX(HTL!$A$2:$ZZ$320,MATCH(Summary!$K$2,HTL!$A$2:$A$320,0),MATCH(Summary!B55,HTL!$A$2:$ZZ$2,0))</f>
        <v>4.4400000000000004</v>
      </c>
    </row>
    <row r="56" spans="1:11" ht="50.15" customHeight="1" x14ac:dyDescent="0.35">
      <c r="A56" s="11" t="s">
        <v>437</v>
      </c>
      <c r="B56" s="78" t="str">
        <f>HTL!C2</f>
        <v>Techno-Economic Analysis of Liquid Fuel Production from Woody Biomass via Hydrothermal Liquefaction (HTL) and Ipgrading - Goal Case</v>
      </c>
      <c r="C56" s="9">
        <f>INDEX(HTL!$A$2:$ZZ$320,MATCH(Summary!$C$2,HTL!$A$2:$A$320,0),MATCH(Summary!B56,HTL!$A$2:$ZZ$2,0))</f>
        <v>2014</v>
      </c>
      <c r="D56" s="9">
        <f>INDEX(HTL!$A$2:$ZZ$320,MATCH(Summary!$D$2,HTL!$A$2:$A$320,0),MATCH(Summary!B56,HTL!$A$2:$ZZ$2,0))</f>
        <v>2007</v>
      </c>
      <c r="E56" s="13" t="str">
        <f>INDEX(HTL!$A$2:$ZZ$320,MATCH(Summary!$E$2,HTL!$A$2:$A$320,0),MATCH(Summary!B56,HTL!$A$2:$ZZ$2,0))</f>
        <v>Goal</v>
      </c>
      <c r="F56" s="13" t="str">
        <f>INDEX(HTL!$A$2:$ZZ$320,MATCH(Summary!$F$2,HTL!$A$2:$A$320,0),MATCH(Summary!B56,HTL!$A$2:$ZZ$2,0))</f>
        <v>Gasoline Blendstock</v>
      </c>
      <c r="G56" s="13" t="str">
        <f>INDEX(HTL!$A$2:$ZZ$320,MATCH(Summary!$G$2,HTL!$A$2:$A$320,0),MATCH(Summary!B56,HTL!$A$2:$ZZ$2,0))</f>
        <v>Woody Biomass</v>
      </c>
      <c r="H56" s="191">
        <f>INDEX(HTL!$A$2:$ZZ$320,MATCH(Summary!$H$2,HTL!$A$2:$A$320,0),MATCH(Summary!B56,HTL!$A$2:$ZZ$2,0))</f>
        <v>63.520871143375679</v>
      </c>
      <c r="I56" s="192">
        <f>INDEX(HTL!$A$2:$ZZ$320,MATCH(Summary!$I$2,HTL!$A$2:$A$320,0),MATCH(Summary!B56,HTL!$A$2:$ZZ$2,0))</f>
        <v>2000</v>
      </c>
      <c r="J56" s="193">
        <f>INDEX(HTL!$A$2:$ZZ$320,MATCH(Summary!$J$2,HTL!$A$2:$A$320,0),MATCH(Summary!B56,HTL!$A$2:$ZZ$2,0))</f>
        <v>96.479012916179613</v>
      </c>
      <c r="K56" s="191">
        <f>INDEX(HTL!$A$2:$ZZ$320,MATCH(Summary!$K$2,HTL!$A$2:$A$320,0),MATCH(Summary!B56,HTL!$A$2:$ZZ$2,0))</f>
        <v>2.52</v>
      </c>
    </row>
    <row r="57" spans="1:11" ht="50.15" customHeight="1" x14ac:dyDescent="0.35">
      <c r="A57" s="11" t="s">
        <v>438</v>
      </c>
      <c r="B57" s="78" t="s">
        <v>548</v>
      </c>
      <c r="C57" s="9">
        <f>INDEX(HTL!$A$2:$ZZ$320,MATCH(Summary!$C$2,HTL!$A$2:$A$320,0),MATCH(Summary!B57,HTL!$A$2:$ZZ$2,0))</f>
        <v>2017</v>
      </c>
      <c r="D57" s="9">
        <f>INDEX(HTL!$A$2:$ZZ$320,MATCH(Summary!$D$2,HTL!$A$2:$A$320,0),MATCH(Summary!B57,HTL!$A$2:$ZZ$2,0))</f>
        <v>2014</v>
      </c>
      <c r="E57" s="13" t="str">
        <f>INDEX(HTL!$A$2:$ZZ$320,MATCH(Summary!$E$2,HTL!$A$2:$A$320,0),MATCH(Summary!B57,HTL!$A$2:$ZZ$2,0))</f>
        <v>Baseline</v>
      </c>
      <c r="F57" s="13" t="str">
        <f>INDEX(HTL!$A$2:$ZZ$320,MATCH(Summary!$F$2,HTL!$A$2:$A$320,0),MATCH(Summary!B57,HTL!$A$2:$ZZ$2,0))</f>
        <v>Gasoline Blendstock</v>
      </c>
      <c r="G57" s="13" t="str">
        <f>INDEX(HTL!$A$2:$ZZ$320,MATCH(Summary!$G$2,HTL!$A$2:$A$320,0),MATCH(Summary!B57,HTL!$A$2:$ZZ$2,0))</f>
        <v>Wastewater Sludge</v>
      </c>
      <c r="H57" s="191">
        <f>INDEX(HTL!$A$2:$ZZ$320,MATCH(Summary!$H$2,HTL!$A$2:$A$320,0),MATCH(Summary!B57,HTL!$A$2:$ZZ$2,0))</f>
        <v>0</v>
      </c>
      <c r="I57" s="192">
        <f>INDEX(HTL!$A$2:$ZZ$320,MATCH(Summary!$I$2,HTL!$A$2:$A$320,0),MATCH(Summary!B57,HTL!$A$2:$ZZ$2,0))</f>
        <v>110</v>
      </c>
      <c r="J57" s="193">
        <f>INDEX(HTL!$A$2:$ZZ$320,MATCH(Summary!$J$2,HTL!$A$2:$A$320,0),MATCH(Summary!B57,HTL!$A$2:$ZZ$2,0))</f>
        <v>112.94765840220386</v>
      </c>
      <c r="K57" s="191">
        <f>INDEX(HTL!$A$2:$ZZ$320,MATCH(Summary!$K$2,HTL!$A$2:$A$320,0),MATCH(Summary!B57,HTL!$A$2:$ZZ$2,0))</f>
        <v>3.46</v>
      </c>
    </row>
    <row r="58" spans="1:11" ht="50.15" customHeight="1" x14ac:dyDescent="0.35"/>
    <row r="59" spans="1:11" ht="20.149999999999999" customHeight="1" x14ac:dyDescent="0.35">
      <c r="B59" s="47" t="str">
        <f>Algae!A1</f>
        <v>Algae</v>
      </c>
    </row>
    <row r="60" spans="1:11" ht="50.15" customHeight="1" x14ac:dyDescent="0.35">
      <c r="A60" s="11" t="s">
        <v>436</v>
      </c>
      <c r="B60" s="78" t="str">
        <f>Algae!B2</f>
        <v>Renewable Diesel from Algal Lipids: An Integrated Baseline for Cost, Emissions, and Resource Potential from a Harmonized Model</v>
      </c>
      <c r="C60" s="9">
        <f>INDEX(Algae!$A$2:$ZV$283,MATCH(Summary!$C$2,Algae!$A$2:$A$283,0),MATCH(Summary!B60,Algae!$A$2:$ZV$2,0))</f>
        <v>2012</v>
      </c>
      <c r="D60" s="9">
        <f>INDEX(Algae!$A$2:$ZV$283,MATCH(Summary!$D$2,Algae!$A$2:$A$283,0),MATCH(Summary!B60,Algae!$A$2:$ZV$2,0))</f>
        <v>2007</v>
      </c>
      <c r="E60" s="13" t="str">
        <f>INDEX(Algae!$A$2:$ZV$283,MATCH(Summary!$E$2,Algae!$A$2:$A$283,0),MATCH(Summary!B60,Algae!$A$2:$ZV$2,0))</f>
        <v>2012 Algae Harmonization Baseline Report: Overall Average Case</v>
      </c>
      <c r="F60" s="13" t="str">
        <f>INDEX(Algae!$A$2:$ZV$283,MATCH(Summary!$F$2,Algae!$A$2:$A$283,0),MATCH(Summary!B60,Algae!$A$2:$ZV$2,0))</f>
        <v>Renewable Diesel Blendstock</v>
      </c>
      <c r="G60" s="13" t="str">
        <f>INDEX(Algae!$A$2:$ZV$283,MATCH(Summary!$G$2,Algae!$A$2:$A$283,0),MATCH(Summary!B60,Algae!$A$2:$ZV$2,0))</f>
        <v>Algae</v>
      </c>
      <c r="H60" s="190"/>
      <c r="I60" s="16" t="str">
        <f>INDEX(Algae!$A$2:$ZV$283,MATCH(Summary!$I$2,Algae!$A$2:$A$283,0),MATCH(Summary!B60,Algae!$A$2:$ZV$2,0))</f>
        <v>40,000 acres</v>
      </c>
      <c r="J60" s="13"/>
      <c r="K60" s="191">
        <f>INDEX(Algae!$A$2:$ZV$283,MATCH(Summary!$K$2,Algae!$A$2:$A$283,0),MATCH(Summary!B60,Algae!$A$2:$ZV$2,0))</f>
        <v>16.837342934994158</v>
      </c>
    </row>
    <row r="61" spans="1:11" ht="50.15" customHeight="1" x14ac:dyDescent="0.35">
      <c r="A61" s="11" t="s">
        <v>437</v>
      </c>
      <c r="B61" s="78" t="str">
        <f>Algae!C2</f>
        <v>Process Design and Economics for the Conversion of Algal Biomass to Hydrocarbons: Whole Algae Hydrothermal Liquefaction and Upgrading</v>
      </c>
      <c r="C61" s="9">
        <f>INDEX(Algae!$A$2:$ZV$283,MATCH(Summary!$C$2,Algae!$A$2:$A$283,0),MATCH(Summary!B61,Algae!$A$2:$ZV$2,0))</f>
        <v>2014</v>
      </c>
      <c r="D61" s="9">
        <f>INDEX(Algae!$A$2:$ZV$283,MATCH(Summary!$D$2,Algae!$A$2:$A$283,0),MATCH(Summary!B61,Algae!$A$2:$ZV$2,0))</f>
        <v>2011</v>
      </c>
      <c r="F61" s="13" t="str">
        <f>INDEX(Algae!$A$2:$ZV$283,MATCH(Summary!$F$2,Algae!$A$2:$A$283,0),MATCH(Summary!B61,Algae!$A$2:$ZV$2,0))</f>
        <v>Renewable Diesel Blendstock</v>
      </c>
      <c r="G61" s="13" t="str">
        <f>INDEX(Algae!$A$2:$ZV$283,MATCH(Summary!$G$2,Algae!$A$2:$A$283,0),MATCH(Summary!B61,Algae!$A$2:$ZV$2,0))</f>
        <v>Algae</v>
      </c>
      <c r="H61" s="190">
        <f>INDEX(Algae!$A$2:$ZV$283,MATCH(Summary!$H$2,Algae!$A$2:$A$283,0),MATCH(Summary!B61,Algae!$A$2:$ZV$2,0))</f>
        <v>430</v>
      </c>
      <c r="I61" s="16">
        <f>INDEX(Algae!$A$2:$ZV$283,MATCH(Summary!$I$2,Algae!$A$2:$A$283,0),MATCH(Summary!B61,Algae!$A$2:$ZV$2,0))</f>
        <v>1215.0635208711433</v>
      </c>
      <c r="J61" s="15">
        <f>INDEX(Algae!$A$2:$ZV$283,MATCH(Summary!$J$2,Algae!$A$2:$A$283,0),MATCH(Summary!B61,Algae!$A$2:$ZV$2,0))</f>
        <v>134.98923249203204</v>
      </c>
      <c r="K61" s="191">
        <f>INDEX(Algae!$A$2:$ZV$283,MATCH(Summary!$K$2,Algae!$A$2:$A$283,0),MATCH(Summary!B61,Algae!$A$2:$ZV$2,0))</f>
        <v>4.49</v>
      </c>
    </row>
    <row r="62" spans="1:11" ht="50.15" customHeight="1" x14ac:dyDescent="0.35">
      <c r="A62" s="11" t="s">
        <v>438</v>
      </c>
      <c r="B62" s="78" t="str">
        <f>Algae!D2</f>
        <v>Process Design and Economics for the Production of Algal Biomass: Algal Biomass Production in Open Pond Systems and Processing Through Dewatering for Downstream Conversion</v>
      </c>
      <c r="C62" s="9">
        <f>INDEX(Algae!$A$2:$ZV$283,MATCH(Summary!$C$2,Algae!$A$2:$A$283,0),MATCH(Summary!B62,Algae!$A$2:$ZV$2,0))</f>
        <v>2016</v>
      </c>
      <c r="D62" s="9">
        <f>INDEX(Algae!$A$2:$ZV$283,MATCH(Summary!$D$2,Algae!$A$2:$A$283,0),MATCH(Summary!B62,Algae!$A$2:$ZV$2,0))</f>
        <v>2014</v>
      </c>
      <c r="E62" s="13" t="str">
        <f>INDEX(Algae!$A$2:$ZV$283,MATCH(Summary!$E$2,Algae!$A$2:$A$283,0),MATCH(Summary!B62,Algae!$A$2:$ZV$2,0))</f>
        <v>Open Pond Algae Farm Design Case: Average of 10 Acre Pond Designs (Updated to 2014$)</v>
      </c>
      <c r="F62" s="13" t="str">
        <f>INDEX(Algae!$A$2:$ZV$283,MATCH(Summary!$F$2,Algae!$A$2:$A$283,0),MATCH(Summary!B62,Algae!$A$2:$ZV$2,0))</f>
        <v>Dewatered Algal Biomass (20% solids)</v>
      </c>
      <c r="G62" s="13" t="str">
        <f>INDEX(Algae!$A$2:$ZV$283,MATCH(Summary!$G$2,Algae!$A$2:$A$283,0),MATCH(Summary!B62,Algae!$A$2:$ZV$2,0))</f>
        <v>Algae</v>
      </c>
      <c r="H62" s="190" t="str">
        <f>INDEX(Algae!$A$2:$ZV$283,MATCH(Summary!$H$2,Algae!$A$2:$A$283,0),MATCH(Summary!B62,Algae!$A$2:$ZV$2,0))</f>
        <v>$45/tonne CO2</v>
      </c>
      <c r="I62" s="16" t="str">
        <f>INDEX(Algae!$A$2:$ZV$283,MATCH(Summary!$I$2,Algae!$A$2:$A$283,0),MATCH(Summary!B62,Algae!$A$2:$ZV$2,0))</f>
        <v>5,000 acres</v>
      </c>
      <c r="J62" s="15"/>
    </row>
    <row r="63" spans="1:11" ht="50.15" customHeight="1" x14ac:dyDescent="0.35">
      <c r="A63" s="11" t="s">
        <v>439</v>
      </c>
      <c r="B63" s="78" t="s">
        <v>613</v>
      </c>
      <c r="C63" s="9">
        <f>INDEX(Algae!$A$2:$ZV$283,MATCH(Summary!$C$2,Algae!$A$2:$A$283,0),MATCH(Summary!B63,Algae!$A$2:$ZV$2,0))</f>
        <v>2020</v>
      </c>
      <c r="D63" s="9">
        <f>INDEX(Algae!$A$2:$ZV$283,MATCH(Summary!$D$2,Algae!$A$2:$A$283,0),MATCH(Summary!B63,Algae!$A$2:$ZV$2,0))</f>
        <v>2016</v>
      </c>
      <c r="E63" s="13" t="str">
        <f>INDEX(Algae!$A$2:$ZV$283,MATCH(Summary!$E$2,Algae!$A$2:$A$283,0),MATCH(Summary!B63,Algae!$A$2:$ZV$2,0))</f>
        <v>Combined Algae Processing (CAP) 2019 SOT: Acids Pathway</v>
      </c>
      <c r="F63" s="13" t="str">
        <f>INDEX(Algae!$A$2:$ZV$283,MATCH(Summary!$F$2,Algae!$A$2:$A$283,0),MATCH(Summary!B63,Algae!$A$2:$ZV$2,0))</f>
        <v>Renewable Diesel Blendstock, Naphtha</v>
      </c>
      <c r="G63" s="13" t="str">
        <f>INDEX(Algae!$A$2:$ZV$283,MATCH(Summary!$G$2,Algae!$A$2:$A$283,0),MATCH(Summary!B63,Algae!$A$2:$ZV$2,0))</f>
        <v>Algae</v>
      </c>
      <c r="H63" s="190">
        <f>INDEX(Algae!$A$2:$ZV$283,MATCH(Summary!$H$2,Algae!$A$2:$A$283,0),MATCH(Summary!B63,Algae!$A$2:$ZV$2,0))</f>
        <v>670</v>
      </c>
      <c r="I63" s="16" t="str">
        <f>INDEX(Algae!$A$2:$ZV$283,MATCH(Summary!$I$2,Algae!$A$2:$A$283,0),MATCH(Summary!B63,Algae!$A$2:$ZV$2,0))</f>
        <v>5,000 acres</v>
      </c>
      <c r="J63" s="15">
        <f>INDEX(Algae!$A$2:$ZV$283,MATCH(Summary!$J$2,Algae!$A$2:$A$283,0),MATCH(Summary!B63,Algae!$A$2:$ZV$2,0))</f>
        <v>90.98</v>
      </c>
      <c r="K63" s="191">
        <f>INDEX(Algae!$A$2:$ZV$283,MATCH(Summary!$K$2,Algae!$A$2:$A$283,0),MATCH(Summary!B63,Algae!$A$2:$ZV$2,0))</f>
        <v>9.5</v>
      </c>
    </row>
    <row r="64" spans="1:11" ht="50.15" customHeight="1" x14ac:dyDescent="0.35">
      <c r="A64" s="11" t="s">
        <v>440</v>
      </c>
      <c r="B64" s="219" t="s">
        <v>614</v>
      </c>
      <c r="C64" s="9">
        <f>INDEX(Algae!$A$2:$ZV$283,MATCH(Summary!$C$2,Algae!$A$2:$A$283,0),MATCH(Summary!B64,Algae!$A$2:$ZV$2,0))</f>
        <v>2020</v>
      </c>
      <c r="D64" s="9">
        <f>INDEX(Algae!$A$2:$ZV$283,MATCH(Summary!$D$2,Algae!$A$2:$A$283,0),MATCH(Summary!B64,Algae!$A$2:$ZV$2,0))</f>
        <v>2016</v>
      </c>
      <c r="E64" s="13" t="str">
        <f>INDEX(Algae!$A$2:$ZV$283,MATCH(Summary!$E$2,Algae!$A$2:$A$283,0),MATCH(Summary!B64,Algae!$A$2:$ZV$2,0))</f>
        <v>Combined Algae Processing (CAP) 2019 SOT: BDO Pathway</v>
      </c>
      <c r="F64" s="13" t="str">
        <f>INDEX(Algae!$A$2:$ZV$283,MATCH(Summary!$F$2,Algae!$A$2:$A$283,0),MATCH(Summary!B64,Algae!$A$2:$ZV$2,0))</f>
        <v>Renewable Diesel Blendstock, Naphtha</v>
      </c>
      <c r="G64" s="13" t="str">
        <f>INDEX(Algae!$A$2:$ZV$283,MATCH(Summary!$G$2,Algae!$A$2:$A$283,0),MATCH(Summary!B64,Algae!$A$2:$ZV$2,0))</f>
        <v>Algae</v>
      </c>
      <c r="H64" s="190">
        <f>INDEX(Algae!$A$2:$ZV$283,MATCH(Summary!$H$2,Algae!$A$2:$A$283,0),MATCH(Summary!B64,Algae!$A$2:$ZV$2,0))</f>
        <v>670</v>
      </c>
      <c r="I64" s="16" t="str">
        <f>INDEX(Algae!$A$2:$ZV$283,MATCH(Summary!$I$2,Algae!$A$2:$A$283,0),MATCH(Summary!B64,Algae!$A$2:$ZV$2,0))</f>
        <v>5,000 acres</v>
      </c>
      <c r="J64" s="15">
        <f>INDEX(Algae!$A$2:$ZV$283,MATCH(Summary!$J$2,Algae!$A$2:$A$283,0),MATCH(Summary!B64,Algae!$A$2:$ZV$2,0))</f>
        <v>91.38</v>
      </c>
      <c r="K64" s="191">
        <f>INDEX(Algae!$A$2:$ZV$283,MATCH(Summary!$K$2,Algae!$A$2:$A$283,0),MATCH(Summary!B64,Algae!$A$2:$ZV$2,0))</f>
        <v>9.8800000000000008</v>
      </c>
    </row>
    <row r="65" spans="1:10" ht="50.15" customHeight="1" x14ac:dyDescent="0.35">
      <c r="A65" s="11" t="s">
        <v>441</v>
      </c>
      <c r="B65" s="219" t="s">
        <v>568</v>
      </c>
      <c r="C65" s="9">
        <f>INDEX(Algae!$A$2:$ZV$283,MATCH(Summary!$C$2,Algae!$A$2:$A$283,0),MATCH(Summary!B65,Algae!$A$2:$ZV$2,0))</f>
        <v>2020</v>
      </c>
      <c r="D65" s="9">
        <f>INDEX(Algae!$A$2:$ZV$283,MATCH(Summary!$D$2,Algae!$A$2:$A$283,0),MATCH(Summary!B65,Algae!$A$2:$ZV$2,0))</f>
        <v>2016</v>
      </c>
      <c r="E65" s="13" t="str">
        <f>INDEX(Algae!$A$2:$ZV$283,MATCH(Summary!$E$2,Algae!$A$2:$A$283,0),MATCH(Summary!B65,Algae!$A$2:$ZV$2,0))</f>
        <v>Open Pond Algae Farm Cultivation 2019 SOT: Florida Algae (FA) Evaporation MBSP Scenario</v>
      </c>
      <c r="F65" s="13" t="str">
        <f>INDEX(Algae!$A$2:$ZV$283,MATCH(Summary!$F$2,Algae!$A$2:$A$283,0),MATCH(Summary!B65,Algae!$A$2:$ZV$2,0))</f>
        <v>Dewatered Algal Biomass</v>
      </c>
      <c r="G65" s="13" t="str">
        <f>INDEX(Algae!$A$2:$ZV$283,MATCH(Summary!$G$2,Algae!$A$2:$A$283,0),MATCH(Summary!B65,Algae!$A$2:$ZV$2,0))</f>
        <v>Algae</v>
      </c>
      <c r="H65" s="190" t="str">
        <f>INDEX(Algae!$A$2:$ZV$283,MATCH(Summary!$H$2,Algae!$A$2:$A$283,0),MATCH(Summary!B65,Algae!$A$2:$ZV$2,0))</f>
        <v>$45/tonne CO2</v>
      </c>
      <c r="I65" s="16" t="str">
        <f>INDEX(Algae!$A$2:$ZV$283,MATCH(Summary!$I$2,Algae!$A$2:$A$283,0),MATCH(Summary!B65,Algae!$A$2:$ZV$2,0))</f>
        <v>5,000 acres</v>
      </c>
      <c r="J65" s="15"/>
    </row>
    <row r="66" spans="1:10" ht="50.15" customHeight="1" x14ac:dyDescent="0.35"/>
    <row r="67" spans="1:10" ht="50.15" customHeight="1" x14ac:dyDescent="0.35"/>
    <row r="68" spans="1:10" ht="50.15" customHeight="1" x14ac:dyDescent="0.35"/>
    <row r="69" spans="1:10" ht="50.15" customHeight="1" x14ac:dyDescent="0.35"/>
    <row r="70" spans="1:10" ht="50.15" customHeight="1" x14ac:dyDescent="0.35"/>
    <row r="71" spans="1:10" ht="50.15" customHeight="1" x14ac:dyDescent="0.35"/>
    <row r="72" spans="1:10" ht="50.15" customHeight="1" x14ac:dyDescent="0.35"/>
    <row r="73" spans="1:10" ht="50.15" customHeight="1" x14ac:dyDescent="0.35"/>
    <row r="74" spans="1:10" ht="50.15" customHeight="1" x14ac:dyDescent="0.35"/>
    <row r="75" spans="1:10" ht="50.15" customHeight="1" x14ac:dyDescent="0.35"/>
    <row r="76" spans="1:10" ht="50.15" customHeight="1" x14ac:dyDescent="0.35"/>
    <row r="77" spans="1:10" ht="50.15" customHeight="1" x14ac:dyDescent="0.35"/>
    <row r="78" spans="1:10" ht="50.15" customHeight="1" x14ac:dyDescent="0.35"/>
    <row r="79" spans="1:10" ht="50.15" customHeight="1" x14ac:dyDescent="0.35"/>
    <row r="80" spans="1:10" ht="50.15" customHeight="1" x14ac:dyDescent="0.35"/>
    <row r="81" ht="50.15" customHeight="1" x14ac:dyDescent="0.35"/>
    <row r="82" ht="50.15" customHeight="1" x14ac:dyDescent="0.35"/>
    <row r="83" ht="50.15" customHeight="1" x14ac:dyDescent="0.35"/>
    <row r="84" ht="50.15" customHeight="1" x14ac:dyDescent="0.35"/>
    <row r="85" ht="50.15" customHeight="1" x14ac:dyDescent="0.35"/>
    <row r="86" ht="50.15" customHeight="1" x14ac:dyDescent="0.35"/>
    <row r="87" ht="50.15" customHeight="1" x14ac:dyDescent="0.35"/>
    <row r="88" ht="50.15" customHeight="1" x14ac:dyDescent="0.35"/>
    <row r="89" ht="50.15" customHeight="1" x14ac:dyDescent="0.35"/>
    <row r="90" ht="50.15" customHeight="1" x14ac:dyDescent="0.35"/>
    <row r="91" ht="50.15" customHeight="1" x14ac:dyDescent="0.35"/>
    <row r="92" ht="50.15" customHeight="1" x14ac:dyDescent="0.35"/>
    <row r="93" ht="50.15" customHeight="1" x14ac:dyDescent="0.35"/>
    <row r="94" ht="50.15" customHeight="1" x14ac:dyDescent="0.35"/>
    <row r="95" ht="50.15" customHeight="1" x14ac:dyDescent="0.35"/>
    <row r="96" ht="50.15" customHeight="1" x14ac:dyDescent="0.35"/>
    <row r="97" ht="50.15" customHeight="1" x14ac:dyDescent="0.35"/>
    <row r="98" ht="50.15" customHeight="1" x14ac:dyDescent="0.35"/>
    <row r="99" ht="50.15" customHeight="1" x14ac:dyDescent="0.35"/>
    <row r="100" ht="50.15" customHeight="1" x14ac:dyDescent="0.35"/>
    <row r="101" ht="50.15" customHeight="1" x14ac:dyDescent="0.35"/>
    <row r="102" ht="50.15" customHeight="1" x14ac:dyDescent="0.35"/>
    <row r="103" ht="50.15" customHeight="1" x14ac:dyDescent="0.35"/>
    <row r="104" ht="50.15" customHeight="1" x14ac:dyDescent="0.35"/>
    <row r="105" ht="50.15" customHeight="1" x14ac:dyDescent="0.35"/>
    <row r="106" ht="50.15" customHeight="1" x14ac:dyDescent="0.35"/>
    <row r="107" ht="50.15" customHeight="1" x14ac:dyDescent="0.35"/>
    <row r="108" ht="50.15" customHeight="1" x14ac:dyDescent="0.35"/>
    <row r="109" ht="50.15" customHeight="1" x14ac:dyDescent="0.35"/>
    <row r="110" ht="50.15" customHeight="1" x14ac:dyDescent="0.35"/>
    <row r="111" ht="50.15" customHeight="1" x14ac:dyDescent="0.35"/>
    <row r="112" ht="50.15" customHeight="1" x14ac:dyDescent="0.35"/>
    <row r="113" ht="50.15" customHeight="1" x14ac:dyDescent="0.35"/>
    <row r="114" ht="50.15" customHeight="1" x14ac:dyDescent="0.35"/>
    <row r="115" ht="50.15" customHeight="1" x14ac:dyDescent="0.35"/>
    <row r="116" ht="50.15" customHeight="1" x14ac:dyDescent="0.35"/>
    <row r="117" ht="50.15" customHeight="1" x14ac:dyDescent="0.35"/>
    <row r="118" ht="50.15" customHeight="1" x14ac:dyDescent="0.35"/>
    <row r="119" ht="50.15" customHeight="1" x14ac:dyDescent="0.35"/>
    <row r="120" ht="50.15" customHeight="1" x14ac:dyDescent="0.35"/>
    <row r="121" ht="50.15" customHeight="1" x14ac:dyDescent="0.35"/>
    <row r="122" ht="50.15" customHeight="1" x14ac:dyDescent="0.35"/>
    <row r="123" ht="50.15" customHeight="1" x14ac:dyDescent="0.35"/>
    <row r="124" ht="50.15" customHeight="1" x14ac:dyDescent="0.35"/>
    <row r="125" ht="50.15" customHeight="1" x14ac:dyDescent="0.35"/>
    <row r="126" ht="50.15" customHeight="1" x14ac:dyDescent="0.35"/>
    <row r="127" ht="50.15" customHeight="1" x14ac:dyDescent="0.35"/>
    <row r="128" ht="50.15" customHeight="1" x14ac:dyDescent="0.35"/>
    <row r="129" ht="50.15" customHeight="1" x14ac:dyDescent="0.35"/>
    <row r="130" ht="50.15" customHeight="1" x14ac:dyDescent="0.35"/>
    <row r="131" ht="50.15" customHeight="1" x14ac:dyDescent="0.35"/>
    <row r="132" ht="50.15" customHeight="1" x14ac:dyDescent="0.35"/>
    <row r="133" ht="50.15" customHeight="1" x14ac:dyDescent="0.35"/>
    <row r="134" ht="50.15" customHeight="1" x14ac:dyDescent="0.35"/>
    <row r="135" ht="50.15" customHeight="1" x14ac:dyDescent="0.35"/>
    <row r="136" ht="50.15" customHeight="1" x14ac:dyDescent="0.35"/>
    <row r="137" ht="50.15" customHeight="1" x14ac:dyDescent="0.35"/>
    <row r="138" ht="50.15" customHeight="1" x14ac:dyDescent="0.35"/>
    <row r="139" ht="50.15" customHeight="1" x14ac:dyDescent="0.35"/>
    <row r="140" ht="50.15" customHeight="1" x14ac:dyDescent="0.35"/>
    <row r="141" ht="50.15" customHeight="1" x14ac:dyDescent="0.35"/>
    <row r="142" ht="50.15" customHeight="1" x14ac:dyDescent="0.35"/>
    <row r="143" ht="50.15" customHeight="1" x14ac:dyDescent="0.35"/>
    <row r="144" ht="50.15" customHeight="1" x14ac:dyDescent="0.35"/>
    <row r="145" ht="50.15" customHeight="1" x14ac:dyDescent="0.35"/>
    <row r="146" ht="50.15" customHeight="1" x14ac:dyDescent="0.35"/>
    <row r="147" ht="50.15" customHeight="1" x14ac:dyDescent="0.35"/>
    <row r="148" ht="50.15" customHeight="1" x14ac:dyDescent="0.35"/>
    <row r="149" ht="50.15" customHeight="1" x14ac:dyDescent="0.35"/>
    <row r="150" ht="50.15" customHeight="1" x14ac:dyDescent="0.35"/>
    <row r="151" ht="50.15" customHeight="1" x14ac:dyDescent="0.35"/>
    <row r="152" ht="50.15" customHeight="1" x14ac:dyDescent="0.35"/>
    <row r="153" ht="50.15" customHeight="1" x14ac:dyDescent="0.35"/>
    <row r="154" ht="50.15" customHeight="1" x14ac:dyDescent="0.35"/>
    <row r="155" ht="50.15" customHeight="1" x14ac:dyDescent="0.35"/>
    <row r="156" ht="50.15" customHeight="1" x14ac:dyDescent="0.35"/>
    <row r="157" ht="50.15" customHeight="1" x14ac:dyDescent="0.35"/>
    <row r="158" ht="50.15" customHeight="1" x14ac:dyDescent="0.35"/>
    <row r="159" ht="50.15" customHeight="1" x14ac:dyDescent="0.35"/>
    <row r="160" ht="50.15" customHeight="1" x14ac:dyDescent="0.35"/>
    <row r="161" ht="50.15" customHeight="1" x14ac:dyDescent="0.35"/>
    <row r="162" ht="50.15" customHeight="1" x14ac:dyDescent="0.35"/>
    <row r="163" ht="50.15" customHeight="1" x14ac:dyDescent="0.35"/>
    <row r="164" ht="50.15" customHeight="1" x14ac:dyDescent="0.35"/>
    <row r="165" ht="50.15" customHeight="1" x14ac:dyDescent="0.35"/>
    <row r="166" ht="50.15" customHeight="1" x14ac:dyDescent="0.35"/>
    <row r="167" ht="50.15" customHeight="1" x14ac:dyDescent="0.35"/>
    <row r="168" ht="50.15" customHeight="1" x14ac:dyDescent="0.35"/>
    <row r="169" ht="50.15" customHeight="1" x14ac:dyDescent="0.35"/>
    <row r="170" ht="50.15" customHeight="1" x14ac:dyDescent="0.35"/>
    <row r="171" ht="50.15" customHeight="1" x14ac:dyDescent="0.35"/>
    <row r="172" ht="50.15" customHeight="1" x14ac:dyDescent="0.35"/>
    <row r="173" ht="50.15" customHeight="1" x14ac:dyDescent="0.35"/>
    <row r="174" ht="50.15" customHeight="1" x14ac:dyDescent="0.35"/>
  </sheetData>
  <hyperlinks>
    <hyperlink ref="B4" location="'Gasification IDL'!B2" display="'Gasification IDL'!B2" xr:uid="{31675752-D0BE-49B2-9518-6A339AFF4D3D}"/>
    <hyperlink ref="B5" location="'Gasification IDL'!C2" display="'Gasification IDL'!C2" xr:uid="{7C666604-62DC-4C56-95D9-475068C2555D}"/>
    <hyperlink ref="B6" location="'Gasification IDL'!D2" display="'Gasification IDL'!D2" xr:uid="{292196CD-369C-466D-B8EC-87D0B76B973D}"/>
    <hyperlink ref="B7" location="'Gasification IDL'!E2" display="'Gasification IDL'!E2" xr:uid="{4FBD8D56-4609-41F5-947F-DA5BE88A974E}"/>
    <hyperlink ref="B8" location="'Gasification IDL'!F2" display="'Gasification IDL'!F2" xr:uid="{61AC1B01-C98B-4723-AE69-53EA7B1B56A5}"/>
    <hyperlink ref="B9" location="'Gasification IDL'!G2" display="'Gasification IDL'!G2" xr:uid="{E4B338F3-0A68-4DDF-8621-29A20C8FECF5}"/>
    <hyperlink ref="B10" location="'Gasification IDL'!H2" display="'Gasification IDL'!H2" xr:uid="{3D3ABD38-EA0D-4702-BF26-E07FEB49623A}"/>
    <hyperlink ref="B11" location="'Gasification IDL'!I2" display="'Gasification IDL'!I2" xr:uid="{F5EC14A4-4FA4-4109-99AE-70BBD7167A02}"/>
    <hyperlink ref="B13" location="'Gasification IDL'!K2" display="'Gasification IDL'!K2" xr:uid="{5EEBCB32-34A2-4459-BA76-0C2E4D15C8AC}"/>
    <hyperlink ref="B14" location="'Gasification IDL'!L2" display="'Gasification IDL'!L2" xr:uid="{691790EA-0C3D-4F86-91A7-095E1C819C29}"/>
    <hyperlink ref="B15" location="'Gasification IDL'!M2" display="'Gasification IDL'!M2" xr:uid="{B44D23CB-8230-478B-86A4-758C3A9A252B}"/>
    <hyperlink ref="B16" location="'Gasification IDL'!N2" display="'Gasification IDL'!N2" xr:uid="{B8986169-6658-4512-A275-970A358126CC}"/>
    <hyperlink ref="B17" location="'Gasification IDL'!O2" display="'Gasification IDL'!O2" xr:uid="{E68A23E2-182B-433E-8F8F-6DF1C953F666}"/>
    <hyperlink ref="B18" location="'Gasification IDL'!P2" display="'Gasification IDL'!P2" xr:uid="{E7AA9AF0-88AE-4646-B359-3C993771D52E}"/>
    <hyperlink ref="B19" location="'Gasification IDL'!Q2" display="'Gasification IDL'!Q2" xr:uid="{9D888A6B-B79C-46C1-B27F-0FACE8107A88}"/>
    <hyperlink ref="B26" location="Pyrolysis!B2" display="Pyrolysis!B2" xr:uid="{C87EDB89-BA30-4713-9192-37FE93B53C6E}"/>
    <hyperlink ref="B27" location="Pyrolysis!C2" display="Pyrolysis!C2" xr:uid="{A00B1F48-741B-47FA-BC76-A7B5948EA5E1}"/>
    <hyperlink ref="B28" location="Pyrolysis!D2" display="Pyrolysis!D2" xr:uid="{97F52093-9C76-4C37-9E5D-F287280C37B8}"/>
    <hyperlink ref="B29" location="Pyrolysis!E2" display="Pyrolysis!E2" xr:uid="{87E83247-7632-4F1A-93E0-26492087783D}"/>
    <hyperlink ref="B30" location="Pyrolysis!F2" display="Pyrolysis!F2" xr:uid="{34D1D4E5-C996-4F0A-BB7A-58B6131D8F76}"/>
    <hyperlink ref="B31" location="Pyrolysis!G2" display="Pyrolysis!G2" xr:uid="{D4AE1908-99B7-4945-8D48-721ABCEBC216}"/>
    <hyperlink ref="B32" location="Pyrolysis!H2" display="Pyrolysis!H2" xr:uid="{ED3101CE-625E-46E8-AC12-89BC58DB4ABB}"/>
    <hyperlink ref="B39" location="Biochemical!C2" display="Biochemical!C2" xr:uid="{2DD5694A-FE85-4FFE-AE57-228AD4555347}"/>
    <hyperlink ref="B40" location="Biochemical!D2" display="Biochemical!D2" xr:uid="{FC7B2456-F21C-4653-8BCE-00FF31B72A89}"/>
    <hyperlink ref="B41" location="Biochemical!E2" display="Biochemical!E2" xr:uid="{23F4DB79-9320-402A-9D95-9A6BB13E13A0}"/>
    <hyperlink ref="B42" location="Biochemical!F2" display="Biochemical!F2" xr:uid="{5BD100BF-514B-4ED2-9DE8-3F2EF96094EC}"/>
    <hyperlink ref="B51" location="HEFA!B2" display="HEFA!B2" xr:uid="{95FBECC6-E8E7-4ED5-9177-6E61835A0EFB}"/>
    <hyperlink ref="B52" location="HEFA!C2" display="HEFA!C2" xr:uid="{911BAE44-8AA9-427E-B2DE-E084731F03EF}"/>
    <hyperlink ref="B55" location="HTL!B2" display="HTL!B2" xr:uid="{6BF0AFA7-9E56-4B8A-9814-4813B645A9A8}"/>
    <hyperlink ref="B56" location="HTL!C2" display="HTL!C2" xr:uid="{00F5B73E-CF0E-4B06-9FCF-EEF09027405B}"/>
    <hyperlink ref="B60" location="Algae!B2" display="Algae!B2" xr:uid="{6ABF6214-E084-41EA-9AB0-50DF892288EF}"/>
    <hyperlink ref="B61" location="Algae!C2" display="Algae!C2" xr:uid="{5242FAB0-12B0-4126-80D1-8217AB026528}"/>
    <hyperlink ref="B62" location="Algae!D2" display="Algae!D2" xr:uid="{D53A7961-A4CA-4710-B3A4-D14128FA8CED}"/>
    <hyperlink ref="B44" location="Biochemical!H2" display="Biochemical!H2" xr:uid="{ED382419-F20B-4F28-AD0B-B0E81D543981}"/>
    <hyperlink ref="B20" location="'Gasification IDL'!R2" display="'Gasification IDL'!R2" xr:uid="{B624DEC3-3BC1-431E-909F-409FB7810B1F}"/>
    <hyperlink ref="B21" location="'Gasification IDL'!S2" display="'Gasification IDL'!S2" xr:uid="{A7DD47BC-803F-4455-BE48-EE5A23AFF7FA}"/>
    <hyperlink ref="B12" location="'Gasification IDL'!J1" display="'Gasification IDL'!J1" xr:uid="{D96415A2-4B04-488D-AB41-E7B4DE873DBF}"/>
    <hyperlink ref="B43" location="Biochemical!G2" display="Biochemical!G2" xr:uid="{B418D714-DA75-4BB0-A4D5-53ADE9F5B2BF}"/>
    <hyperlink ref="B23" location="'Gasification IDL'!U2" display="High-Octane Gasoline from Lignocellulosic Biomass via Syngas and Methanol/Dimethyl Ether Intermediates: 2019 State of Technology (2022 Projection)" xr:uid="{80922D23-3609-40A7-BB3B-F40DF314E1E3}"/>
    <hyperlink ref="B22" location="'Gasification IDL'!T2" display="High-Octane Gasoline from Lignocellulosic Biomass via Syngas and Methanol/Dimethyl Ether Intermediates: 2019 State of Technology (2019 SOT)" xr:uid="{2402BEAA-5F44-43ED-9CD5-0FF196359849}"/>
    <hyperlink ref="B45" location="Biochemical!I2" display="Biochemical Conversion of Lignocellulosic Biomass to Hydrocarbon Fuels and Products: 2019 State of Technology and Future Research - BDO Pathway (Burn Lignin Case)" xr:uid="{1295D8D1-C105-49D4-BEF7-C9AC5200639C}"/>
    <hyperlink ref="B46" location="Biochemical!J2" display="Biochemical Conversion of Lignocellulosic Biomass to Hydrocarbon Fuels and Products: 2019 State of Technology and Future Research - BDO Pathway (Convert Lignin - &quot;Base&quot; Case)" xr:uid="{5F014112-49F9-42E0-82CE-AEF252A1DB18}"/>
    <hyperlink ref="B47" location="Biochemical!L2" display="Biochemical Conversion of Lignocellulosic Biomass to Hydrocarbon Fuels and Products: 2019 State of Technology and Future Research - Acids Pathway (Burn Lignin Case) " xr:uid="{0FFA1FE0-AFA8-467B-9B0D-E5507DF5F1B8}"/>
    <hyperlink ref="B48" location="Biochemical!M2" display="Biochemical Conversion of Lignocellulosic Biomass to Hydrocarbon Fuels and Products: 2019 State of Technology and Future Research - Acids Pathway (Convert Lignin - &quot;Base&quot; Case)" xr:uid="{DA5264E6-526F-4EC8-8F3D-841300C8A913}"/>
    <hyperlink ref="B63" location="Algae!E2" display="Algal Biomass Conversion to Fuels via Combined Algae Processing (CAP): 2019 State of Technology and Future Research - Acids Pathway" xr:uid="{A9D5B703-6920-4C50-A30D-8E6D0474732C}"/>
    <hyperlink ref="B64" location="Algae!F2" display="Algal Biomass Conversion to Fuels via Combined Algae Processing (CAP): 2019 State of Technology and Future Research - BDO Pathway" xr:uid="{C9AD6530-60D2-4CF2-8A17-E68BD6C1B5BC}"/>
    <hyperlink ref="B65" location="Summary!G2" display="Algal Biomass Production via Open Pond Algae Farm Cultivation: 2019 State of Technology and Future Research" xr:uid="{F191CED9-3160-4CE4-AB62-726D8DC6CABF}"/>
    <hyperlink ref="B35" location="Pyrolysis!K2" display="Ex Situ Catalytic Fast Pyrolysis of Lignocellulosic Biomass to Hydrocarbon Fuels: 2019 State of Technology and Future Research - Ex-Situ CFP 2020 Projection with Co-Hydroprocessing Option" xr:uid="{FCB46EC6-348E-457E-BDEF-3FD03DACB048}"/>
    <hyperlink ref="B34" location="Pyrolysis!J2" display="Ex Situ Catalytic Fast Pyrolysis of Lignocellulosic Biomass to Hydrocarbon Fuels: 2019 State of Technology and Future Research - Ex-Situ CFP 2019 SOT" xr:uid="{E43647BF-7A63-47AE-806D-CF528E6E1B8B}"/>
    <hyperlink ref="B33" location="Pyrolysis!I2" display="Ex Situ Catalytic Fast Pyrolysis of Lignocellulosic Biomass to Hydrocarbon Fuels: 2018 State of Technology and Future Research - Ex-Situ Fixed Bed 2022 Projection" xr:uid="{13211C1C-852F-45DA-9411-8F8BD50AB022}"/>
    <hyperlink ref="B38" location="Biochemical!B2" display="Biochemical!B2" xr:uid="{1CEEB62C-FE69-47E8-8DC2-F2165EF177A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170"/>
  <sheetViews>
    <sheetView workbookViewId="0">
      <pane xSplit="1" ySplit="7" topLeftCell="T8" activePane="bottomRight" state="frozen"/>
      <selection pane="topRight" activeCell="B1" sqref="B1"/>
      <selection pane="bottomLeft" activeCell="A8" sqref="A8"/>
      <selection pane="bottomRight" activeCell="P12" sqref="P12"/>
    </sheetView>
  </sheetViews>
  <sheetFormatPr defaultRowHeight="14.5" x14ac:dyDescent="0.35"/>
  <cols>
    <col min="1" max="1" width="50.54296875" style="1" customWidth="1"/>
    <col min="2" max="2" width="45" style="2" customWidth="1"/>
    <col min="3" max="3" width="49.1796875" customWidth="1"/>
    <col min="4" max="4" width="43.26953125" customWidth="1"/>
    <col min="5" max="5" width="40.7265625" customWidth="1"/>
    <col min="6" max="6" width="42.1796875" customWidth="1"/>
    <col min="7" max="7" width="44.81640625" customWidth="1"/>
    <col min="8" max="8" width="45" customWidth="1"/>
    <col min="9" max="9" width="43.453125" customWidth="1"/>
    <col min="10" max="10" width="60.54296875" customWidth="1"/>
    <col min="11" max="12" width="55.7265625" style="81" customWidth="1"/>
    <col min="13" max="15" width="55.7265625" customWidth="1"/>
    <col min="16" max="17" width="47.7265625" customWidth="1"/>
    <col min="18" max="18" width="55.1796875" customWidth="1"/>
    <col min="19" max="19" width="57.26953125" customWidth="1"/>
    <col min="20" max="21" width="55.1796875" style="81" customWidth="1"/>
  </cols>
  <sheetData>
    <row r="1" spans="1:21" ht="18.5" x14ac:dyDescent="0.45">
      <c r="A1" s="166" t="s">
        <v>391</v>
      </c>
      <c r="B1" s="6"/>
      <c r="C1" s="6"/>
      <c r="E1" s="6"/>
      <c r="F1" s="6"/>
      <c r="G1" s="6"/>
      <c r="H1" s="6"/>
      <c r="I1" s="6"/>
      <c r="J1" s="13"/>
      <c r="K1" s="149"/>
      <c r="L1" s="149"/>
      <c r="M1" s="149"/>
      <c r="N1" s="149"/>
      <c r="O1" s="149"/>
      <c r="P1" s="6"/>
      <c r="Q1" s="6"/>
      <c r="R1" s="6"/>
      <c r="S1" s="6"/>
      <c r="T1" s="149"/>
      <c r="U1" s="149"/>
    </row>
    <row r="2" spans="1:21" s="4" customFormat="1" ht="77.25" customHeight="1" x14ac:dyDescent="0.35">
      <c r="A2" s="4" t="s">
        <v>0</v>
      </c>
      <c r="B2" s="13" t="s">
        <v>672</v>
      </c>
      <c r="C2" s="13" t="s">
        <v>682</v>
      </c>
      <c r="D2" s="80" t="s">
        <v>673</v>
      </c>
      <c r="E2" s="80" t="s">
        <v>767</v>
      </c>
      <c r="F2" s="13" t="s">
        <v>5</v>
      </c>
      <c r="G2" s="13" t="s">
        <v>731</v>
      </c>
      <c r="H2" s="13" t="s">
        <v>732</v>
      </c>
      <c r="I2" s="13" t="s">
        <v>733</v>
      </c>
      <c r="J2" s="13" t="s">
        <v>329</v>
      </c>
      <c r="K2" s="80" t="s">
        <v>734</v>
      </c>
      <c r="L2" s="207" t="s">
        <v>735</v>
      </c>
      <c r="M2" s="207" t="s">
        <v>736</v>
      </c>
      <c r="N2" s="207" t="s">
        <v>737</v>
      </c>
      <c r="O2" s="207" t="s">
        <v>738</v>
      </c>
      <c r="P2" s="13" t="s">
        <v>453</v>
      </c>
      <c r="Q2" s="13" t="s">
        <v>454</v>
      </c>
      <c r="R2" s="13" t="s">
        <v>493</v>
      </c>
      <c r="S2" s="13" t="s">
        <v>496</v>
      </c>
      <c r="T2" s="207" t="s">
        <v>605</v>
      </c>
      <c r="U2" s="207" t="s">
        <v>606</v>
      </c>
    </row>
    <row r="3" spans="1:21" ht="69" customHeight="1" x14ac:dyDescent="0.35">
      <c r="A3" s="4" t="s">
        <v>330</v>
      </c>
      <c r="B3" s="13" t="s">
        <v>171</v>
      </c>
      <c r="C3" s="13" t="s">
        <v>171</v>
      </c>
      <c r="D3" s="80" t="s">
        <v>246</v>
      </c>
      <c r="E3" s="80" t="s">
        <v>246</v>
      </c>
      <c r="F3" s="13" t="s">
        <v>6</v>
      </c>
      <c r="G3" s="13" t="s">
        <v>193</v>
      </c>
      <c r="H3" s="13" t="s">
        <v>193</v>
      </c>
      <c r="I3" s="13" t="s">
        <v>193</v>
      </c>
      <c r="J3" s="13" t="s">
        <v>331</v>
      </c>
      <c r="K3" s="80" t="s">
        <v>427</v>
      </c>
      <c r="L3" s="80" t="s">
        <v>427</v>
      </c>
      <c r="M3" s="13" t="s">
        <v>427</v>
      </c>
      <c r="N3" s="13" t="s">
        <v>427</v>
      </c>
      <c r="O3" s="13" t="s">
        <v>427</v>
      </c>
      <c r="P3" s="13" t="s">
        <v>411</v>
      </c>
      <c r="Q3" s="13" t="s">
        <v>411</v>
      </c>
      <c r="R3" s="13" t="s">
        <v>494</v>
      </c>
      <c r="S3" s="13" t="s">
        <v>494</v>
      </c>
      <c r="T3" s="207" t="s">
        <v>681</v>
      </c>
      <c r="U3" s="207" t="s">
        <v>681</v>
      </c>
    </row>
    <row r="4" spans="1:21" ht="19.5" customHeight="1" x14ac:dyDescent="0.35">
      <c r="A4" s="3" t="s">
        <v>2</v>
      </c>
      <c r="B4" s="7">
        <v>2009</v>
      </c>
      <c r="C4" s="7">
        <v>2009</v>
      </c>
      <c r="D4" s="7">
        <v>2010</v>
      </c>
      <c r="E4" s="7">
        <v>2010</v>
      </c>
      <c r="F4" s="7">
        <v>2011</v>
      </c>
      <c r="G4" s="7">
        <v>2012</v>
      </c>
      <c r="H4" s="7">
        <v>2012</v>
      </c>
      <c r="I4" s="7">
        <v>2012</v>
      </c>
      <c r="J4" s="7">
        <v>2015</v>
      </c>
      <c r="K4" s="143">
        <v>2016</v>
      </c>
      <c r="L4" s="143">
        <v>2016</v>
      </c>
      <c r="M4" s="7">
        <v>2016</v>
      </c>
      <c r="N4" s="7">
        <v>2016</v>
      </c>
      <c r="O4" s="7">
        <v>2016</v>
      </c>
      <c r="P4" s="7">
        <v>2018</v>
      </c>
      <c r="Q4" s="7">
        <v>2018</v>
      </c>
      <c r="R4" s="7">
        <v>2018</v>
      </c>
      <c r="S4" s="7">
        <v>2018</v>
      </c>
      <c r="T4" s="143">
        <v>2020</v>
      </c>
      <c r="U4" s="143">
        <v>2020</v>
      </c>
    </row>
    <row r="5" spans="1:21" ht="31.5" customHeight="1" x14ac:dyDescent="0.35">
      <c r="A5" s="4" t="s">
        <v>3</v>
      </c>
      <c r="B5" s="8" t="s">
        <v>287</v>
      </c>
      <c r="C5" s="8" t="s">
        <v>287</v>
      </c>
      <c r="D5" s="54" t="s">
        <v>245</v>
      </c>
      <c r="E5" s="54" t="s">
        <v>245</v>
      </c>
      <c r="F5" s="8" t="s">
        <v>7</v>
      </c>
      <c r="G5" s="54" t="s">
        <v>194</v>
      </c>
      <c r="H5" s="54" t="s">
        <v>194</v>
      </c>
      <c r="I5" s="54" t="s">
        <v>194</v>
      </c>
      <c r="J5" s="8" t="s">
        <v>327</v>
      </c>
      <c r="K5" s="140" t="s">
        <v>428</v>
      </c>
      <c r="L5" s="140" t="s">
        <v>428</v>
      </c>
      <c r="M5" s="8" t="s">
        <v>428</v>
      </c>
      <c r="N5" s="8" t="s">
        <v>428</v>
      </c>
      <c r="O5" s="8" t="s">
        <v>428</v>
      </c>
      <c r="P5" s="54" t="s">
        <v>504</v>
      </c>
      <c r="Q5" s="54" t="s">
        <v>504</v>
      </c>
      <c r="R5" s="8" t="s">
        <v>499</v>
      </c>
      <c r="S5" s="8" t="s">
        <v>499</v>
      </c>
      <c r="T5" s="204" t="s">
        <v>598</v>
      </c>
      <c r="U5" s="204" t="s">
        <v>598</v>
      </c>
    </row>
    <row r="6" spans="1:21" s="11" customFormat="1" ht="35.25" customHeight="1" x14ac:dyDescent="0.35">
      <c r="A6" s="4" t="s">
        <v>225</v>
      </c>
      <c r="B6" s="9" t="s">
        <v>671</v>
      </c>
      <c r="C6" s="9" t="s">
        <v>671</v>
      </c>
      <c r="D6" s="9" t="s">
        <v>247</v>
      </c>
      <c r="E6" s="9" t="s">
        <v>247</v>
      </c>
      <c r="F6" s="9" t="s">
        <v>234</v>
      </c>
      <c r="G6" s="9" t="s">
        <v>235</v>
      </c>
      <c r="H6" s="9" t="s">
        <v>235</v>
      </c>
      <c r="I6" s="9" t="s">
        <v>235</v>
      </c>
      <c r="J6" s="13" t="s">
        <v>674</v>
      </c>
      <c r="K6" s="80" t="s">
        <v>429</v>
      </c>
      <c r="L6" s="80" t="s">
        <v>429</v>
      </c>
      <c r="M6" s="13" t="s">
        <v>429</v>
      </c>
      <c r="N6" s="13" t="s">
        <v>429</v>
      </c>
      <c r="O6" s="13" t="s">
        <v>429</v>
      </c>
      <c r="P6" s="9" t="s">
        <v>505</v>
      </c>
      <c r="Q6" s="9" t="s">
        <v>505</v>
      </c>
      <c r="R6" s="13" t="s">
        <v>677</v>
      </c>
      <c r="S6" s="13" t="s">
        <v>677</v>
      </c>
      <c r="T6" s="207" t="s">
        <v>679</v>
      </c>
      <c r="U6" s="207" t="s">
        <v>679</v>
      </c>
    </row>
    <row r="7" spans="1:21" s="11" customFormat="1" ht="80.150000000000006" customHeight="1" x14ac:dyDescent="0.35">
      <c r="A7" s="4" t="s">
        <v>195</v>
      </c>
      <c r="B7" s="13" t="s">
        <v>215</v>
      </c>
      <c r="C7" s="13" t="s">
        <v>216</v>
      </c>
      <c r="D7" s="13" t="s">
        <v>683</v>
      </c>
      <c r="E7" s="13" t="s">
        <v>684</v>
      </c>
      <c r="F7" s="8"/>
      <c r="G7" s="13" t="s">
        <v>196</v>
      </c>
      <c r="H7" s="13" t="s">
        <v>197</v>
      </c>
      <c r="I7" s="13" t="s">
        <v>198</v>
      </c>
      <c r="J7" s="13" t="s">
        <v>675</v>
      </c>
      <c r="K7" s="80" t="s">
        <v>459</v>
      </c>
      <c r="L7" s="80" t="s">
        <v>460</v>
      </c>
      <c r="M7" s="13" t="s">
        <v>461</v>
      </c>
      <c r="N7" s="13" t="s">
        <v>462</v>
      </c>
      <c r="O7" s="13" t="s">
        <v>463</v>
      </c>
      <c r="P7" s="13" t="s">
        <v>416</v>
      </c>
      <c r="Q7" s="13" t="s">
        <v>412</v>
      </c>
      <c r="R7" s="13" t="s">
        <v>426</v>
      </c>
      <c r="S7" s="13" t="s">
        <v>495</v>
      </c>
      <c r="T7" s="207" t="s">
        <v>593</v>
      </c>
      <c r="U7" s="207" t="s">
        <v>495</v>
      </c>
    </row>
    <row r="8" spans="1:21" ht="15" customHeight="1" x14ac:dyDescent="0.35">
      <c r="A8" s="36" t="s">
        <v>433</v>
      </c>
      <c r="B8" s="6"/>
      <c r="C8" s="6"/>
      <c r="D8" s="6"/>
      <c r="E8" s="6"/>
      <c r="F8" s="6"/>
    </row>
    <row r="9" spans="1:21" s="11" customFormat="1" ht="15" customHeight="1" x14ac:dyDescent="0.35">
      <c r="A9" s="4" t="s">
        <v>4</v>
      </c>
      <c r="B9" s="9" t="s">
        <v>8</v>
      </c>
      <c r="C9" s="9" t="s">
        <v>8</v>
      </c>
      <c r="D9" s="79" t="s">
        <v>145</v>
      </c>
      <c r="E9" s="79" t="s">
        <v>145</v>
      </c>
      <c r="F9" s="9" t="s">
        <v>8</v>
      </c>
      <c r="G9" s="79" t="s">
        <v>199</v>
      </c>
      <c r="H9" s="79" t="s">
        <v>199</v>
      </c>
      <c r="I9" s="79" t="s">
        <v>199</v>
      </c>
      <c r="J9" s="79" t="s">
        <v>328</v>
      </c>
      <c r="K9" s="79" t="s">
        <v>430</v>
      </c>
      <c r="L9" s="79" t="s">
        <v>430</v>
      </c>
      <c r="M9" s="79" t="s">
        <v>430</v>
      </c>
      <c r="N9" s="79" t="s">
        <v>430</v>
      </c>
      <c r="O9" s="79" t="s">
        <v>430</v>
      </c>
      <c r="P9" s="79" t="s">
        <v>772</v>
      </c>
      <c r="Q9" s="79" t="s">
        <v>772</v>
      </c>
      <c r="R9" s="79" t="s">
        <v>8</v>
      </c>
      <c r="S9" s="79" t="s">
        <v>8</v>
      </c>
      <c r="T9" s="210" t="s">
        <v>599</v>
      </c>
      <c r="U9" s="210" t="s">
        <v>8</v>
      </c>
    </row>
    <row r="10" spans="1:21" s="11" customFormat="1" ht="31.5" customHeight="1" x14ac:dyDescent="0.35">
      <c r="A10" s="4" t="s">
        <v>9</v>
      </c>
      <c r="B10" s="9" t="s">
        <v>10</v>
      </c>
      <c r="C10" s="9" t="s">
        <v>10</v>
      </c>
      <c r="D10" s="79" t="s">
        <v>229</v>
      </c>
      <c r="E10" s="79" t="s">
        <v>229</v>
      </c>
      <c r="F10" s="9" t="s">
        <v>10</v>
      </c>
      <c r="G10" s="79" t="s">
        <v>200</v>
      </c>
      <c r="H10" s="79" t="s">
        <v>200</v>
      </c>
      <c r="I10" s="79" t="s">
        <v>200</v>
      </c>
      <c r="J10" s="80" t="s">
        <v>768</v>
      </c>
      <c r="K10" s="80" t="s">
        <v>676</v>
      </c>
      <c r="L10" s="207" t="s">
        <v>676</v>
      </c>
      <c r="M10" s="207" t="s">
        <v>676</v>
      </c>
      <c r="N10" s="207" t="s">
        <v>676</v>
      </c>
      <c r="O10" s="207" t="s">
        <v>676</v>
      </c>
      <c r="P10" s="80" t="s">
        <v>771</v>
      </c>
      <c r="Q10" s="80" t="s">
        <v>771</v>
      </c>
      <c r="R10" s="80" t="s">
        <v>678</v>
      </c>
      <c r="S10" s="80" t="s">
        <v>678</v>
      </c>
      <c r="T10" s="207" t="s">
        <v>600</v>
      </c>
      <c r="U10" s="207" t="s">
        <v>600</v>
      </c>
    </row>
    <row r="11" spans="1:21" s="11" customFormat="1" ht="15" customHeight="1" x14ac:dyDescent="0.35">
      <c r="A11" s="4" t="s">
        <v>237</v>
      </c>
      <c r="B11" s="39">
        <v>60</v>
      </c>
      <c r="C11" s="39">
        <v>60</v>
      </c>
      <c r="D11" s="141">
        <v>75</v>
      </c>
      <c r="E11" s="141">
        <v>75</v>
      </c>
      <c r="F11" s="39">
        <v>50.7</v>
      </c>
      <c r="G11" s="141">
        <v>63.52</v>
      </c>
      <c r="H11" s="141">
        <v>63.52</v>
      </c>
      <c r="I11" s="141">
        <v>63.52</v>
      </c>
      <c r="J11" s="141">
        <v>84.45</v>
      </c>
      <c r="K11" s="141">
        <v>80</v>
      </c>
      <c r="L11" s="141">
        <v>80</v>
      </c>
      <c r="M11" s="141">
        <v>88</v>
      </c>
      <c r="N11" s="141">
        <v>88</v>
      </c>
      <c r="O11" s="141">
        <v>80</v>
      </c>
      <c r="P11" s="141" t="s">
        <v>769</v>
      </c>
      <c r="Q11" s="141" t="s">
        <v>769</v>
      </c>
      <c r="R11" s="141">
        <v>60.58</v>
      </c>
      <c r="S11" s="141">
        <v>60.58</v>
      </c>
      <c r="T11" s="211">
        <v>63.23</v>
      </c>
      <c r="U11" s="211">
        <v>60.54</v>
      </c>
    </row>
    <row r="12" spans="1:21" s="11" customFormat="1" ht="15" customHeight="1" x14ac:dyDescent="0.35">
      <c r="A12" s="5" t="s">
        <v>11</v>
      </c>
      <c r="B12" s="79">
        <v>2000</v>
      </c>
      <c r="C12" s="79">
        <v>2000</v>
      </c>
      <c r="D12" s="79">
        <v>2000</v>
      </c>
      <c r="E12" s="79">
        <v>2000</v>
      </c>
      <c r="F12" s="9">
        <v>2000</v>
      </c>
      <c r="G12" s="79">
        <v>2000</v>
      </c>
      <c r="H12" s="79">
        <v>2000</v>
      </c>
      <c r="I12" s="79">
        <v>2000</v>
      </c>
      <c r="J12" s="79">
        <v>2000</v>
      </c>
      <c r="K12" s="79">
        <v>2000</v>
      </c>
      <c r="L12" s="79">
        <v>2000</v>
      </c>
      <c r="M12" s="79">
        <v>2000</v>
      </c>
      <c r="N12" s="79">
        <v>2000</v>
      </c>
      <c r="O12" s="79">
        <v>2000</v>
      </c>
      <c r="P12" s="79">
        <v>1684</v>
      </c>
      <c r="Q12" s="79">
        <v>640</v>
      </c>
      <c r="R12" s="79">
        <v>2000</v>
      </c>
      <c r="S12" s="79">
        <v>2000</v>
      </c>
      <c r="T12" s="210">
        <v>2000</v>
      </c>
      <c r="U12" s="210">
        <v>2000</v>
      </c>
    </row>
    <row r="13" spans="1:21" s="11" customFormat="1" ht="15" customHeight="1" x14ac:dyDescent="0.35">
      <c r="A13" s="5" t="s">
        <v>643</v>
      </c>
      <c r="B13" s="163">
        <v>330</v>
      </c>
      <c r="C13" s="163">
        <v>330</v>
      </c>
      <c r="D13" s="163">
        <f>D130/24</f>
        <v>310.25</v>
      </c>
      <c r="E13" s="163">
        <f>E130/24</f>
        <v>310.25</v>
      </c>
      <c r="F13" s="163">
        <f>8406/24</f>
        <v>350.25</v>
      </c>
      <c r="G13" s="163">
        <v>330</v>
      </c>
      <c r="H13" s="163">
        <v>330</v>
      </c>
      <c r="I13" s="163">
        <v>330</v>
      </c>
      <c r="J13" s="163">
        <v>330</v>
      </c>
      <c r="K13" s="163">
        <v>330</v>
      </c>
      <c r="L13" s="163">
        <v>330</v>
      </c>
      <c r="M13" s="163">
        <v>330</v>
      </c>
      <c r="N13" s="163">
        <v>330</v>
      </c>
      <c r="O13" s="163">
        <v>330</v>
      </c>
      <c r="P13" s="163">
        <v>330</v>
      </c>
      <c r="Q13" s="163">
        <v>330</v>
      </c>
      <c r="R13" s="163">
        <v>330</v>
      </c>
      <c r="S13" s="163">
        <v>330</v>
      </c>
      <c r="T13" s="163">
        <v>330</v>
      </c>
      <c r="U13" s="163">
        <v>330</v>
      </c>
    </row>
    <row r="14" spans="1:21" s="11" customFormat="1" ht="15" customHeight="1" x14ac:dyDescent="0.35">
      <c r="A14" s="5" t="s">
        <v>632</v>
      </c>
      <c r="B14" s="117">
        <v>0.9</v>
      </c>
      <c r="C14" s="117">
        <v>0.9</v>
      </c>
      <c r="D14" s="117">
        <f>D13/365.25</f>
        <v>0.84941820670773438</v>
      </c>
      <c r="E14" s="117">
        <f>E13/365.25</f>
        <v>0.84941820670773438</v>
      </c>
      <c r="F14" s="117">
        <f>F13/365.25</f>
        <v>0.95893223819301843</v>
      </c>
      <c r="G14" s="117">
        <v>0.9</v>
      </c>
      <c r="H14" s="117">
        <v>0.9</v>
      </c>
      <c r="I14" s="117">
        <v>0.9</v>
      </c>
      <c r="J14" s="117">
        <v>0.9</v>
      </c>
      <c r="K14" s="117">
        <v>0.9</v>
      </c>
      <c r="L14" s="117">
        <v>0.9</v>
      </c>
      <c r="M14" s="117">
        <v>0.9</v>
      </c>
      <c r="N14" s="117">
        <v>0.9</v>
      </c>
      <c r="O14" s="117">
        <v>0.9</v>
      </c>
      <c r="P14" s="117">
        <v>0.9</v>
      </c>
      <c r="Q14" s="117">
        <v>0.9</v>
      </c>
      <c r="R14" s="117">
        <v>0.9</v>
      </c>
      <c r="S14" s="117">
        <v>0.9</v>
      </c>
      <c r="T14" s="117">
        <v>0.9</v>
      </c>
      <c r="U14" s="117">
        <v>0.9</v>
      </c>
    </row>
    <row r="15" spans="1:21" s="11" customFormat="1" ht="15" customHeight="1" x14ac:dyDescent="0.35">
      <c r="A15" s="5" t="s">
        <v>432</v>
      </c>
      <c r="B15" s="123">
        <f>'Supporting Calculations'!B83</f>
        <v>54.996425232359897</v>
      </c>
      <c r="C15" s="123">
        <f>'Supporting Calculations'!F83</f>
        <v>54.996425232359897</v>
      </c>
      <c r="D15" s="123">
        <f>'Supporting Calculations'!B101</f>
        <v>47.209403289865094</v>
      </c>
      <c r="E15" s="123">
        <f>'Supporting Calculations'!C101</f>
        <v>60.979299840228272</v>
      </c>
      <c r="F15" s="15">
        <v>55.1</v>
      </c>
      <c r="G15" s="123">
        <f>'Supporting Calculations'!B143</f>
        <v>32.447890887092342</v>
      </c>
      <c r="H15" s="123">
        <f>'Supporting Calculations'!C143</f>
        <v>59.94610350327229</v>
      </c>
      <c r="I15" s="123">
        <f>'Supporting Calculations'!D143</f>
        <v>56.921300115492492</v>
      </c>
      <c r="J15" s="123">
        <v>61.9</v>
      </c>
      <c r="K15" s="123">
        <v>56.7</v>
      </c>
      <c r="L15" s="123">
        <v>61.9</v>
      </c>
      <c r="M15" s="123">
        <v>48</v>
      </c>
      <c r="N15" s="123">
        <v>30.1</v>
      </c>
      <c r="O15" s="123">
        <v>47.5</v>
      </c>
      <c r="P15" s="123"/>
      <c r="Q15" s="123"/>
      <c r="R15" s="196">
        <v>49.59</v>
      </c>
      <c r="S15" s="196">
        <v>54.7</v>
      </c>
      <c r="T15" s="253">
        <v>48.96</v>
      </c>
      <c r="U15" s="196">
        <v>54.66</v>
      </c>
    </row>
    <row r="16" spans="1:21" s="11" customFormat="1" ht="15" customHeight="1" x14ac:dyDescent="0.35">
      <c r="A16" s="4" t="s">
        <v>20</v>
      </c>
      <c r="B16" s="80">
        <v>2008</v>
      </c>
      <c r="C16" s="80">
        <v>2008</v>
      </c>
      <c r="D16" s="80">
        <v>2007</v>
      </c>
      <c r="E16" s="80">
        <v>2007</v>
      </c>
      <c r="F16" s="13">
        <v>2007</v>
      </c>
      <c r="G16" s="80">
        <v>2007</v>
      </c>
      <c r="H16" s="80">
        <v>2007</v>
      </c>
      <c r="I16" s="80">
        <v>2007</v>
      </c>
      <c r="J16" s="80">
        <v>2014</v>
      </c>
      <c r="K16" s="80">
        <v>2011</v>
      </c>
      <c r="L16" s="80">
        <v>2011</v>
      </c>
      <c r="M16" s="80">
        <v>2011</v>
      </c>
      <c r="N16" s="80">
        <v>2011</v>
      </c>
      <c r="O16" s="80">
        <v>2011</v>
      </c>
      <c r="P16" s="80">
        <v>2016</v>
      </c>
      <c r="Q16" s="80">
        <v>2016</v>
      </c>
      <c r="R16" s="80">
        <v>2016</v>
      </c>
      <c r="S16" s="80">
        <v>2016</v>
      </c>
      <c r="T16" s="207">
        <v>2016</v>
      </c>
      <c r="U16" s="207">
        <v>2016</v>
      </c>
    </row>
    <row r="17" spans="1:21" s="11" customFormat="1" ht="15" customHeight="1" x14ac:dyDescent="0.35">
      <c r="A17" s="4" t="s">
        <v>458</v>
      </c>
      <c r="B17" s="92">
        <v>3.2</v>
      </c>
      <c r="C17" s="92">
        <v>3.68</v>
      </c>
      <c r="D17" s="92">
        <v>4.83</v>
      </c>
      <c r="E17" s="92">
        <v>4.2699999999999996</v>
      </c>
      <c r="F17" s="40">
        <v>1.95</v>
      </c>
      <c r="G17" s="92">
        <v>6.75</v>
      </c>
      <c r="H17" s="92">
        <v>2.78</v>
      </c>
      <c r="I17" s="92">
        <v>3.29</v>
      </c>
      <c r="J17" s="92">
        <v>3.47</v>
      </c>
      <c r="K17" s="92">
        <v>4.8899999999999997</v>
      </c>
      <c r="L17" s="92">
        <v>3.4</v>
      </c>
      <c r="M17" s="92">
        <v>3.69</v>
      </c>
      <c r="N17" s="92">
        <v>5.04</v>
      </c>
      <c r="O17" s="92">
        <v>3.58</v>
      </c>
      <c r="P17" s="92">
        <v>2.3502000000000001</v>
      </c>
      <c r="Q17" s="92">
        <v>2.7528999999999999</v>
      </c>
      <c r="R17" s="92">
        <v>3.79</v>
      </c>
      <c r="S17" s="92">
        <v>3.3</v>
      </c>
      <c r="T17" s="92">
        <v>3.53</v>
      </c>
      <c r="U17" s="92">
        <v>3.3</v>
      </c>
    </row>
    <row r="18" spans="1:21" s="11" customFormat="1" ht="15" customHeight="1" x14ac:dyDescent="0.35">
      <c r="A18" s="4"/>
      <c r="B18" s="80"/>
      <c r="C18" s="80"/>
      <c r="D18" s="80"/>
      <c r="E18" s="80"/>
      <c r="F18" s="13"/>
      <c r="G18" s="80"/>
      <c r="H18" s="80"/>
      <c r="I18" s="80"/>
      <c r="J18" s="80"/>
      <c r="K18" s="80"/>
      <c r="L18" s="80"/>
      <c r="M18" s="80"/>
      <c r="N18" s="80"/>
      <c r="O18" s="80"/>
      <c r="P18" s="80"/>
      <c r="Q18" s="80"/>
      <c r="R18" s="80"/>
      <c r="S18" s="80"/>
      <c r="T18" s="207"/>
      <c r="U18" s="207"/>
    </row>
    <row r="19" spans="1:21" s="11" customFormat="1" ht="15" customHeight="1" x14ac:dyDescent="0.35">
      <c r="A19" s="36" t="s">
        <v>49</v>
      </c>
      <c r="B19" s="93"/>
      <c r="C19" s="93"/>
      <c r="D19" s="93"/>
      <c r="E19" s="93"/>
      <c r="G19" s="93"/>
      <c r="H19" s="93"/>
      <c r="I19" s="93"/>
      <c r="J19" s="93"/>
      <c r="K19" s="93"/>
      <c r="L19" s="93"/>
      <c r="M19" s="93"/>
      <c r="N19" s="93"/>
      <c r="O19" s="93"/>
      <c r="P19" s="93"/>
      <c r="Q19" s="93"/>
      <c r="R19" s="93"/>
      <c r="S19" s="93"/>
      <c r="T19" s="93"/>
      <c r="U19" s="93"/>
    </row>
    <row r="20" spans="1:21" s="11" customFormat="1" ht="15" customHeight="1" x14ac:dyDescent="0.35">
      <c r="A20" s="18" t="s">
        <v>21</v>
      </c>
      <c r="B20" s="45">
        <v>11000000</v>
      </c>
      <c r="C20" s="45">
        <v>11000000</v>
      </c>
      <c r="D20" s="45">
        <v>22676317</v>
      </c>
      <c r="E20" s="45">
        <v>22676317</v>
      </c>
      <c r="F20" s="2" t="s">
        <v>539</v>
      </c>
      <c r="G20" s="45">
        <v>28900000</v>
      </c>
      <c r="H20" s="45">
        <v>28000000</v>
      </c>
      <c r="I20" s="45">
        <v>28100000</v>
      </c>
      <c r="J20" s="2" t="s">
        <v>539</v>
      </c>
      <c r="K20" s="45">
        <v>200000</v>
      </c>
      <c r="L20" s="45">
        <v>200000</v>
      </c>
      <c r="M20" s="45"/>
      <c r="N20" s="45"/>
      <c r="O20" s="45"/>
      <c r="P20" s="2" t="s">
        <v>539</v>
      </c>
      <c r="Q20" s="2" t="s">
        <v>539</v>
      </c>
      <c r="R20" s="2" t="s">
        <v>539</v>
      </c>
      <c r="S20" s="2" t="s">
        <v>539</v>
      </c>
      <c r="T20" s="46">
        <v>200000</v>
      </c>
      <c r="U20" s="46">
        <v>200000</v>
      </c>
    </row>
    <row r="21" spans="1:21" s="11" customFormat="1" ht="15" customHeight="1" x14ac:dyDescent="0.35">
      <c r="A21" s="188" t="s">
        <v>22</v>
      </c>
      <c r="B21" s="46">
        <v>17000000</v>
      </c>
      <c r="C21" s="46">
        <v>41000000</v>
      </c>
      <c r="D21" s="46">
        <v>28179170</v>
      </c>
      <c r="E21" s="46">
        <v>67778518</v>
      </c>
      <c r="F21" s="24">
        <v>14601231.826778043</v>
      </c>
      <c r="G21" s="46">
        <v>46000000</v>
      </c>
      <c r="H21" s="46">
        <v>46000000</v>
      </c>
      <c r="I21" s="46">
        <v>46000000</v>
      </c>
      <c r="J21" s="46">
        <v>49527844</v>
      </c>
      <c r="K21" s="46">
        <v>48104717</v>
      </c>
      <c r="L21" s="46">
        <v>48104717</v>
      </c>
      <c r="M21" s="46"/>
      <c r="N21" s="46"/>
      <c r="O21" s="46"/>
      <c r="P21" s="24">
        <v>22474906</v>
      </c>
      <c r="Q21" s="24">
        <v>52777296</v>
      </c>
      <c r="R21" s="24">
        <v>44596165</v>
      </c>
      <c r="S21" s="24">
        <v>44596165</v>
      </c>
      <c r="T21" s="46">
        <v>44600000</v>
      </c>
      <c r="U21" s="46">
        <v>44600000</v>
      </c>
    </row>
    <row r="22" spans="1:21" s="11" customFormat="1" ht="15" customHeight="1" x14ac:dyDescent="0.35">
      <c r="A22" s="188" t="s">
        <v>413</v>
      </c>
      <c r="B22" s="46"/>
      <c r="C22" s="46"/>
      <c r="D22" s="46"/>
      <c r="E22" s="46"/>
      <c r="F22" s="24"/>
      <c r="G22" s="46"/>
      <c r="H22" s="46"/>
      <c r="I22" s="46"/>
      <c r="J22" s="46"/>
      <c r="K22" s="93"/>
      <c r="L22" s="46"/>
      <c r="M22" s="46"/>
      <c r="N22" s="46"/>
      <c r="O22" s="46"/>
      <c r="P22" s="24">
        <v>52295900</v>
      </c>
      <c r="Q22" s="24">
        <v>63329341</v>
      </c>
      <c r="R22" s="24">
        <v>53668685</v>
      </c>
      <c r="S22" s="24">
        <v>52814737</v>
      </c>
      <c r="T22" s="46"/>
      <c r="U22" s="46"/>
    </row>
    <row r="23" spans="1:21" s="21" customFormat="1" ht="15" customHeight="1" x14ac:dyDescent="0.35">
      <c r="A23" s="188" t="s">
        <v>132</v>
      </c>
      <c r="B23" s="46">
        <v>33000000</v>
      </c>
      <c r="C23" s="46">
        <v>27000000</v>
      </c>
      <c r="D23" s="46">
        <v>29308536</v>
      </c>
      <c r="E23" s="46">
        <v>33492579</v>
      </c>
      <c r="F23" s="24">
        <v>39324147</v>
      </c>
      <c r="G23" s="46">
        <f>57700000+14900000</f>
        <v>72600000</v>
      </c>
      <c r="H23" s="46">
        <f>52800000+11700000</f>
        <v>64500000</v>
      </c>
      <c r="I23" s="46">
        <f>50100000+13000000</f>
        <v>63100000</v>
      </c>
      <c r="J23" s="46">
        <f>69366849+14891872</f>
        <v>84258721</v>
      </c>
      <c r="K23" s="46">
        <v>27543979</v>
      </c>
      <c r="L23" s="46">
        <v>27388841</v>
      </c>
      <c r="M23" s="46"/>
      <c r="N23" s="46"/>
      <c r="O23" s="46"/>
      <c r="P23" s="24"/>
      <c r="Q23" s="24"/>
      <c r="R23" s="24"/>
      <c r="S23" s="24"/>
      <c r="T23" s="46">
        <v>53600000</v>
      </c>
      <c r="U23" s="46">
        <v>52800000</v>
      </c>
    </row>
    <row r="24" spans="1:21" s="21" customFormat="1" ht="15" customHeight="1" x14ac:dyDescent="0.35">
      <c r="A24" s="188" t="s">
        <v>251</v>
      </c>
      <c r="B24" s="46">
        <v>10000000</v>
      </c>
      <c r="C24" s="46">
        <v>8000000</v>
      </c>
      <c r="D24" s="46">
        <v>58668036</v>
      </c>
      <c r="E24" s="46">
        <v>49433074</v>
      </c>
      <c r="F24" s="24">
        <v>10436100.193109801</v>
      </c>
      <c r="G24" s="46">
        <v>100900000</v>
      </c>
      <c r="H24" s="46">
        <v>40700000</v>
      </c>
      <c r="I24" s="46">
        <v>63800000</v>
      </c>
      <c r="J24" s="46">
        <f>36642789-14891872</f>
        <v>21750917</v>
      </c>
      <c r="K24" s="46">
        <v>182695759</v>
      </c>
      <c r="L24" s="46"/>
      <c r="M24" s="46"/>
      <c r="N24" s="46"/>
      <c r="O24" s="46"/>
      <c r="P24" s="24"/>
      <c r="Q24" s="24"/>
      <c r="R24" s="24">
        <v>33526557</v>
      </c>
      <c r="S24" s="24">
        <v>33690832</v>
      </c>
      <c r="T24" s="46">
        <v>34000000</v>
      </c>
      <c r="U24" s="46">
        <v>33700000</v>
      </c>
    </row>
    <row r="25" spans="1:21" s="21" customFormat="1" ht="15" customHeight="1" x14ac:dyDescent="0.35">
      <c r="A25" s="188" t="s">
        <v>434</v>
      </c>
      <c r="B25" s="46"/>
      <c r="C25" s="46"/>
      <c r="D25" s="46"/>
      <c r="E25" s="46"/>
      <c r="F25" s="24"/>
      <c r="G25" s="46"/>
      <c r="H25" s="46"/>
      <c r="I25" s="46"/>
      <c r="J25" s="46"/>
      <c r="K25" s="165"/>
      <c r="L25" s="46">
        <v>76693469</v>
      </c>
      <c r="M25" s="46"/>
      <c r="N25" s="46"/>
      <c r="O25" s="46"/>
      <c r="P25" s="24"/>
      <c r="Q25" s="24"/>
      <c r="R25" s="24"/>
      <c r="S25" s="24"/>
      <c r="T25" s="46"/>
      <c r="U25" s="46"/>
    </row>
    <row r="26" spans="1:21" s="21" customFormat="1" ht="15" customHeight="1" x14ac:dyDescent="0.35">
      <c r="A26" s="188" t="s">
        <v>414</v>
      </c>
      <c r="B26" s="46"/>
      <c r="C26" s="46"/>
      <c r="D26" s="46"/>
      <c r="E26" s="46"/>
      <c r="F26" s="24"/>
      <c r="G26" s="46"/>
      <c r="H26" s="46"/>
      <c r="I26" s="46"/>
      <c r="J26" s="46"/>
      <c r="K26" s="46"/>
      <c r="L26" s="46"/>
      <c r="M26" s="46"/>
      <c r="N26" s="46"/>
      <c r="O26" s="46"/>
      <c r="P26" s="24">
        <v>145744595</v>
      </c>
      <c r="Q26" s="24">
        <v>150322195</v>
      </c>
      <c r="R26" s="24"/>
      <c r="S26" s="24"/>
      <c r="T26" s="46"/>
      <c r="U26" s="46"/>
    </row>
    <row r="27" spans="1:21" s="21" customFormat="1" ht="15" customHeight="1" x14ac:dyDescent="0.35">
      <c r="A27" s="188" t="s">
        <v>332</v>
      </c>
      <c r="B27" s="46"/>
      <c r="C27" s="46"/>
      <c r="D27" s="46"/>
      <c r="E27" s="46"/>
      <c r="F27" s="24">
        <v>4826013.5437855246</v>
      </c>
      <c r="G27" s="46"/>
      <c r="H27" s="46"/>
      <c r="I27" s="46"/>
      <c r="J27" s="46">
        <v>3348207</v>
      </c>
      <c r="K27" s="46"/>
      <c r="L27" s="46"/>
      <c r="M27" s="46"/>
      <c r="N27" s="46"/>
      <c r="O27" s="46"/>
      <c r="P27" s="24"/>
      <c r="Q27" s="24"/>
      <c r="R27" s="24">
        <v>2389630</v>
      </c>
      <c r="S27" s="24">
        <v>2300920</v>
      </c>
      <c r="T27" s="46">
        <v>2300000</v>
      </c>
      <c r="U27" s="46">
        <v>2300000</v>
      </c>
    </row>
    <row r="28" spans="1:21" s="21" customFormat="1" ht="15" customHeight="1" x14ac:dyDescent="0.35">
      <c r="A28" s="188" t="s">
        <v>23</v>
      </c>
      <c r="B28" s="46">
        <v>24000000</v>
      </c>
      <c r="C28" s="46">
        <v>24000000</v>
      </c>
      <c r="D28" s="46"/>
      <c r="E28" s="46"/>
      <c r="F28" s="46">
        <v>5939590.6438377164</v>
      </c>
      <c r="G28" s="46"/>
      <c r="H28" s="46"/>
      <c r="I28" s="46"/>
      <c r="J28" s="46">
        <v>38070359</v>
      </c>
      <c r="K28" s="46"/>
      <c r="L28" s="46"/>
      <c r="M28" s="46"/>
      <c r="N28" s="46"/>
      <c r="O28" s="46"/>
      <c r="P28" s="46"/>
      <c r="Q28" s="46"/>
      <c r="R28" s="46"/>
      <c r="S28" s="46"/>
      <c r="T28" s="46"/>
      <c r="U28" s="46"/>
    </row>
    <row r="29" spans="1:21" s="21" customFormat="1" ht="15" customHeight="1" x14ac:dyDescent="0.35">
      <c r="A29" s="188" t="s">
        <v>435</v>
      </c>
      <c r="B29" s="46"/>
      <c r="C29" s="46"/>
      <c r="D29" s="46"/>
      <c r="E29" s="46"/>
      <c r="F29" s="46"/>
      <c r="G29" s="46"/>
      <c r="H29" s="46"/>
      <c r="I29" s="46"/>
      <c r="J29" s="46"/>
      <c r="K29" s="46">
        <v>87074814</v>
      </c>
      <c r="L29" s="46">
        <v>72356022</v>
      </c>
      <c r="M29" s="46"/>
      <c r="N29" s="46"/>
      <c r="O29" s="46"/>
      <c r="P29" s="46"/>
      <c r="Q29" s="46"/>
      <c r="R29" s="46"/>
      <c r="S29" s="46"/>
      <c r="T29" s="46"/>
      <c r="U29" s="46"/>
    </row>
    <row r="30" spans="1:21" s="21" customFormat="1" ht="15" customHeight="1" x14ac:dyDescent="0.35">
      <c r="A30" s="188" t="s">
        <v>497</v>
      </c>
      <c r="B30" s="46"/>
      <c r="C30" s="46"/>
      <c r="D30" s="46"/>
      <c r="E30" s="46"/>
      <c r="F30" s="46"/>
      <c r="G30" s="46"/>
      <c r="H30" s="46"/>
      <c r="I30" s="46"/>
      <c r="J30" s="46"/>
      <c r="K30" s="46"/>
      <c r="L30" s="46"/>
      <c r="M30" s="46"/>
      <c r="N30" s="46"/>
      <c r="O30" s="46"/>
      <c r="P30" s="46"/>
      <c r="Q30" s="46"/>
      <c r="R30" s="46">
        <v>53947952</v>
      </c>
      <c r="S30" s="46">
        <v>47268135</v>
      </c>
      <c r="T30" s="46">
        <v>46000000</v>
      </c>
      <c r="U30" s="46">
        <v>47300000</v>
      </c>
    </row>
    <row r="31" spans="1:21" s="21" customFormat="1" ht="15" customHeight="1" x14ac:dyDescent="0.35">
      <c r="A31" s="188" t="s">
        <v>252</v>
      </c>
      <c r="B31" s="46"/>
      <c r="C31" s="46"/>
      <c r="D31" s="46">
        <v>29517940</v>
      </c>
      <c r="E31" s="46">
        <v>32969290</v>
      </c>
      <c r="F31" s="46"/>
      <c r="G31" s="46"/>
      <c r="H31" s="46"/>
      <c r="I31" s="46"/>
      <c r="J31" s="46"/>
      <c r="K31" s="46"/>
      <c r="L31" s="46"/>
      <c r="M31" s="46"/>
      <c r="N31" s="46"/>
      <c r="O31" s="46"/>
      <c r="P31" s="46"/>
      <c r="Q31" s="46"/>
      <c r="R31" s="46"/>
      <c r="S31" s="46"/>
      <c r="T31" s="46"/>
      <c r="U31" s="46"/>
    </row>
    <row r="32" spans="1:21" s="21" customFormat="1" ht="15" customHeight="1" x14ac:dyDescent="0.35">
      <c r="A32" s="188" t="s">
        <v>24</v>
      </c>
      <c r="B32" s="46"/>
      <c r="C32" s="46"/>
      <c r="D32" s="46"/>
      <c r="E32" s="46"/>
      <c r="F32" s="46">
        <v>15656874.295635119</v>
      </c>
      <c r="G32" s="46"/>
      <c r="H32" s="46"/>
      <c r="I32" s="46"/>
      <c r="J32" s="46">
        <v>5322796</v>
      </c>
      <c r="K32" s="46">
        <v>18774267</v>
      </c>
      <c r="L32" s="46">
        <v>10388202</v>
      </c>
      <c r="M32" s="46"/>
      <c r="N32" s="46"/>
      <c r="O32" s="46"/>
      <c r="P32" s="46">
        <v>4486920</v>
      </c>
      <c r="Q32" s="46">
        <v>4452617</v>
      </c>
      <c r="R32" s="46">
        <v>5074043</v>
      </c>
      <c r="S32" s="46">
        <v>5049254</v>
      </c>
      <c r="T32" s="46">
        <v>4600000</v>
      </c>
      <c r="U32" s="46">
        <v>5000000</v>
      </c>
    </row>
    <row r="33" spans="1:21" s="21" customFormat="1" ht="15" customHeight="1" x14ac:dyDescent="0.35">
      <c r="A33" s="189" t="s">
        <v>250</v>
      </c>
      <c r="B33" s="93"/>
      <c r="D33" s="45">
        <v>19465392</v>
      </c>
      <c r="E33" s="45">
        <v>24319330</v>
      </c>
      <c r="F33" s="46"/>
      <c r="G33" s="46"/>
      <c r="H33" s="46"/>
      <c r="I33" s="46"/>
      <c r="J33" s="46"/>
      <c r="K33" s="46"/>
      <c r="L33" s="46"/>
      <c r="M33" s="46"/>
      <c r="N33" s="46"/>
      <c r="O33" s="46"/>
      <c r="P33" s="46"/>
      <c r="Q33" s="46"/>
      <c r="R33" s="46"/>
      <c r="S33" s="46"/>
      <c r="T33" s="46"/>
      <c r="U33" s="46"/>
    </row>
    <row r="34" spans="1:21" s="21" customFormat="1" ht="15" customHeight="1" x14ac:dyDescent="0.35">
      <c r="A34" s="189" t="s">
        <v>184</v>
      </c>
      <c r="B34" s="93"/>
      <c r="C34" s="45">
        <v>10000000</v>
      </c>
      <c r="D34" s="45"/>
      <c r="E34" s="45"/>
      <c r="F34" s="46"/>
      <c r="G34" s="46"/>
      <c r="H34" s="46"/>
      <c r="I34" s="46"/>
      <c r="J34" s="46"/>
      <c r="K34" s="46"/>
      <c r="L34" s="46"/>
      <c r="M34" s="46"/>
      <c r="N34" s="46"/>
      <c r="O34" s="46"/>
      <c r="P34" s="46"/>
      <c r="Q34" s="46"/>
      <c r="R34" s="46"/>
      <c r="S34" s="46"/>
      <c r="T34" s="46"/>
      <c r="U34" s="46"/>
    </row>
    <row r="35" spans="1:21" s="21" customFormat="1" ht="15" customHeight="1" x14ac:dyDescent="0.35">
      <c r="A35" s="188" t="s">
        <v>25</v>
      </c>
      <c r="B35" s="46">
        <v>7000000</v>
      </c>
      <c r="C35" s="46">
        <v>11000000</v>
      </c>
      <c r="D35" s="46">
        <v>38904312</v>
      </c>
      <c r="E35" s="46">
        <v>45564672</v>
      </c>
      <c r="F35" s="46">
        <v>23078643.602815196</v>
      </c>
      <c r="G35" s="46">
        <v>27700000</v>
      </c>
      <c r="H35" s="46">
        <v>20100000</v>
      </c>
      <c r="I35" s="46">
        <v>15600000</v>
      </c>
      <c r="J35" s="46">
        <v>37405931</v>
      </c>
      <c r="K35" s="46">
        <v>47224946</v>
      </c>
      <c r="L35" s="46">
        <v>28177550</v>
      </c>
      <c r="M35" s="46"/>
      <c r="N35" s="46"/>
      <c r="O35" s="46"/>
      <c r="P35" s="46">
        <v>28736456</v>
      </c>
      <c r="Q35" s="46">
        <v>33977455</v>
      </c>
      <c r="R35" s="46">
        <v>35733271</v>
      </c>
      <c r="S35" s="46">
        <v>34654655</v>
      </c>
      <c r="T35" s="46">
        <v>33000000</v>
      </c>
      <c r="U35" s="46">
        <v>34700000</v>
      </c>
    </row>
    <row r="36" spans="1:21" s="21" customFormat="1" ht="15" customHeight="1" x14ac:dyDescent="0.35">
      <c r="A36" s="188" t="s">
        <v>26</v>
      </c>
      <c r="B36" s="46"/>
      <c r="C36" s="46"/>
      <c r="D36" s="46">
        <v>27206364</v>
      </c>
      <c r="E36" s="46">
        <v>33148054</v>
      </c>
      <c r="F36" s="24">
        <v>4248852</v>
      </c>
      <c r="G36" s="46">
        <v>4700000</v>
      </c>
      <c r="H36" s="46">
        <v>4400000</v>
      </c>
      <c r="I36" s="46">
        <v>4300000</v>
      </c>
      <c r="J36" s="46">
        <v>6853695</v>
      </c>
      <c r="K36" s="46">
        <v>10826771</v>
      </c>
      <c r="L36" s="46">
        <v>11342599</v>
      </c>
      <c r="M36" s="46"/>
      <c r="N36" s="46"/>
      <c r="O36" s="46"/>
      <c r="P36" s="24">
        <v>3356874</v>
      </c>
      <c r="Q36" s="24">
        <v>4126254</v>
      </c>
      <c r="R36" s="24">
        <v>7389512</v>
      </c>
      <c r="S36" s="24">
        <v>7238476</v>
      </c>
      <c r="T36" s="46">
        <v>6900000</v>
      </c>
      <c r="U36" s="46">
        <v>7200000</v>
      </c>
    </row>
    <row r="37" spans="1:21" s="21" customFormat="1" ht="15" customHeight="1" x14ac:dyDescent="0.35">
      <c r="A37" s="20" t="s">
        <v>680</v>
      </c>
      <c r="B37" s="46">
        <v>2000000</v>
      </c>
      <c r="C37" s="46">
        <v>2000000</v>
      </c>
      <c r="D37" s="46"/>
      <c r="E37" s="46"/>
      <c r="F37" s="24"/>
      <c r="G37" s="46"/>
      <c r="H37" s="46"/>
      <c r="I37" s="46"/>
      <c r="J37" s="46"/>
      <c r="K37" s="46"/>
      <c r="L37" s="46"/>
      <c r="M37" s="46"/>
      <c r="N37" s="46"/>
      <c r="O37" s="46"/>
      <c r="P37" s="24"/>
      <c r="Q37" s="24"/>
      <c r="R37" s="24"/>
      <c r="S37" s="24"/>
      <c r="T37" s="46"/>
      <c r="U37" s="46"/>
    </row>
    <row r="38" spans="1:21" s="21" customFormat="1" ht="15" customHeight="1" x14ac:dyDescent="0.35">
      <c r="A38" s="47" t="s">
        <v>133</v>
      </c>
      <c r="B38" s="94">
        <v>258000000</v>
      </c>
      <c r="C38" s="94">
        <v>335000000</v>
      </c>
      <c r="D38" s="94">
        <f>SUM(D20:D37)</f>
        <v>253926067</v>
      </c>
      <c r="E38" s="94">
        <f>SUM(E20:E37)</f>
        <v>309381834</v>
      </c>
      <c r="F38" s="48">
        <f>SUM(F20:F36)</f>
        <v>118111453.1059614</v>
      </c>
      <c r="G38" s="94">
        <f>SUM(G20:G36)</f>
        <v>280800000</v>
      </c>
      <c r="H38" s="94">
        <f>SUM(H20:H36)</f>
        <v>203700000</v>
      </c>
      <c r="I38" s="94">
        <f>SUM(I20:I36)</f>
        <v>220900000</v>
      </c>
      <c r="J38" s="94">
        <f>SUM(J20:J36)</f>
        <v>246538470</v>
      </c>
      <c r="K38" s="94">
        <f>SUM(K20:K37)</f>
        <v>422445253</v>
      </c>
      <c r="L38" s="94">
        <f>SUM(L20:L37)</f>
        <v>274651400</v>
      </c>
      <c r="M38" s="94">
        <v>247300000</v>
      </c>
      <c r="N38" s="94">
        <v>287499000</v>
      </c>
      <c r="O38" s="94">
        <v>331280000</v>
      </c>
      <c r="P38" s="48">
        <f>SUM(P21:P37)</f>
        <v>257095651</v>
      </c>
      <c r="Q38" s="48">
        <f>SUM(Q21:Q37)</f>
        <v>308985158</v>
      </c>
      <c r="R38" s="48">
        <f>SUM(R20:R37)</f>
        <v>236325815</v>
      </c>
      <c r="S38" s="48">
        <f>SUM(S20:S37)</f>
        <v>227613174</v>
      </c>
      <c r="T38" s="94">
        <f>SUM(T20:T37)</f>
        <v>225200000</v>
      </c>
      <c r="U38" s="94">
        <f>SUM(U20:U37)</f>
        <v>227800000</v>
      </c>
    </row>
    <row r="39" spans="1:21" s="21" customFormat="1" ht="15" customHeight="1" x14ac:dyDescent="0.35">
      <c r="A39" s="36" t="s">
        <v>333</v>
      </c>
      <c r="B39" s="94"/>
      <c r="C39" s="94"/>
      <c r="D39" s="94"/>
      <c r="E39" s="94"/>
      <c r="F39" s="48"/>
      <c r="G39" s="94"/>
      <c r="H39" s="94"/>
      <c r="I39" s="94"/>
      <c r="J39" s="94"/>
      <c r="K39" s="94"/>
      <c r="L39" s="94"/>
      <c r="M39" s="94"/>
      <c r="N39" s="94"/>
      <c r="O39" s="94"/>
      <c r="P39" s="48"/>
      <c r="Q39" s="48"/>
      <c r="R39" s="48"/>
      <c r="S39" s="48"/>
      <c r="T39" s="94"/>
      <c r="U39" s="94"/>
    </row>
    <row r="40" spans="1:21" s="21" customFormat="1" ht="15" customHeight="1" x14ac:dyDescent="0.35">
      <c r="A40" s="20" t="s">
        <v>321</v>
      </c>
      <c r="B40" s="94"/>
      <c r="C40" s="94"/>
      <c r="D40" s="94"/>
      <c r="E40" s="94"/>
      <c r="F40" s="48"/>
      <c r="G40" s="94"/>
      <c r="H40" s="94"/>
      <c r="I40" s="94"/>
      <c r="J40" s="125">
        <v>0</v>
      </c>
      <c r="K40" s="125"/>
      <c r="L40" s="125"/>
      <c r="M40" s="125"/>
      <c r="N40" s="125"/>
      <c r="O40" s="125"/>
      <c r="P40" s="186">
        <f>0*SUM(P21:P32)</f>
        <v>0</v>
      </c>
      <c r="Q40" s="186">
        <f>0*SUM(Q21:Q32)</f>
        <v>0</v>
      </c>
      <c r="R40" s="186">
        <f>0*SUM(R21:R32)</f>
        <v>0</v>
      </c>
      <c r="S40" s="186">
        <f>0*SUM(S21:S32)</f>
        <v>0</v>
      </c>
      <c r="T40" s="46">
        <v>0</v>
      </c>
      <c r="U40" s="46">
        <v>0</v>
      </c>
    </row>
    <row r="41" spans="1:21" s="21" customFormat="1" ht="15" customHeight="1" x14ac:dyDescent="0.35">
      <c r="A41" s="20" t="s">
        <v>164</v>
      </c>
      <c r="B41" s="94"/>
      <c r="C41" s="94"/>
      <c r="D41" s="94"/>
      <c r="E41" s="94"/>
      <c r="F41" s="48"/>
      <c r="G41" s="94"/>
      <c r="H41" s="94"/>
      <c r="I41" s="94"/>
      <c r="J41" s="125">
        <f>SUM(J20:J32)*0.04</f>
        <v>8091153.7599999998</v>
      </c>
      <c r="K41" s="125">
        <f>0.04*SUM(K20:K34)</f>
        <v>14575741.439999999</v>
      </c>
      <c r="L41" s="125">
        <f>0.04*SUM(L20:L34)</f>
        <v>9405250.040000001</v>
      </c>
      <c r="M41" s="125">
        <v>8120000</v>
      </c>
      <c r="N41" s="125">
        <v>8874000</v>
      </c>
      <c r="O41" s="125">
        <v>11409000</v>
      </c>
      <c r="P41" s="125">
        <f>0.04*SUM(P21:P32)</f>
        <v>9000092.8399999999</v>
      </c>
      <c r="Q41" s="125">
        <f>0.04*SUM(Q21:Q32)</f>
        <v>10835257.960000001</v>
      </c>
      <c r="R41" s="125">
        <f>0.04*SUM(R20:R32)</f>
        <v>7728121.2800000003</v>
      </c>
      <c r="S41" s="125">
        <f>0.04*SUM(S20:S32)</f>
        <v>7428801.7199999997</v>
      </c>
      <c r="T41" s="46">
        <v>7412057.3645879356</v>
      </c>
      <c r="U41" s="46">
        <v>7437404.9440383958</v>
      </c>
    </row>
    <row r="42" spans="1:21" s="21" customFormat="1" ht="15" customHeight="1" x14ac:dyDescent="0.35">
      <c r="A42" s="20" t="s">
        <v>562</v>
      </c>
      <c r="B42" s="94"/>
      <c r="C42" s="94"/>
      <c r="D42" s="94"/>
      <c r="E42" s="94"/>
      <c r="F42" s="48"/>
      <c r="G42" s="94"/>
      <c r="H42" s="94"/>
      <c r="I42" s="94"/>
      <c r="J42" s="125">
        <v>0</v>
      </c>
      <c r="K42" s="125"/>
      <c r="L42" s="125"/>
      <c r="M42" s="125"/>
      <c r="N42" s="125"/>
      <c r="O42" s="125"/>
      <c r="P42" s="186">
        <f>0*SUM(P21:P32)</f>
        <v>0</v>
      </c>
      <c r="Q42" s="186">
        <f>0*SUM(Q21:Q32)</f>
        <v>0</v>
      </c>
      <c r="R42" s="186">
        <f>0*SUM(R21:R32)</f>
        <v>0</v>
      </c>
      <c r="S42" s="186">
        <f>0*SUM(S21:S32)</f>
        <v>0</v>
      </c>
      <c r="T42" s="46">
        <v>0</v>
      </c>
      <c r="U42" s="46">
        <v>0</v>
      </c>
    </row>
    <row r="43" spans="1:21" s="21" customFormat="1" ht="15" customHeight="1" x14ac:dyDescent="0.35">
      <c r="A43" s="47" t="s">
        <v>299</v>
      </c>
      <c r="B43" s="94"/>
      <c r="C43" s="94"/>
      <c r="D43" s="94"/>
      <c r="E43" s="94"/>
      <c r="F43" s="48"/>
      <c r="G43" s="94"/>
      <c r="H43" s="94"/>
      <c r="I43" s="94"/>
      <c r="J43" s="94">
        <f>J38+SUM(J40:J42)</f>
        <v>254629623.75999999</v>
      </c>
      <c r="K43" s="94">
        <f>K38+K41</f>
        <v>437020994.44</v>
      </c>
      <c r="L43" s="94">
        <f>L38+L41</f>
        <v>284056650.04000002</v>
      </c>
      <c r="M43" s="94">
        <f>M38+M41+M53</f>
        <v>257030000</v>
      </c>
      <c r="N43" s="94">
        <f>N38+N41+N53</f>
        <v>297983000</v>
      </c>
      <c r="O43" s="94">
        <f>O38+O41+O53</f>
        <v>344299000</v>
      </c>
      <c r="P43" s="48">
        <f t="shared" ref="P43:U43" si="0">P38+P41</f>
        <v>266095743.84</v>
      </c>
      <c r="Q43" s="48">
        <f t="shared" si="0"/>
        <v>319820415.95999998</v>
      </c>
      <c r="R43" s="48">
        <f t="shared" si="0"/>
        <v>244053936.28</v>
      </c>
      <c r="S43" s="48">
        <f t="shared" si="0"/>
        <v>235041975.72</v>
      </c>
      <c r="T43" s="94">
        <f t="shared" si="0"/>
        <v>232612057.36458793</v>
      </c>
      <c r="U43" s="94">
        <f t="shared" si="0"/>
        <v>235237404.94403839</v>
      </c>
    </row>
    <row r="44" spans="1:21" s="21" customFormat="1" ht="15" customHeight="1" x14ac:dyDescent="0.35">
      <c r="A44" s="47" t="s">
        <v>296</v>
      </c>
      <c r="B44" s="94"/>
      <c r="C44" s="94"/>
      <c r="D44" s="94"/>
      <c r="E44" s="94"/>
      <c r="F44" s="48"/>
      <c r="G44" s="94"/>
      <c r="H44" s="94"/>
      <c r="I44" s="94"/>
      <c r="J44" s="94"/>
      <c r="K44" s="94"/>
      <c r="L44" s="94"/>
      <c r="M44" s="94"/>
      <c r="N44" s="94"/>
      <c r="O44" s="94"/>
      <c r="P44" s="48"/>
      <c r="Q44" s="48"/>
      <c r="R44" s="48"/>
      <c r="S44" s="48"/>
      <c r="T44" s="94"/>
      <c r="U44" s="94"/>
    </row>
    <row r="45" spans="1:21" s="21" customFormat="1" ht="15" customHeight="1" x14ac:dyDescent="0.35">
      <c r="A45" s="20" t="s">
        <v>134</v>
      </c>
      <c r="B45" s="46">
        <v>33280000</v>
      </c>
      <c r="C45" s="46">
        <v>42880000</v>
      </c>
      <c r="D45" s="46">
        <v>38529278</v>
      </c>
      <c r="E45" s="46">
        <v>46622088</v>
      </c>
      <c r="F45" s="46">
        <v>18133690</v>
      </c>
      <c r="G45" s="46"/>
      <c r="H45" s="46"/>
      <c r="I45" s="46"/>
      <c r="J45" s="46">
        <f>$J$43*0.1</f>
        <v>25462962.376000002</v>
      </c>
      <c r="K45" s="46">
        <f t="shared" ref="K45:Q45" si="1">K43*0.1</f>
        <v>43702099.444000006</v>
      </c>
      <c r="L45" s="46">
        <f t="shared" si="1"/>
        <v>28405665.004000004</v>
      </c>
      <c r="M45" s="24">
        <f t="shared" si="1"/>
        <v>25703000</v>
      </c>
      <c r="N45" s="24">
        <f t="shared" si="1"/>
        <v>29798300</v>
      </c>
      <c r="O45" s="24">
        <f t="shared" si="1"/>
        <v>34429900</v>
      </c>
      <c r="P45" s="24">
        <f t="shared" si="1"/>
        <v>26609574.384000003</v>
      </c>
      <c r="Q45" s="24">
        <f t="shared" si="1"/>
        <v>31982041.596000001</v>
      </c>
      <c r="R45" s="24">
        <f>R43*0.1</f>
        <v>24405393.628000002</v>
      </c>
      <c r="S45" s="24">
        <f>S43*0.1</f>
        <v>23504197.572000001</v>
      </c>
      <c r="T45" s="46"/>
      <c r="U45" s="46"/>
    </row>
    <row r="46" spans="1:21" s="21" customFormat="1" ht="15" customHeight="1" x14ac:dyDescent="0.35">
      <c r="A46" s="20" t="s">
        <v>431</v>
      </c>
      <c r="B46" s="46">
        <v>35360000</v>
      </c>
      <c r="C46" s="46">
        <v>45560000</v>
      </c>
      <c r="D46" s="46">
        <v>40937358</v>
      </c>
      <c r="E46" s="46">
        <v>49535969</v>
      </c>
      <c r="F46" s="46">
        <v>19267046</v>
      </c>
      <c r="G46" s="46"/>
      <c r="H46" s="46"/>
      <c r="I46" s="46"/>
      <c r="J46" s="46">
        <f>$J$43*0.2</f>
        <v>50925924.752000004</v>
      </c>
      <c r="K46" s="46">
        <f>K43*0.2</f>
        <v>87404198.888000011</v>
      </c>
      <c r="L46" s="46">
        <f>L43*0.2</f>
        <v>56811330.008000009</v>
      </c>
      <c r="M46" s="24">
        <f>M43*0.2</f>
        <v>51406000</v>
      </c>
      <c r="N46" s="24">
        <f>N43*0.2</f>
        <v>59596600</v>
      </c>
      <c r="O46" s="24">
        <f>O43*0.2</f>
        <v>68859800</v>
      </c>
      <c r="P46" s="24">
        <f>P43*0.1</f>
        <v>26609574.384000003</v>
      </c>
      <c r="Q46" s="24">
        <f>Q43*0.1</f>
        <v>31982041.596000001</v>
      </c>
      <c r="R46" s="24">
        <f>R43*0.2</f>
        <v>48810787.256000005</v>
      </c>
      <c r="S46" s="24">
        <f>S43*0.2</f>
        <v>47008395.144000001</v>
      </c>
      <c r="T46" s="46">
        <v>23264105.89374426</v>
      </c>
      <c r="U46" s="46">
        <v>23526565.887305636</v>
      </c>
    </row>
    <row r="47" spans="1:21" s="21" customFormat="1" ht="15" customHeight="1" x14ac:dyDescent="0.35">
      <c r="A47" s="20" t="s">
        <v>136</v>
      </c>
      <c r="B47" s="46">
        <v>23920000</v>
      </c>
      <c r="C47" s="46">
        <v>30820000</v>
      </c>
      <c r="D47" s="46">
        <v>27692919</v>
      </c>
      <c r="E47" s="46">
        <v>33509626</v>
      </c>
      <c r="F47" s="46">
        <v>13033590</v>
      </c>
      <c r="G47" s="46"/>
      <c r="H47" s="46"/>
      <c r="I47" s="46"/>
      <c r="J47" s="46">
        <f>$J$43*0.1</f>
        <v>25462962.376000002</v>
      </c>
      <c r="K47" s="165"/>
      <c r="L47" s="165"/>
      <c r="P47" s="24">
        <f>P43*0.2</f>
        <v>53219148.768000007</v>
      </c>
      <c r="Q47" s="24">
        <f>Q43*0.2</f>
        <v>63964083.192000002</v>
      </c>
      <c r="R47" s="24">
        <f>R43*0.1</f>
        <v>24405393.628000002</v>
      </c>
      <c r="S47" s="24">
        <f>S43*0.1</f>
        <v>23504197.572000001</v>
      </c>
      <c r="T47" s="46">
        <v>46528211.78748852</v>
      </c>
      <c r="U47" s="46">
        <v>47053131.774611272</v>
      </c>
    </row>
    <row r="48" spans="1:21" s="21" customFormat="1" ht="15" customHeight="1" x14ac:dyDescent="0.35">
      <c r="A48" s="20" t="s">
        <v>166</v>
      </c>
      <c r="B48" s="46"/>
      <c r="C48" s="46"/>
      <c r="D48" s="46"/>
      <c r="E48" s="46"/>
      <c r="F48" s="46"/>
      <c r="G48" s="46"/>
      <c r="H48" s="46"/>
      <c r="I48" s="46"/>
      <c r="J48" s="46"/>
      <c r="K48" s="46">
        <f>K43*0.1</f>
        <v>43702099.444000006</v>
      </c>
      <c r="L48" s="46">
        <f>L43*0.1</f>
        <v>28405665.004000004</v>
      </c>
      <c r="M48" s="24">
        <f>M43*0.1</f>
        <v>25703000</v>
      </c>
      <c r="N48" s="24">
        <f>N43*0.1</f>
        <v>29798300</v>
      </c>
      <c r="O48" s="24">
        <f>O43*0.1</f>
        <v>34429900</v>
      </c>
      <c r="P48" s="24"/>
      <c r="Q48" s="24"/>
      <c r="R48" s="24"/>
      <c r="S48" s="24"/>
      <c r="T48" s="46">
        <v>23264105.89374426</v>
      </c>
      <c r="U48" s="46">
        <v>23526565.887305636</v>
      </c>
    </row>
    <row r="49" spans="1:21" s="21" customFormat="1" ht="15" customHeight="1" x14ac:dyDescent="0.35">
      <c r="A49" s="20" t="s">
        <v>137</v>
      </c>
      <c r="B49" s="46">
        <v>38480000</v>
      </c>
      <c r="C49" s="46">
        <v>49580000</v>
      </c>
      <c r="D49" s="46">
        <v>72217125</v>
      </c>
      <c r="E49" s="46">
        <v>87809903</v>
      </c>
      <c r="F49" s="24">
        <v>4193416</v>
      </c>
      <c r="G49" s="46"/>
      <c r="H49" s="46"/>
      <c r="I49" s="46"/>
      <c r="J49" s="46">
        <f>$J$43*0.1</f>
        <v>25462962.376000002</v>
      </c>
      <c r="K49" s="46">
        <f t="shared" ref="K49:Q49" si="2">K43*0.1</f>
        <v>43702099.444000006</v>
      </c>
      <c r="L49" s="46">
        <f t="shared" si="2"/>
        <v>28405665.004000004</v>
      </c>
      <c r="M49" s="24">
        <f t="shared" si="2"/>
        <v>25703000</v>
      </c>
      <c r="N49" s="24">
        <f t="shared" si="2"/>
        <v>29798300</v>
      </c>
      <c r="O49" s="24">
        <f t="shared" si="2"/>
        <v>34429900</v>
      </c>
      <c r="P49" s="24">
        <f t="shared" si="2"/>
        <v>26609574.384000003</v>
      </c>
      <c r="Q49" s="24">
        <f t="shared" si="2"/>
        <v>31982041.596000001</v>
      </c>
      <c r="R49" s="24">
        <f>R43*0.1</f>
        <v>24405393.628000002</v>
      </c>
      <c r="S49" s="24">
        <f>S43*0.1</f>
        <v>23504197.572000001</v>
      </c>
      <c r="T49" s="46">
        <v>23264105.89374426</v>
      </c>
      <c r="U49" s="46">
        <v>23526565.887305636</v>
      </c>
    </row>
    <row r="50" spans="1:21" s="21" customFormat="1" ht="15" customHeight="1" x14ac:dyDescent="0.35">
      <c r="A50" s="20" t="s">
        <v>334</v>
      </c>
      <c r="B50" s="46"/>
      <c r="C50" s="46"/>
      <c r="D50" s="46"/>
      <c r="E50" s="46"/>
      <c r="F50" s="24"/>
      <c r="G50" s="46"/>
      <c r="H50" s="46"/>
      <c r="I50" s="46"/>
      <c r="J50" s="46">
        <f>$J$43*0.1</f>
        <v>25462962.376000002</v>
      </c>
      <c r="K50" s="46">
        <f t="shared" ref="K50:Q50" si="3">K43*0.1</f>
        <v>43702099.444000006</v>
      </c>
      <c r="L50" s="46">
        <f t="shared" si="3"/>
        <v>28405665.004000004</v>
      </c>
      <c r="M50" s="24">
        <f t="shared" si="3"/>
        <v>25703000</v>
      </c>
      <c r="N50" s="24">
        <f t="shared" si="3"/>
        <v>29798300</v>
      </c>
      <c r="O50" s="24">
        <f t="shared" si="3"/>
        <v>34429900</v>
      </c>
      <c r="P50" s="24">
        <f t="shared" si="3"/>
        <v>26609574.384000003</v>
      </c>
      <c r="Q50" s="24">
        <f t="shared" si="3"/>
        <v>31982041.596000001</v>
      </c>
      <c r="R50" s="24">
        <f>R43*0.1</f>
        <v>24405393.628000002</v>
      </c>
      <c r="S50" s="24">
        <f>S43*0.1</f>
        <v>23504197.572000001</v>
      </c>
      <c r="T50" s="46">
        <v>23264105.89374426</v>
      </c>
      <c r="U50" s="46">
        <v>23526565.887305636</v>
      </c>
    </row>
    <row r="51" spans="1:21" s="21" customFormat="1" ht="15" customHeight="1" x14ac:dyDescent="0.35">
      <c r="A51" s="47" t="s">
        <v>297</v>
      </c>
      <c r="B51" s="94">
        <v>132000000</v>
      </c>
      <c r="C51" s="94">
        <v>272000000</v>
      </c>
      <c r="D51" s="94">
        <f>SUM(D45:D49)</f>
        <v>179376680</v>
      </c>
      <c r="E51" s="94">
        <f>SUM(E45:E49)</f>
        <v>217477586</v>
      </c>
      <c r="F51" s="48">
        <f>SUM(F45:F49)</f>
        <v>54627742</v>
      </c>
      <c r="G51" s="94">
        <v>174000000</v>
      </c>
      <c r="H51" s="94">
        <v>126000000</v>
      </c>
      <c r="I51" s="94">
        <v>137000000</v>
      </c>
      <c r="J51" s="94">
        <f t="shared" ref="J51:Q51" si="4">SUM(J45:J50)</f>
        <v>152777774.25600001</v>
      </c>
      <c r="K51" s="94">
        <f t="shared" si="4"/>
        <v>262212596.66400003</v>
      </c>
      <c r="L51" s="94">
        <f t="shared" si="4"/>
        <v>170433990.02400002</v>
      </c>
      <c r="M51" s="94">
        <f t="shared" si="4"/>
        <v>154218000</v>
      </c>
      <c r="N51" s="94">
        <f t="shared" si="4"/>
        <v>178789800</v>
      </c>
      <c r="O51" s="94">
        <f t="shared" si="4"/>
        <v>206579400</v>
      </c>
      <c r="P51" s="48">
        <f t="shared" si="4"/>
        <v>159657446.30400002</v>
      </c>
      <c r="Q51" s="48">
        <f t="shared" si="4"/>
        <v>191892249.57600003</v>
      </c>
      <c r="R51" s="48">
        <f>SUM(R45:R50)</f>
        <v>146432361.76800001</v>
      </c>
      <c r="S51" s="48">
        <f>SUM(S45:S50)</f>
        <v>141025185.43200001</v>
      </c>
      <c r="T51" s="94">
        <f t="shared" ref="T51:U51" si="5">SUM(T45:T50)</f>
        <v>139584635.36246556</v>
      </c>
      <c r="U51" s="94">
        <f t="shared" si="5"/>
        <v>141159395.32383382</v>
      </c>
    </row>
    <row r="52" spans="1:21" s="21" customFormat="1" ht="15" customHeight="1" x14ac:dyDescent="0.35">
      <c r="A52" s="47" t="s">
        <v>138</v>
      </c>
      <c r="B52" s="95">
        <v>383000000</v>
      </c>
      <c r="C52" s="95">
        <v>499000000</v>
      </c>
      <c r="D52" s="95">
        <f>D38+D51</f>
        <v>433302747</v>
      </c>
      <c r="E52" s="95">
        <f>E38+E51</f>
        <v>526859420</v>
      </c>
      <c r="F52" s="49">
        <f>SUM(F38,F51)</f>
        <v>172739195.10596138</v>
      </c>
      <c r="G52" s="95">
        <f>SUM(G38,G51)</f>
        <v>454800000</v>
      </c>
      <c r="H52" s="95">
        <f>SUM(H38,H51)</f>
        <v>329700000</v>
      </c>
      <c r="I52" s="95">
        <f>SUM(I38,I51)</f>
        <v>357900000</v>
      </c>
      <c r="J52" s="95">
        <f>SUM(J43,J51)</f>
        <v>407407398.01600003</v>
      </c>
      <c r="K52" s="95">
        <f t="shared" ref="K52:Q52" si="6">K43+K51</f>
        <v>699233591.10400009</v>
      </c>
      <c r="L52" s="95">
        <f t="shared" si="6"/>
        <v>454490640.06400001</v>
      </c>
      <c r="M52" s="95">
        <f t="shared" si="6"/>
        <v>411248000</v>
      </c>
      <c r="N52" s="95">
        <f t="shared" si="6"/>
        <v>476772800</v>
      </c>
      <c r="O52" s="95">
        <f t="shared" si="6"/>
        <v>550878400</v>
      </c>
      <c r="P52" s="49">
        <f t="shared" si="6"/>
        <v>425753190.14400005</v>
      </c>
      <c r="Q52" s="49">
        <f t="shared" si="6"/>
        <v>511712665.53600001</v>
      </c>
      <c r="R52" s="49">
        <f>R43+R51</f>
        <v>390486298.04799998</v>
      </c>
      <c r="S52" s="49">
        <f>S43+S51</f>
        <v>376067161.15200001</v>
      </c>
      <c r="T52" s="95">
        <f>T43+T51</f>
        <v>372196692.72705352</v>
      </c>
      <c r="U52" s="95">
        <f>U43+U51</f>
        <v>376396800.26787221</v>
      </c>
    </row>
    <row r="53" spans="1:21" s="21" customFormat="1" ht="15" customHeight="1" x14ac:dyDescent="0.35">
      <c r="A53" s="20" t="s">
        <v>190</v>
      </c>
      <c r="B53" s="46">
        <v>6240000</v>
      </c>
      <c r="C53" s="46">
        <v>8040000</v>
      </c>
      <c r="D53" s="46">
        <v>7224240</v>
      </c>
      <c r="E53" s="46">
        <v>8741642</v>
      </c>
      <c r="F53" s="49"/>
      <c r="G53" s="46"/>
      <c r="H53" s="46"/>
      <c r="I53" s="46"/>
      <c r="J53" s="46">
        <v>1610000</v>
      </c>
      <c r="K53" s="46">
        <v>1610000</v>
      </c>
      <c r="L53" s="46">
        <v>1610000</v>
      </c>
      <c r="M53" s="46">
        <v>1610000</v>
      </c>
      <c r="N53" s="46">
        <v>1610000</v>
      </c>
      <c r="O53" s="46">
        <v>1610000</v>
      </c>
      <c r="P53" s="24">
        <f>132*14000</f>
        <v>1848000</v>
      </c>
      <c r="Q53" s="24">
        <f>132*14000</f>
        <v>1848000</v>
      </c>
      <c r="R53" s="24">
        <f>115*14000</f>
        <v>1610000</v>
      </c>
      <c r="S53" s="24">
        <f>115*14000</f>
        <v>1610000</v>
      </c>
      <c r="T53" s="46">
        <v>1600000</v>
      </c>
      <c r="U53" s="46">
        <v>1600000</v>
      </c>
    </row>
    <row r="54" spans="1:21" s="21" customFormat="1" ht="15" customHeight="1" x14ac:dyDescent="0.35">
      <c r="A54" s="20" t="s">
        <v>90</v>
      </c>
      <c r="B54" s="95"/>
      <c r="C54" s="95"/>
      <c r="D54" s="95">
        <f>D52*D107</f>
        <v>64995412.049999997</v>
      </c>
      <c r="E54" s="95">
        <f>E52*E107</f>
        <v>79028913</v>
      </c>
      <c r="F54" s="49"/>
      <c r="G54" s="46">
        <f>G52*G107</f>
        <v>22740000</v>
      </c>
      <c r="H54" s="46">
        <f>H52*H107</f>
        <v>16485000</v>
      </c>
      <c r="I54" s="46">
        <f>I52*I107</f>
        <v>17895000</v>
      </c>
      <c r="J54" s="46">
        <f>J52*J107</f>
        <v>20370369.900800005</v>
      </c>
      <c r="K54" s="46">
        <f t="shared" ref="K54:Q54" si="7">0.05*K52</f>
        <v>34961679.555200003</v>
      </c>
      <c r="L54" s="46">
        <f t="shared" si="7"/>
        <v>22724532.003200002</v>
      </c>
      <c r="M54" s="24">
        <f t="shared" si="7"/>
        <v>20562400</v>
      </c>
      <c r="N54" s="24">
        <f t="shared" si="7"/>
        <v>23838640</v>
      </c>
      <c r="O54" s="24">
        <f t="shared" si="7"/>
        <v>27543920</v>
      </c>
      <c r="P54" s="24">
        <f t="shared" si="7"/>
        <v>21287659.507200003</v>
      </c>
      <c r="Q54" s="24">
        <f t="shared" si="7"/>
        <v>25585633.276800003</v>
      </c>
      <c r="R54" s="24">
        <f>0.05*R52</f>
        <v>19524314.902399998</v>
      </c>
      <c r="S54" s="24">
        <f>0.05*S52</f>
        <v>18803358.057600003</v>
      </c>
      <c r="T54" s="46">
        <f>0.05*T52</f>
        <v>18609834.636352677</v>
      </c>
      <c r="U54" s="46">
        <f>0.05*U52</f>
        <v>18819840.013393611</v>
      </c>
    </row>
    <row r="55" spans="1:21" s="21" customFormat="1" ht="15" customHeight="1" x14ac:dyDescent="0.35">
      <c r="A55" s="47" t="s">
        <v>202</v>
      </c>
      <c r="B55" s="95"/>
      <c r="C55" s="95"/>
      <c r="D55" s="95"/>
      <c r="E55" s="95"/>
      <c r="F55" s="49"/>
      <c r="G55" s="95">
        <v>478000000</v>
      </c>
      <c r="H55" s="95">
        <v>346000000</v>
      </c>
      <c r="I55" s="95">
        <v>376000000</v>
      </c>
      <c r="J55" s="95">
        <f>SUM(J52:J54)</f>
        <v>429387767.91680002</v>
      </c>
      <c r="K55" s="95">
        <f>K52+K54</f>
        <v>734195270.65920007</v>
      </c>
      <c r="L55" s="95">
        <f>L52+L54</f>
        <v>477215172.06720001</v>
      </c>
      <c r="M55" s="95">
        <f>M52+M54</f>
        <v>431810400</v>
      </c>
      <c r="N55" s="95">
        <f>N52+N54</f>
        <v>500611440</v>
      </c>
      <c r="O55" s="95">
        <f>O52+O54</f>
        <v>578422320</v>
      </c>
      <c r="P55" s="49">
        <f t="shared" ref="P55:T55" si="8">SUM(P52:P54)</f>
        <v>448888849.65120006</v>
      </c>
      <c r="Q55" s="49">
        <f t="shared" si="8"/>
        <v>539146298.81280005</v>
      </c>
      <c r="R55" s="49">
        <f t="shared" si="8"/>
        <v>411620612.95039999</v>
      </c>
      <c r="S55" s="49">
        <f t="shared" si="8"/>
        <v>396480519.20960003</v>
      </c>
      <c r="T55" s="95">
        <f t="shared" si="8"/>
        <v>392406527.36340618</v>
      </c>
      <c r="U55" s="95">
        <f>SUM(U52:U54)</f>
        <v>396816640.28126585</v>
      </c>
    </row>
    <row r="56" spans="1:21" s="21" customFormat="1" ht="15" customHeight="1" x14ac:dyDescent="0.35">
      <c r="A56" s="20"/>
      <c r="B56" s="46"/>
      <c r="C56" s="46"/>
      <c r="D56" s="46"/>
      <c r="E56" s="46"/>
      <c r="F56" s="24"/>
      <c r="G56" s="46"/>
      <c r="H56" s="46"/>
      <c r="I56" s="46"/>
      <c r="J56" s="46"/>
      <c r="K56" s="46"/>
      <c r="L56" s="46"/>
      <c r="M56" s="46"/>
      <c r="N56" s="46"/>
      <c r="O56" s="46"/>
      <c r="P56" s="24"/>
      <c r="Q56" s="24"/>
      <c r="R56" s="24"/>
      <c r="S56" s="24"/>
      <c r="T56" s="46"/>
      <c r="U56" s="46"/>
    </row>
    <row r="57" spans="1:21" s="21" customFormat="1" ht="15" customHeight="1" x14ac:dyDescent="0.35">
      <c r="A57" s="37" t="s">
        <v>52</v>
      </c>
      <c r="B57" s="46"/>
      <c r="C57" s="46"/>
      <c r="D57" s="46"/>
      <c r="E57" s="46"/>
      <c r="F57" s="24"/>
      <c r="G57" s="127"/>
      <c r="H57" s="46"/>
      <c r="I57" s="46"/>
      <c r="J57" s="46"/>
      <c r="K57" s="46"/>
      <c r="L57" s="46"/>
      <c r="M57" s="46"/>
      <c r="N57" s="46"/>
      <c r="O57" s="46"/>
      <c r="P57" s="24"/>
      <c r="Q57" s="24"/>
      <c r="R57" s="24"/>
      <c r="S57" s="24"/>
      <c r="T57" s="46"/>
      <c r="U57" s="46"/>
    </row>
    <row r="58" spans="1:21" s="21" customFormat="1" ht="15" customHeight="1" x14ac:dyDescent="0.35">
      <c r="A58" s="35" t="s">
        <v>406</v>
      </c>
      <c r="B58" s="46"/>
      <c r="C58" s="46"/>
      <c r="D58" s="46"/>
      <c r="E58" s="46"/>
      <c r="F58" s="24"/>
      <c r="G58" s="46"/>
      <c r="H58" s="46"/>
      <c r="I58" s="46"/>
      <c r="J58" s="46"/>
      <c r="K58" s="46"/>
      <c r="L58" s="46"/>
      <c r="M58" s="46"/>
      <c r="N58" s="46"/>
      <c r="O58" s="46"/>
      <c r="P58" s="24"/>
      <c r="Q58" s="46"/>
      <c r="R58" s="46"/>
      <c r="S58" s="46"/>
      <c r="T58" s="46"/>
      <c r="U58" s="46"/>
    </row>
    <row r="59" spans="1:21" s="21" customFormat="1" ht="15" customHeight="1" x14ac:dyDescent="0.35">
      <c r="A59" s="20" t="s">
        <v>63</v>
      </c>
      <c r="B59" s="45">
        <f>B11/0.907*2000*B13/B14</f>
        <v>48511576.62624035</v>
      </c>
      <c r="C59" s="45">
        <f>C11/0.907*2000*C13/C14</f>
        <v>48511576.62624035</v>
      </c>
      <c r="D59" s="45">
        <f>51300000/D14</f>
        <v>60394278.807413377</v>
      </c>
      <c r="E59" s="45">
        <f>51300000/E14</f>
        <v>60394278.807413377</v>
      </c>
      <c r="F59" s="25">
        <v>40825539</v>
      </c>
      <c r="G59" s="45">
        <f>46000000/G14</f>
        <v>51111111.111111112</v>
      </c>
      <c r="H59" s="45">
        <f>46000000/H14</f>
        <v>51111111.111111112</v>
      </c>
      <c r="I59" s="45">
        <f>46000000/I14</f>
        <v>51111111.111111112</v>
      </c>
      <c r="J59" s="45">
        <f>61160182/J14</f>
        <v>67955757.777777776</v>
      </c>
      <c r="K59" s="45">
        <f>57937000/K14</f>
        <v>64374444.44444444</v>
      </c>
      <c r="L59" s="45">
        <f>57937000/L14</f>
        <v>64374444.44444444</v>
      </c>
      <c r="M59" s="25">
        <f>58000000/M14</f>
        <v>64444444.44444444</v>
      </c>
      <c r="N59" s="25">
        <f>58000000/N14</f>
        <v>64444444.44444444</v>
      </c>
      <c r="O59" s="25">
        <f>58000000/O14</f>
        <v>64444444.44444444</v>
      </c>
      <c r="P59" s="25">
        <f>18533000/P14</f>
        <v>20592222.22222222</v>
      </c>
      <c r="Q59" s="45">
        <f>48783000/Q14</f>
        <v>54203333.333333328</v>
      </c>
      <c r="R59" s="45">
        <f>43873000/R14</f>
        <v>48747777.777777776</v>
      </c>
      <c r="S59" s="45">
        <f>43873000/S14</f>
        <v>48747777.777777776</v>
      </c>
      <c r="T59" s="45">
        <f>45800000/T14</f>
        <v>50888888.888888888</v>
      </c>
      <c r="U59" s="45">
        <f>43800000/U14</f>
        <v>48666666.666666664</v>
      </c>
    </row>
    <row r="60" spans="1:21" s="21" customFormat="1" ht="15" customHeight="1" x14ac:dyDescent="0.35">
      <c r="A60" s="20" t="s">
        <v>253</v>
      </c>
      <c r="B60" s="45"/>
      <c r="C60" s="45"/>
      <c r="D60" s="45">
        <f>2700000/D14</f>
        <v>3178646.2530217567</v>
      </c>
      <c r="E60" s="45">
        <f>3500000/E14</f>
        <v>4120467.3650282035</v>
      </c>
      <c r="F60" s="25"/>
      <c r="G60" s="45"/>
      <c r="H60" s="45"/>
      <c r="I60" s="45"/>
      <c r="J60" s="45"/>
      <c r="K60" s="45"/>
      <c r="L60" s="45"/>
      <c r="M60" s="45"/>
      <c r="N60" s="45"/>
      <c r="O60" s="45"/>
      <c r="P60" s="25"/>
      <c r="Q60" s="45"/>
      <c r="R60" s="45"/>
      <c r="S60" s="45"/>
      <c r="T60" s="45"/>
      <c r="U60" s="45"/>
    </row>
    <row r="61" spans="1:21" s="21" customFormat="1" ht="15" customHeight="1" x14ac:dyDescent="0.35">
      <c r="A61" s="20" t="s">
        <v>62</v>
      </c>
      <c r="B61" s="46"/>
      <c r="C61" s="46"/>
      <c r="D61" s="46"/>
      <c r="E61" s="46"/>
      <c r="F61" s="24">
        <v>0</v>
      </c>
      <c r="G61" s="46"/>
      <c r="H61" s="46"/>
      <c r="I61" s="46"/>
      <c r="J61" s="46">
        <f>101/J14</f>
        <v>112.22222222222221</v>
      </c>
      <c r="K61" s="46"/>
      <c r="L61" s="46"/>
      <c r="M61" s="25">
        <f>1440000/M14</f>
        <v>1600000</v>
      </c>
      <c r="N61" s="46"/>
      <c r="O61" s="46"/>
      <c r="P61" s="24">
        <f>58626000/P14</f>
        <v>65140000</v>
      </c>
      <c r="Q61" s="46">
        <f>17796000/Q14</f>
        <v>19773333.333333332</v>
      </c>
      <c r="R61" s="46"/>
      <c r="S61" s="46"/>
      <c r="T61" s="46">
        <f>0/T14</f>
        <v>0</v>
      </c>
      <c r="U61" s="46">
        <f>0/U14</f>
        <v>0</v>
      </c>
    </row>
    <row r="62" spans="1:21" s="21" customFormat="1" ht="15" customHeight="1" x14ac:dyDescent="0.35">
      <c r="A62" s="20" t="s">
        <v>64</v>
      </c>
      <c r="B62" s="46"/>
      <c r="C62" s="46"/>
      <c r="D62" s="46"/>
      <c r="E62" s="46"/>
      <c r="F62" s="24">
        <v>200172</v>
      </c>
      <c r="G62" s="46">
        <f>13300000/G14</f>
        <v>14777777.777777778</v>
      </c>
      <c r="H62" s="46">
        <f>3400000/H14</f>
        <v>3777777.7777777775</v>
      </c>
      <c r="I62" s="46">
        <f>4000000/I14</f>
        <v>4444444.444444444</v>
      </c>
      <c r="J62" s="46">
        <f>1625391/J14</f>
        <v>1805990</v>
      </c>
      <c r="K62" s="46"/>
      <c r="L62" s="46"/>
      <c r="M62" s="46">
        <f>24900000/M14</f>
        <v>27666666.666666664</v>
      </c>
      <c r="N62" s="46">
        <f>3610000/N14</f>
        <v>4011111.111111111</v>
      </c>
      <c r="O62" s="46">
        <f>4630000/O14</f>
        <v>5144444.444444444</v>
      </c>
      <c r="P62" s="24">
        <f>24000/P14</f>
        <v>26666.666666666664</v>
      </c>
      <c r="Q62" s="46">
        <f>26000/Q14</f>
        <v>28888.888888888887</v>
      </c>
      <c r="R62" s="46">
        <f>13021953/R14</f>
        <v>14468836.666666666</v>
      </c>
      <c r="S62" s="46">
        <f>10153414/S14</f>
        <v>11281571.11111111</v>
      </c>
      <c r="T62" s="46">
        <f>9900000/T14</f>
        <v>11000000</v>
      </c>
      <c r="U62" s="46">
        <f>11700000/U14</f>
        <v>13000000</v>
      </c>
    </row>
    <row r="63" spans="1:21" s="21" customFormat="1" ht="15" customHeight="1" x14ac:dyDescent="0.35">
      <c r="A63" s="188" t="s">
        <v>176</v>
      </c>
      <c r="B63" s="46">
        <f>$B$59*0.29/1.07</f>
        <v>13147997.403373551</v>
      </c>
      <c r="C63" s="46">
        <f>$C$59*0.38/1.07</f>
        <v>17228410.390627414</v>
      </c>
      <c r="D63" s="46"/>
      <c r="E63" s="46"/>
      <c r="F63" s="46"/>
      <c r="G63" s="46"/>
      <c r="H63" s="46"/>
      <c r="I63" s="46"/>
      <c r="J63" s="46"/>
      <c r="K63" s="46"/>
      <c r="L63" s="46"/>
      <c r="M63" s="46"/>
      <c r="N63" s="46"/>
      <c r="O63" s="46"/>
      <c r="P63" s="46"/>
      <c r="Q63" s="46"/>
      <c r="R63" s="46"/>
      <c r="S63" s="46"/>
      <c r="T63" s="46"/>
      <c r="U63" s="46"/>
    </row>
    <row r="64" spans="1:21" s="21" customFormat="1" ht="15" customHeight="1" x14ac:dyDescent="0.35">
      <c r="A64" s="20" t="s">
        <v>65</v>
      </c>
      <c r="B64" s="46"/>
      <c r="C64" s="46"/>
      <c r="D64" s="46"/>
      <c r="E64" s="46"/>
      <c r="F64" s="24">
        <v>484200</v>
      </c>
      <c r="G64" s="46"/>
      <c r="H64" s="46"/>
      <c r="I64" s="46"/>
      <c r="J64" s="46">
        <f>576643/J14</f>
        <v>640714.44444444438</v>
      </c>
      <c r="K64" s="46">
        <f>529000/K14</f>
        <v>587777.77777777775</v>
      </c>
      <c r="L64" s="46">
        <f>529000/L14</f>
        <v>587777.77777777775</v>
      </c>
      <c r="M64" s="46">
        <f>580000/M14</f>
        <v>644444.44444444438</v>
      </c>
      <c r="N64" s="46">
        <f>540000/N14</f>
        <v>600000</v>
      </c>
      <c r="O64" s="46">
        <f>540000/O14</f>
        <v>600000</v>
      </c>
      <c r="P64" s="24">
        <f>181000/P14</f>
        <v>201111.11111111109</v>
      </c>
      <c r="Q64" s="46">
        <f>477000/Q14</f>
        <v>530000</v>
      </c>
      <c r="R64" s="46">
        <f>556000/R14</f>
        <v>617777.77777777775</v>
      </c>
      <c r="S64" s="46">
        <f>556000/S14</f>
        <v>617777.77777777775</v>
      </c>
      <c r="T64" s="46">
        <f>600000/T14</f>
        <v>666666.66666666663</v>
      </c>
      <c r="U64" s="46">
        <f>600000/U14</f>
        <v>666666.66666666663</v>
      </c>
    </row>
    <row r="65" spans="1:21" s="21" customFormat="1" ht="15" customHeight="1" x14ac:dyDescent="0.35">
      <c r="A65" s="20" t="s">
        <v>417</v>
      </c>
      <c r="B65" s="46"/>
      <c r="C65" s="46"/>
      <c r="D65" s="46"/>
      <c r="E65" s="46"/>
      <c r="F65" s="24"/>
      <c r="G65" s="46"/>
      <c r="H65" s="46"/>
      <c r="I65" s="46"/>
      <c r="J65" s="46"/>
      <c r="K65" s="46">
        <f>4508000/K14</f>
        <v>5008888.888888889</v>
      </c>
      <c r="L65" s="46">
        <f>1041000/L14</f>
        <v>1156666.6666666667</v>
      </c>
      <c r="M65" s="46"/>
      <c r="N65" s="46"/>
      <c r="O65" s="46"/>
      <c r="P65" s="24">
        <f>2580000/P14</f>
        <v>2866666.6666666665</v>
      </c>
      <c r="Q65" s="46">
        <f>2767000/Q14</f>
        <v>3074444.4444444445</v>
      </c>
      <c r="R65" s="46">
        <f>1590000/R14</f>
        <v>1766666.6666666665</v>
      </c>
      <c r="S65" s="46">
        <f>1590000/S14</f>
        <v>1766666.6666666665</v>
      </c>
      <c r="T65" s="46"/>
      <c r="U65" s="46"/>
    </row>
    <row r="66" spans="1:21" s="21" customFormat="1" ht="15" customHeight="1" x14ac:dyDescent="0.35">
      <c r="A66" s="20" t="s">
        <v>122</v>
      </c>
      <c r="B66" s="46"/>
      <c r="C66" s="46"/>
      <c r="D66" s="46"/>
      <c r="E66" s="46"/>
      <c r="F66" s="24"/>
      <c r="G66" s="46"/>
      <c r="H66" s="46"/>
      <c r="I66" s="46"/>
      <c r="J66" s="46"/>
      <c r="K66" s="46">
        <f>1767000/K14</f>
        <v>1963333.3333333333</v>
      </c>
      <c r="L66" s="46">
        <f>1936000/L14</f>
        <v>2151111.111111111</v>
      </c>
      <c r="M66" s="46">
        <f>0/M14</f>
        <v>0</v>
      </c>
      <c r="N66" s="46">
        <f>0/N14</f>
        <v>0</v>
      </c>
      <c r="O66" s="46">
        <f>0/O14</f>
        <v>0</v>
      </c>
      <c r="P66" s="24"/>
      <c r="Q66" s="46"/>
      <c r="R66" s="46"/>
      <c r="S66" s="46"/>
      <c r="T66" s="46"/>
      <c r="U66" s="46"/>
    </row>
    <row r="67" spans="1:21" s="21" customFormat="1" ht="15" customHeight="1" x14ac:dyDescent="0.35">
      <c r="A67" s="20" t="s">
        <v>263</v>
      </c>
      <c r="B67" s="46"/>
      <c r="C67" s="46"/>
      <c r="D67" s="46">
        <f>3500000/D14</f>
        <v>4120467.3650282035</v>
      </c>
      <c r="E67" s="46">
        <f>2300000/E14</f>
        <v>2707735.6970185335</v>
      </c>
      <c r="F67" s="24"/>
      <c r="G67" s="46"/>
      <c r="H67" s="46"/>
      <c r="I67" s="46"/>
      <c r="J67" s="46">
        <f>2650/J14</f>
        <v>2944.4444444444443</v>
      </c>
      <c r="K67" s="46">
        <f>35000/K14</f>
        <v>38888.888888888891</v>
      </c>
      <c r="L67" s="46">
        <f>251000/L14</f>
        <v>278888.88888888888</v>
      </c>
      <c r="M67" s="46"/>
      <c r="N67" s="46"/>
      <c r="O67" s="46"/>
      <c r="P67" s="24">
        <f>304000/P14</f>
        <v>337777.77777777775</v>
      </c>
      <c r="Q67" s="46">
        <f>367000/Q14</f>
        <v>407777.77777777775</v>
      </c>
      <c r="R67" s="46">
        <f>49000/R14</f>
        <v>54444.444444444445</v>
      </c>
      <c r="S67" s="46">
        <f>41000/S14</f>
        <v>45555.555555555555</v>
      </c>
      <c r="T67" s="46"/>
      <c r="U67" s="46"/>
    </row>
    <row r="68" spans="1:21" s="21" customFormat="1" ht="15" customHeight="1" x14ac:dyDescent="0.35">
      <c r="A68" s="20" t="s">
        <v>262</v>
      </c>
      <c r="B68" s="46"/>
      <c r="C68" s="46"/>
      <c r="D68" s="46"/>
      <c r="E68" s="46"/>
      <c r="F68" s="24"/>
      <c r="G68" s="46"/>
      <c r="H68" s="46"/>
      <c r="I68" s="46"/>
      <c r="J68" s="46">
        <f>109292/J14</f>
        <v>121435.55555555555</v>
      </c>
      <c r="K68" s="46">
        <f>96000/K14</f>
        <v>106666.66666666666</v>
      </c>
      <c r="L68" s="46">
        <f>129000/L14</f>
        <v>143333.33333333334</v>
      </c>
      <c r="M68" s="46"/>
      <c r="N68" s="46"/>
      <c r="O68" s="46"/>
      <c r="P68" s="24">
        <f>22000/P14</f>
        <v>24444.444444444445</v>
      </c>
      <c r="Q68" s="46">
        <f>4000/Q14</f>
        <v>4444.4444444444443</v>
      </c>
      <c r="R68" s="46">
        <f>119000/R14</f>
        <v>132222.22222222222</v>
      </c>
      <c r="S68" s="46">
        <f>115000/S14</f>
        <v>127777.77777777778</v>
      </c>
      <c r="T68" s="46"/>
      <c r="U68" s="46"/>
    </row>
    <row r="69" spans="1:21" s="21" customFormat="1" ht="15" customHeight="1" x14ac:dyDescent="0.35">
      <c r="A69" s="20" t="s">
        <v>53</v>
      </c>
      <c r="B69" s="46"/>
      <c r="C69" s="46"/>
      <c r="D69" s="46"/>
      <c r="E69" s="46"/>
      <c r="F69" s="24">
        <v>13118</v>
      </c>
      <c r="G69" s="46"/>
      <c r="H69" s="46"/>
      <c r="I69" s="46"/>
      <c r="J69" s="46">
        <f>15622/J14</f>
        <v>17357.777777777777</v>
      </c>
      <c r="K69" s="46">
        <f>14000/K14</f>
        <v>15555.555555555555</v>
      </c>
      <c r="L69" s="46">
        <f>14000/L14</f>
        <v>15555.555555555555</v>
      </c>
      <c r="M69" s="46"/>
      <c r="N69" s="46"/>
      <c r="O69" s="46"/>
      <c r="P69" s="24">
        <f>5000/P14</f>
        <v>5555.5555555555557</v>
      </c>
      <c r="Q69" s="46">
        <f>13000/Q14</f>
        <v>14444.444444444443</v>
      </c>
      <c r="R69" s="46">
        <f>51000/R14</f>
        <v>56666.666666666664</v>
      </c>
      <c r="S69" s="46">
        <f>51000/S14</f>
        <v>56666.666666666664</v>
      </c>
      <c r="T69" s="46"/>
      <c r="U69" s="46"/>
    </row>
    <row r="70" spans="1:21" s="21" customFormat="1" ht="15" customHeight="1" x14ac:dyDescent="0.35">
      <c r="A70" s="20" t="s">
        <v>54</v>
      </c>
      <c r="B70" s="46"/>
      <c r="C70" s="46"/>
      <c r="D70" s="46"/>
      <c r="E70" s="46"/>
      <c r="F70" s="24">
        <v>58606</v>
      </c>
      <c r="G70" s="46"/>
      <c r="H70" s="46"/>
      <c r="I70" s="46"/>
      <c r="J70" s="46">
        <f>67698/J14</f>
        <v>75220</v>
      </c>
      <c r="K70" s="46">
        <f>79000/K14</f>
        <v>87777.777777777781</v>
      </c>
      <c r="L70" s="46">
        <f>37000/L14</f>
        <v>41111.111111111109</v>
      </c>
      <c r="M70" s="46"/>
      <c r="N70" s="46"/>
      <c r="O70" s="46"/>
      <c r="P70" s="24">
        <f>9000/P14</f>
        <v>10000</v>
      </c>
      <c r="Q70" s="46">
        <f>25000/Q14</f>
        <v>27777.777777777777</v>
      </c>
      <c r="R70" s="46">
        <f>68000/R14</f>
        <v>75555.555555555547</v>
      </c>
      <c r="S70" s="46">
        <f>64000/S14</f>
        <v>71111.111111111109</v>
      </c>
      <c r="T70" s="46"/>
      <c r="U70" s="46"/>
    </row>
    <row r="71" spans="1:21" s="21" customFormat="1" ht="15" customHeight="1" x14ac:dyDescent="0.35">
      <c r="A71" s="20" t="s">
        <v>55</v>
      </c>
      <c r="B71" s="46"/>
      <c r="C71" s="46"/>
      <c r="D71" s="46"/>
      <c r="E71" s="46"/>
      <c r="F71" s="24">
        <v>18989</v>
      </c>
      <c r="G71" s="46"/>
      <c r="H71" s="46"/>
      <c r="I71" s="46"/>
      <c r="J71" s="46">
        <f>7248/J14</f>
        <v>8053.333333333333</v>
      </c>
      <c r="K71" s="46">
        <f>16000/K14</f>
        <v>17777.777777777777</v>
      </c>
      <c r="L71" s="46">
        <f>53000/L14</f>
        <v>58888.888888888891</v>
      </c>
      <c r="M71" s="46"/>
      <c r="N71" s="46"/>
      <c r="O71" s="46"/>
      <c r="P71" s="24">
        <f>38000/P14</f>
        <v>42222.222222222219</v>
      </c>
      <c r="Q71" s="46">
        <f>45000/Q14</f>
        <v>50000</v>
      </c>
      <c r="R71" s="46">
        <f>15000/R14</f>
        <v>16666.666666666668</v>
      </c>
      <c r="S71" s="46">
        <f>13000/S14</f>
        <v>14444.444444444443</v>
      </c>
      <c r="T71" s="46"/>
      <c r="U71" s="46"/>
    </row>
    <row r="72" spans="1:21" s="21" customFormat="1" ht="15" customHeight="1" x14ac:dyDescent="0.35">
      <c r="A72" s="20" t="s">
        <v>271</v>
      </c>
      <c r="B72" s="46"/>
      <c r="C72" s="46"/>
      <c r="D72" s="46"/>
      <c r="E72" s="46"/>
      <c r="F72" s="24"/>
      <c r="G72" s="46"/>
      <c r="H72" s="46"/>
      <c r="I72" s="46"/>
      <c r="J72" s="46">
        <f>35307/J14</f>
        <v>39230</v>
      </c>
      <c r="K72" s="46"/>
      <c r="L72" s="46"/>
      <c r="M72" s="46"/>
      <c r="N72" s="46"/>
      <c r="O72" s="46"/>
      <c r="P72" s="24">
        <f>110000/P14</f>
        <v>122222.22222222222</v>
      </c>
      <c r="Q72" s="46">
        <f>300/Q14</f>
        <v>333.33333333333331</v>
      </c>
      <c r="R72" s="46">
        <f>34000/R14</f>
        <v>37777.777777777774</v>
      </c>
      <c r="S72" s="46">
        <f>33000/S14</f>
        <v>36666.666666666664</v>
      </c>
      <c r="T72" s="46"/>
      <c r="U72" s="46"/>
    </row>
    <row r="73" spans="1:21" s="21" customFormat="1" ht="15" customHeight="1" x14ac:dyDescent="0.35">
      <c r="A73" s="20" t="s">
        <v>56</v>
      </c>
      <c r="B73" s="46"/>
      <c r="C73" s="46"/>
      <c r="D73" s="46"/>
      <c r="E73" s="46"/>
      <c r="F73" s="24">
        <v>192980</v>
      </c>
      <c r="G73" s="46"/>
      <c r="H73" s="46"/>
      <c r="I73" s="46"/>
      <c r="J73" s="46">
        <f>2291095/J14</f>
        <v>2545661.111111111</v>
      </c>
      <c r="K73" s="46">
        <f>225000/K14</f>
        <v>250000</v>
      </c>
      <c r="L73" s="46">
        <f>225000/L14</f>
        <v>250000</v>
      </c>
      <c r="M73" s="46"/>
      <c r="N73" s="46"/>
      <c r="O73" s="46"/>
      <c r="P73" s="24">
        <f>289000/P14</f>
        <v>321111.11111111112</v>
      </c>
      <c r="Q73" s="46">
        <f>289000/Q14</f>
        <v>321111.11111111112</v>
      </c>
      <c r="R73" s="46">
        <f>289000/R14</f>
        <v>321111.11111111112</v>
      </c>
      <c r="S73" s="46">
        <f>289000/S14</f>
        <v>321111.11111111112</v>
      </c>
      <c r="T73" s="46"/>
      <c r="U73" s="46"/>
    </row>
    <row r="74" spans="1:21" s="21" customFormat="1" ht="15" customHeight="1" x14ac:dyDescent="0.35">
      <c r="A74" s="20" t="s">
        <v>366</v>
      </c>
      <c r="B74" s="46"/>
      <c r="C74" s="46"/>
      <c r="D74" s="46"/>
      <c r="E74" s="46"/>
      <c r="F74" s="24"/>
      <c r="G74" s="46"/>
      <c r="H74" s="46"/>
      <c r="I74" s="46"/>
      <c r="J74" s="46">
        <f>896837/J14</f>
        <v>996485.5555555555</v>
      </c>
      <c r="K74" s="46">
        <f>60000/K14</f>
        <v>66666.666666666672</v>
      </c>
      <c r="L74" s="46"/>
      <c r="M74" s="46"/>
      <c r="N74" s="46"/>
      <c r="O74" s="46"/>
      <c r="P74" s="24">
        <f>69000/P14</f>
        <v>76666.666666666672</v>
      </c>
      <c r="Q74" s="46">
        <f>255000/Q14</f>
        <v>283333.33333333331</v>
      </c>
      <c r="R74" s="46">
        <f>883000/R14</f>
        <v>981111.11111111112</v>
      </c>
      <c r="S74" s="46">
        <f>857000/S14</f>
        <v>952222.22222222225</v>
      </c>
      <c r="T74" s="46"/>
      <c r="U74" s="46"/>
    </row>
    <row r="75" spans="1:21" s="21" customFormat="1" ht="15" customHeight="1" x14ac:dyDescent="0.35">
      <c r="A75" s="20" t="s">
        <v>367</v>
      </c>
      <c r="B75" s="46"/>
      <c r="C75" s="46"/>
      <c r="D75" s="46"/>
      <c r="E75" s="46"/>
      <c r="F75" s="24"/>
      <c r="G75" s="46"/>
      <c r="H75" s="46"/>
      <c r="I75" s="46"/>
      <c r="J75" s="46">
        <f>58392/J14</f>
        <v>64880</v>
      </c>
      <c r="K75" s="46"/>
      <c r="L75" s="46"/>
      <c r="M75" s="46"/>
      <c r="N75" s="46"/>
      <c r="O75" s="46"/>
      <c r="P75" s="24"/>
      <c r="Q75" s="46"/>
      <c r="R75" s="46">
        <f>58000/R14</f>
        <v>64444.444444444445</v>
      </c>
      <c r="S75" s="46">
        <f>58000/S14</f>
        <v>64444.444444444445</v>
      </c>
      <c r="T75" s="46"/>
      <c r="U75" s="46"/>
    </row>
    <row r="76" spans="1:21" s="21" customFormat="1" ht="15" customHeight="1" x14ac:dyDescent="0.35">
      <c r="A76" s="20" t="s">
        <v>469</v>
      </c>
      <c r="B76" s="46"/>
      <c r="C76" s="46"/>
      <c r="D76" s="46"/>
      <c r="E76" s="46"/>
      <c r="F76" s="24"/>
      <c r="G76" s="46"/>
      <c r="H76" s="46"/>
      <c r="I76" s="46"/>
      <c r="J76" s="46"/>
      <c r="K76" s="46">
        <f>33000/K14</f>
        <v>36666.666666666664</v>
      </c>
      <c r="L76" s="46"/>
      <c r="M76" s="46"/>
      <c r="N76" s="46"/>
      <c r="O76" s="46"/>
      <c r="P76" s="24"/>
      <c r="Q76" s="46"/>
      <c r="R76" s="46"/>
      <c r="S76" s="46"/>
      <c r="T76" s="46"/>
      <c r="U76" s="46"/>
    </row>
    <row r="77" spans="1:21" s="21" customFormat="1" ht="15" customHeight="1" x14ac:dyDescent="0.35">
      <c r="A77" s="20" t="s">
        <v>473</v>
      </c>
      <c r="B77" s="46"/>
      <c r="C77" s="46"/>
      <c r="D77" s="46"/>
      <c r="E77" s="46"/>
      <c r="F77" s="24"/>
      <c r="G77" s="46"/>
      <c r="H77" s="46"/>
      <c r="I77" s="46"/>
      <c r="J77" s="46">
        <f>880000/J14</f>
        <v>977777.77777777775</v>
      </c>
      <c r="K77" s="46">
        <f>25000/K14</f>
        <v>27777.777777777777</v>
      </c>
      <c r="L77" s="46">
        <f>614000/L14</f>
        <v>682222.22222222225</v>
      </c>
      <c r="M77" s="46"/>
      <c r="N77" s="46"/>
      <c r="O77" s="46"/>
      <c r="P77" s="24"/>
      <c r="Q77" s="46"/>
      <c r="R77" s="46"/>
      <c r="S77" s="46"/>
      <c r="T77" s="46"/>
      <c r="U77" s="46"/>
    </row>
    <row r="78" spans="1:21" s="21" customFormat="1" ht="15" customHeight="1" x14ac:dyDescent="0.35">
      <c r="A78" s="20" t="s">
        <v>66</v>
      </c>
      <c r="B78" s="46"/>
      <c r="C78" s="46"/>
      <c r="D78" s="46">
        <f>1300000/D14</f>
        <v>1530459.3070104755</v>
      </c>
      <c r="E78" s="46">
        <f>1400000/E14</f>
        <v>1648186.9460112813</v>
      </c>
      <c r="F78" s="24"/>
      <c r="G78" s="46"/>
      <c r="H78" s="46"/>
      <c r="I78" s="46"/>
      <c r="J78" s="46"/>
      <c r="K78" s="46"/>
      <c r="L78" s="46">
        <f>25000/L14</f>
        <v>27777.777777777777</v>
      </c>
      <c r="M78" s="46">
        <f>2400000/M14</f>
        <v>2666666.6666666665</v>
      </c>
      <c r="N78" s="46">
        <f>1290000/N14</f>
        <v>1433333.3333333333</v>
      </c>
      <c r="O78" s="46">
        <f>1110000/O14</f>
        <v>1233333.3333333333</v>
      </c>
      <c r="P78" s="24"/>
      <c r="Q78" s="46"/>
      <c r="R78" s="46"/>
      <c r="S78" s="46"/>
      <c r="T78" s="46">
        <f>1500000/T14</f>
        <v>1666666.6666666665</v>
      </c>
      <c r="U78" s="46">
        <f>1500000/U14</f>
        <v>1666666.6666666665</v>
      </c>
    </row>
    <row r="79" spans="1:21" s="21" customFormat="1" ht="15" customHeight="1" x14ac:dyDescent="0.35">
      <c r="A79" s="20" t="s">
        <v>67</v>
      </c>
      <c r="B79" s="46">
        <f>$B$59*0.04/1.07</f>
        <v>1813516.8832239383</v>
      </c>
      <c r="C79" s="46">
        <f>$C$59*0.05/1.07</f>
        <v>2266896.1040299227</v>
      </c>
      <c r="D79" s="46">
        <f>1500000/D14</f>
        <v>1765914.5850120871</v>
      </c>
      <c r="E79" s="46">
        <f>1500000/E14</f>
        <v>1765914.5850120871</v>
      </c>
      <c r="F79" s="24">
        <v>623293</v>
      </c>
      <c r="G79" s="46">
        <f>700000/G14</f>
        <v>777777.77777777775</v>
      </c>
      <c r="H79" s="46">
        <f>600000/H14</f>
        <v>666666.66666666663</v>
      </c>
      <c r="I79" s="46">
        <f>700000/I14</f>
        <v>777777.77777777775</v>
      </c>
      <c r="J79" s="46">
        <f>571418/J14</f>
        <v>634908.88888888888</v>
      </c>
      <c r="K79" s="46">
        <f>553000/K14</f>
        <v>614444.44444444438</v>
      </c>
      <c r="L79" s="46">
        <f>843000/L14</f>
        <v>936666.66666666663</v>
      </c>
      <c r="M79" s="46">
        <f>410000/M14</f>
        <v>455555.55555555556</v>
      </c>
      <c r="N79" s="46">
        <f>850000/N14</f>
        <v>944444.44444444438</v>
      </c>
      <c r="O79" s="46">
        <f>600000/O14</f>
        <v>666666.66666666663</v>
      </c>
      <c r="P79" s="24">
        <f>159000/P14</f>
        <v>176666.66666666666</v>
      </c>
      <c r="Q79" s="46">
        <f>411000/Q14</f>
        <v>456666.66666666663</v>
      </c>
      <c r="R79" s="46">
        <f>1548000/R14</f>
        <v>1720000</v>
      </c>
      <c r="S79" s="46">
        <f>1549000/S14</f>
        <v>1721111.111111111</v>
      </c>
      <c r="T79" s="46">
        <f>1000000/T14</f>
        <v>1111111.111111111</v>
      </c>
      <c r="U79" s="46">
        <f>1600000/U14</f>
        <v>1777777.7777777778</v>
      </c>
    </row>
    <row r="80" spans="1:21" s="21" customFormat="1" ht="15" customHeight="1" x14ac:dyDescent="0.35">
      <c r="A80" s="20" t="s">
        <v>121</v>
      </c>
      <c r="B80" s="46"/>
      <c r="C80" s="46"/>
      <c r="D80" s="46"/>
      <c r="E80" s="46"/>
      <c r="F80" s="24"/>
      <c r="G80" s="46"/>
      <c r="H80" s="46"/>
      <c r="I80" s="46"/>
      <c r="J80" s="46">
        <f>36507/J14</f>
        <v>40563.333333333336</v>
      </c>
      <c r="K80" s="46">
        <f>19000/K14</f>
        <v>21111.111111111109</v>
      </c>
      <c r="L80" s="46">
        <f>32000/L14</f>
        <v>35555.555555555555</v>
      </c>
      <c r="M80" s="46"/>
      <c r="N80" s="46"/>
      <c r="O80" s="46"/>
      <c r="P80" s="24">
        <f>4000/P14</f>
        <v>4444.4444444444443</v>
      </c>
      <c r="Q80" s="46">
        <f>43000/Q14</f>
        <v>47777.777777777774</v>
      </c>
      <c r="R80" s="46">
        <f>52000/R14</f>
        <v>57777.777777777774</v>
      </c>
      <c r="S80" s="46">
        <f>47000/S14</f>
        <v>52222.222222222219</v>
      </c>
      <c r="T80" s="46"/>
      <c r="U80" s="46"/>
    </row>
    <row r="81" spans="1:21" s="21" customFormat="1" ht="15" customHeight="1" x14ac:dyDescent="0.35">
      <c r="A81" s="20" t="s">
        <v>57</v>
      </c>
      <c r="B81" s="46">
        <f>$B$59*0.13/1.07</f>
        <v>5893929.8704777993</v>
      </c>
      <c r="D81" s="46"/>
      <c r="E81" s="46"/>
      <c r="F81" s="24">
        <v>0</v>
      </c>
      <c r="G81" s="46">
        <f>1200000/G14</f>
        <v>1333333.3333333333</v>
      </c>
      <c r="H81" s="46">
        <f>5400000/H14</f>
        <v>6000000</v>
      </c>
      <c r="I81" s="46">
        <f>17100000/I14</f>
        <v>19000000</v>
      </c>
      <c r="J81" s="46">
        <f>51/J14</f>
        <v>56.666666666666664</v>
      </c>
      <c r="K81" s="46"/>
      <c r="L81" s="46"/>
      <c r="M81" s="46"/>
      <c r="N81" s="46"/>
      <c r="O81" s="46"/>
      <c r="P81" s="24"/>
      <c r="Q81" s="46"/>
      <c r="R81" s="46">
        <f>3000/R14</f>
        <v>3333.333333333333</v>
      </c>
      <c r="S81" s="46">
        <f>16000/S14</f>
        <v>17777.777777777777</v>
      </c>
      <c r="T81" s="46">
        <f>0/T14</f>
        <v>0</v>
      </c>
      <c r="U81" s="46">
        <f>0/U14</f>
        <v>0</v>
      </c>
    </row>
    <row r="82" spans="1:21" s="21" customFormat="1" ht="15" customHeight="1" x14ac:dyDescent="0.35">
      <c r="A82" s="20" t="s">
        <v>512</v>
      </c>
      <c r="C82" s="46">
        <f>$C$59*-0.38/1.07</f>
        <v>-17228410.390627414</v>
      </c>
      <c r="D82" s="46"/>
      <c r="E82" s="46">
        <f>-10000/E14</f>
        <v>-11772.763900080581</v>
      </c>
      <c r="F82" s="24"/>
      <c r="G82" s="46"/>
      <c r="H82" s="46"/>
      <c r="I82" s="46"/>
      <c r="J82" s="46">
        <f>18697/J14</f>
        <v>20774.444444444445</v>
      </c>
      <c r="K82" s="46"/>
      <c r="L82" s="46"/>
      <c r="M82" s="46"/>
      <c r="N82" s="46"/>
      <c r="O82" s="46"/>
      <c r="P82" s="24"/>
      <c r="Q82" s="46"/>
      <c r="R82" s="46"/>
      <c r="S82" s="46"/>
      <c r="T82" s="46">
        <f>-4140000/T14</f>
        <v>-4600000</v>
      </c>
      <c r="U82" s="46">
        <f>0/U14</f>
        <v>0</v>
      </c>
    </row>
    <row r="83" spans="1:21" s="21" customFormat="1" ht="15" customHeight="1" x14ac:dyDescent="0.35">
      <c r="A83" s="38" t="s">
        <v>57</v>
      </c>
      <c r="B83" s="46"/>
      <c r="C83" s="46"/>
      <c r="D83" s="46">
        <f>-6580000/D14</f>
        <v>-7746478.6462530224</v>
      </c>
      <c r="E83" s="46">
        <f>-5550000/E14</f>
        <v>-6533883.9645447228</v>
      </c>
      <c r="F83" s="24"/>
      <c r="G83" s="46"/>
      <c r="H83" s="46"/>
      <c r="I83" s="46"/>
      <c r="J83" s="46"/>
      <c r="K83" s="46">
        <f>-1670000/K14</f>
        <v>-1855555.5555555555</v>
      </c>
      <c r="L83" s="46">
        <f>-940000/L14</f>
        <v>-1044444.4444444444</v>
      </c>
      <c r="M83" s="46"/>
      <c r="N83" s="46"/>
      <c r="O83" s="46"/>
      <c r="P83" s="24">
        <f>-30000/P14</f>
        <v>-33333.333333333336</v>
      </c>
      <c r="Q83" s="46">
        <f>-4469000/Q14</f>
        <v>-4965555.555555555</v>
      </c>
      <c r="R83" s="46"/>
      <c r="S83" s="46"/>
      <c r="T83" s="46"/>
      <c r="U83" s="46"/>
    </row>
    <row r="84" spans="1:21" s="21" customFormat="1" ht="15" customHeight="1" x14ac:dyDescent="0.35">
      <c r="A84" s="38" t="s">
        <v>418</v>
      </c>
      <c r="B84" s="46"/>
      <c r="C84" s="46"/>
      <c r="D84" s="46"/>
      <c r="E84" s="46"/>
      <c r="F84" s="24"/>
      <c r="G84" s="46"/>
      <c r="H84" s="46"/>
      <c r="I84" s="46"/>
      <c r="J84" s="46"/>
      <c r="K84" s="46"/>
      <c r="L84" s="46"/>
      <c r="M84" s="46"/>
      <c r="N84" s="46"/>
      <c r="O84" s="46"/>
      <c r="P84" s="24">
        <f>-21672000/P14</f>
        <v>-24080000</v>
      </c>
      <c r="Q84" s="46">
        <f>-21599000/Q14</f>
        <v>-23998888.888888888</v>
      </c>
      <c r="R84" s="46"/>
      <c r="S84" s="46"/>
      <c r="T84" s="46"/>
      <c r="U84" s="46"/>
    </row>
    <row r="85" spans="1:21" s="21" customFormat="1" ht="15" customHeight="1" x14ac:dyDescent="0.35">
      <c r="A85" s="38" t="s">
        <v>122</v>
      </c>
      <c r="B85" s="46"/>
      <c r="C85" s="46"/>
      <c r="D85" s="46"/>
      <c r="E85" s="46"/>
      <c r="F85" s="24"/>
      <c r="G85" s="46"/>
      <c r="H85" s="46"/>
      <c r="I85" s="46"/>
      <c r="J85" s="46"/>
      <c r="K85" s="46"/>
      <c r="L85" s="46"/>
      <c r="M85" s="46"/>
      <c r="N85" s="46"/>
      <c r="O85" s="46"/>
      <c r="P85" s="24">
        <f>-24201000/P14</f>
        <v>-26890000</v>
      </c>
      <c r="Q85" s="46">
        <f>0/Q14</f>
        <v>0</v>
      </c>
      <c r="R85" s="46"/>
      <c r="S85" s="46"/>
      <c r="T85" s="46"/>
      <c r="U85" s="46"/>
    </row>
    <row r="86" spans="1:21" s="21" customFormat="1" ht="15" customHeight="1" x14ac:dyDescent="0.35">
      <c r="A86" s="38" t="s">
        <v>474</v>
      </c>
      <c r="B86" s="46"/>
      <c r="C86" s="46"/>
      <c r="D86" s="46"/>
      <c r="E86" s="46"/>
      <c r="F86" s="24"/>
      <c r="G86" s="46"/>
      <c r="H86" s="46"/>
      <c r="I86" s="46"/>
      <c r="J86" s="46"/>
      <c r="K86" s="46"/>
      <c r="L86" s="46">
        <f>3378000/L14</f>
        <v>3753333.333333333</v>
      </c>
      <c r="M86" s="46"/>
      <c r="N86" s="46"/>
      <c r="O86" s="46"/>
      <c r="P86" s="24"/>
      <c r="Q86" s="46"/>
      <c r="R86" s="46"/>
      <c r="S86" s="46"/>
      <c r="T86" s="46"/>
      <c r="U86" s="46"/>
    </row>
    <row r="87" spans="1:21" s="21" customFormat="1" ht="15" customHeight="1" x14ac:dyDescent="0.35">
      <c r="A87" s="38" t="s">
        <v>498</v>
      </c>
      <c r="B87" s="46"/>
      <c r="C87" s="46"/>
      <c r="D87" s="46">
        <f>-10000/D14</f>
        <v>-11772.763900080581</v>
      </c>
      <c r="E87" s="46"/>
      <c r="F87" s="24"/>
      <c r="G87" s="46"/>
      <c r="H87" s="46"/>
      <c r="I87" s="46"/>
      <c r="J87" s="46"/>
      <c r="K87" s="46"/>
      <c r="L87" s="46"/>
      <c r="M87" s="46"/>
      <c r="N87" s="46"/>
      <c r="O87" s="46"/>
      <c r="P87" s="24"/>
      <c r="Q87" s="46"/>
      <c r="R87" s="46">
        <f>-19000/R14</f>
        <v>-21111.111111111109</v>
      </c>
      <c r="S87" s="46">
        <f>-18000/S14</f>
        <v>-20000</v>
      </c>
      <c r="T87" s="46"/>
      <c r="U87" s="46"/>
    </row>
    <row r="88" spans="1:21" s="21" customFormat="1" ht="15" customHeight="1" x14ac:dyDescent="0.35">
      <c r="A88" s="38" t="s">
        <v>510</v>
      </c>
      <c r="B88" s="46">
        <f>$B$59*-0.3/1.07</f>
        <v>-13601376.624179536</v>
      </c>
      <c r="C88" s="46"/>
      <c r="D88" s="46"/>
      <c r="E88" s="46"/>
      <c r="F88" s="24"/>
      <c r="G88" s="46">
        <f>-7800000/G14</f>
        <v>-8666666.666666666</v>
      </c>
      <c r="H88" s="46">
        <f>-10600000/H14</f>
        <v>-11777777.777777778</v>
      </c>
      <c r="I88" s="46">
        <f>-14200000/I14</f>
        <v>-15777777.777777778</v>
      </c>
      <c r="J88" s="46"/>
      <c r="K88" s="46"/>
      <c r="L88" s="46"/>
      <c r="M88" s="46"/>
      <c r="N88" s="46"/>
      <c r="O88" s="46"/>
      <c r="P88" s="24"/>
      <c r="Q88" s="46"/>
      <c r="R88" s="46"/>
      <c r="S88" s="46"/>
      <c r="T88" s="46"/>
      <c r="U88" s="46"/>
    </row>
    <row r="89" spans="1:21" s="21" customFormat="1" ht="15" customHeight="1" x14ac:dyDescent="0.35">
      <c r="A89" s="35" t="s">
        <v>51</v>
      </c>
      <c r="B89" s="46">
        <f>$B$59*0.5/1.07</f>
        <v>22668961.040299229</v>
      </c>
      <c r="C89" s="46">
        <f>$C$59*0.61/1.07</f>
        <v>27656132.469165061</v>
      </c>
      <c r="D89" s="46"/>
      <c r="E89" s="46"/>
      <c r="F89" s="24"/>
      <c r="G89" s="46">
        <v>22600000</v>
      </c>
      <c r="H89" s="46">
        <v>17600000</v>
      </c>
      <c r="I89" s="46">
        <v>18700000</v>
      </c>
      <c r="J89" s="95"/>
      <c r="K89" s="95"/>
      <c r="L89" s="95"/>
      <c r="M89" s="95">
        <v>23000000</v>
      </c>
      <c r="N89" s="95">
        <v>23100000</v>
      </c>
      <c r="O89" s="95">
        <v>25900000</v>
      </c>
      <c r="P89" s="24"/>
      <c r="Q89" s="24"/>
      <c r="R89" s="24"/>
      <c r="S89" s="24"/>
      <c r="T89" s="205"/>
      <c r="U89" s="205"/>
    </row>
    <row r="90" spans="1:21" s="21" customFormat="1" ht="15" customHeight="1" x14ac:dyDescent="0.35">
      <c r="A90" s="20" t="s">
        <v>68</v>
      </c>
      <c r="B90" s="46"/>
      <c r="C90" s="46"/>
      <c r="D90" s="46">
        <v>2019685</v>
      </c>
      <c r="E90" s="46">
        <v>2019685</v>
      </c>
      <c r="F90" s="24">
        <v>3044000</v>
      </c>
      <c r="G90" s="46"/>
      <c r="H90" s="46"/>
      <c r="I90" s="46"/>
      <c r="J90" s="46">
        <v>2785456</v>
      </c>
      <c r="K90" s="46">
        <v>2911000</v>
      </c>
      <c r="L90" s="46">
        <v>2911000</v>
      </c>
      <c r="M90" s="46"/>
      <c r="N90" s="46"/>
      <c r="O90" s="46"/>
      <c r="P90" s="24">
        <v>3129450</v>
      </c>
      <c r="Q90" s="24">
        <v>3129450</v>
      </c>
      <c r="R90" s="24">
        <v>2944884</v>
      </c>
      <c r="S90" s="24">
        <v>2944884</v>
      </c>
      <c r="T90" s="46">
        <f>ROUNDUP(2.94488388746803*1000000,-3)</f>
        <v>2945000</v>
      </c>
      <c r="U90" s="46">
        <f>ROUNDUP(2.94488388746803*1000000,-3)</f>
        <v>2945000</v>
      </c>
    </row>
    <row r="91" spans="1:21" s="21" customFormat="1" ht="15" customHeight="1" x14ac:dyDescent="0.35">
      <c r="A91" s="20" t="s">
        <v>232</v>
      </c>
      <c r="B91" s="46"/>
      <c r="C91" s="46"/>
      <c r="D91" s="46">
        <v>1319033</v>
      </c>
      <c r="E91" s="46">
        <v>1319033</v>
      </c>
      <c r="F91" s="24">
        <v>2890000</v>
      </c>
      <c r="G91" s="46"/>
      <c r="H91" s="46"/>
      <c r="I91" s="46"/>
      <c r="J91" s="46">
        <f>J90*0.9</f>
        <v>2506910.4</v>
      </c>
      <c r="K91" s="46">
        <f>K90*0.9</f>
        <v>2619900</v>
      </c>
      <c r="L91" s="46">
        <f>L90*0.9</f>
        <v>2619900</v>
      </c>
      <c r="M91" s="46"/>
      <c r="N91" s="46"/>
      <c r="O91" s="46"/>
      <c r="P91" s="24">
        <f>0.9*P90</f>
        <v>2816505</v>
      </c>
      <c r="Q91" s="24">
        <f>0.9*Q90</f>
        <v>2816505</v>
      </c>
      <c r="R91" s="24">
        <f>0.9*R90</f>
        <v>2650395.6</v>
      </c>
      <c r="S91" s="24">
        <f>0.9*S90</f>
        <v>2650395.6</v>
      </c>
      <c r="T91" s="46">
        <f>ROUNDUP(2.65039549872123*1000000,-3)</f>
        <v>2651000</v>
      </c>
      <c r="U91" s="46">
        <f>ROUNDUP(2.65039549872123*1000000,-3)</f>
        <v>2651000</v>
      </c>
    </row>
    <row r="92" spans="1:21" s="21" customFormat="1" ht="15" customHeight="1" x14ac:dyDescent="0.35">
      <c r="A92" s="20" t="s">
        <v>233</v>
      </c>
      <c r="B92" s="46"/>
      <c r="C92" s="46"/>
      <c r="D92" s="46">
        <f>D38*0.02</f>
        <v>5078521.34</v>
      </c>
      <c r="E92" s="46">
        <f>E38*0.02</f>
        <v>6187636.6799999997</v>
      </c>
      <c r="F92" s="24">
        <v>3960000</v>
      </c>
      <c r="G92" s="46"/>
      <c r="H92" s="46"/>
      <c r="I92" s="46"/>
      <c r="J92" s="46">
        <f>J52*0.03</f>
        <v>12222221.940480001</v>
      </c>
      <c r="K92" s="46">
        <f>K52*0.03</f>
        <v>20977007.733120002</v>
      </c>
      <c r="L92" s="46">
        <f>L52*0.03</f>
        <v>13634719.201919999</v>
      </c>
      <c r="M92" s="46"/>
      <c r="N92" s="46"/>
      <c r="O92" s="46"/>
      <c r="P92" s="24">
        <f>0.03*P52</f>
        <v>12772595.70432</v>
      </c>
      <c r="Q92" s="24">
        <f>0.03*Q52</f>
        <v>15351379.966080001</v>
      </c>
      <c r="R92" s="24">
        <f>0.03*R52</f>
        <v>11714588.941439999</v>
      </c>
      <c r="S92" s="24">
        <f>0.03*S52</f>
        <v>11282014.834559999</v>
      </c>
      <c r="T92" s="46">
        <f>ROUNDUP(11.1667708289972*1000000,-3)</f>
        <v>11167000</v>
      </c>
      <c r="U92" s="46">
        <f>ROUNDUP(11.2927516259067*1000000,-3)</f>
        <v>11293000</v>
      </c>
    </row>
    <row r="93" spans="1:21" s="21" customFormat="1" ht="15" customHeight="1" x14ac:dyDescent="0.35">
      <c r="A93" s="20" t="s">
        <v>217</v>
      </c>
      <c r="B93" s="46"/>
      <c r="C93" s="46"/>
      <c r="D93" s="46">
        <f>D38*0.015</f>
        <v>3808891.0049999999</v>
      </c>
      <c r="E93" s="46">
        <f>E38*0.015</f>
        <v>4640727.51</v>
      </c>
      <c r="F93" s="24">
        <v>3960000</v>
      </c>
      <c r="G93" s="165"/>
      <c r="H93" s="165"/>
      <c r="I93" s="165"/>
      <c r="J93" s="46">
        <f>J52*0.007</f>
        <v>2851851.7861120002</v>
      </c>
      <c r="K93" s="46">
        <f>K52*0.007</f>
        <v>4894635.137728001</v>
      </c>
      <c r="L93" s="46">
        <f>L52*0.007</f>
        <v>3181434.4804480001</v>
      </c>
      <c r="M93" s="46"/>
      <c r="N93" s="46"/>
      <c r="O93" s="46"/>
      <c r="P93" s="24">
        <f>0.007*P52</f>
        <v>2980272.3310080003</v>
      </c>
      <c r="Q93" s="24">
        <f>0.007*Q52</f>
        <v>3581988.658752</v>
      </c>
      <c r="R93" s="24">
        <f>0.007*R52</f>
        <v>2733404.0863359999</v>
      </c>
      <c r="S93" s="24">
        <f>0.007*S52</f>
        <v>2632470.128064</v>
      </c>
      <c r="T93" s="46">
        <f>ROUNDUP(2.60557986009936*1000000,-3)</f>
        <v>2606000</v>
      </c>
      <c r="U93" s="46">
        <f>ROUNDUP(2.63497537937823*1000000,-3)</f>
        <v>2635000</v>
      </c>
    </row>
    <row r="94" spans="1:21" s="21" customFormat="1" ht="15" customHeight="1" x14ac:dyDescent="0.35">
      <c r="A94" s="35" t="s">
        <v>155</v>
      </c>
      <c r="B94" s="46">
        <f>$B$59*0.47/1.07</f>
        <v>21308823.377881274</v>
      </c>
      <c r="C94" s="46">
        <f>$C$59*0.62/1.07</f>
        <v>28109511.689971041</v>
      </c>
      <c r="D94" s="46">
        <v>21700000</v>
      </c>
      <c r="E94" s="46">
        <v>26300000</v>
      </c>
      <c r="F94" s="24"/>
      <c r="G94" s="46">
        <v>22800000</v>
      </c>
      <c r="H94" s="46">
        <v>16500000</v>
      </c>
      <c r="I94" s="46">
        <v>17900000</v>
      </c>
      <c r="J94" s="46">
        <v>13600000</v>
      </c>
      <c r="K94" s="46">
        <v>23310000</v>
      </c>
      <c r="L94" s="46">
        <v>15150000</v>
      </c>
      <c r="M94" s="46"/>
      <c r="N94" s="46"/>
      <c r="O94" s="46"/>
      <c r="P94" s="24">
        <v>14191773</v>
      </c>
      <c r="Q94" s="24">
        <v>14191773</v>
      </c>
      <c r="R94" s="24">
        <v>12547502</v>
      </c>
      <c r="S94" s="24">
        <v>12547502</v>
      </c>
      <c r="T94" s="46">
        <v>12400000</v>
      </c>
      <c r="U94" s="46">
        <v>12500000</v>
      </c>
    </row>
    <row r="95" spans="1:21" s="21" customFormat="1" ht="15" customHeight="1" x14ac:dyDescent="0.35">
      <c r="A95" s="35" t="s">
        <v>156</v>
      </c>
      <c r="B95" s="46">
        <f>$B$59*0.33/1.07</f>
        <v>14961514.286597492</v>
      </c>
      <c r="C95" s="46">
        <f>$B$59*0.43/1.07</f>
        <v>19495306.494657334</v>
      </c>
      <c r="D95" s="46">
        <v>18000000</v>
      </c>
      <c r="E95" s="46">
        <v>21900000</v>
      </c>
      <c r="F95" s="24"/>
      <c r="G95" s="46">
        <v>16400000</v>
      </c>
      <c r="H95" s="46">
        <v>11600000</v>
      </c>
      <c r="I95" s="46">
        <v>12500000</v>
      </c>
      <c r="J95" s="46">
        <v>8000000</v>
      </c>
      <c r="K95" s="46">
        <v>11050000</v>
      </c>
      <c r="L95" s="46">
        <v>7300000</v>
      </c>
      <c r="M95" s="46"/>
      <c r="N95" s="46"/>
      <c r="O95" s="46"/>
      <c r="P95" s="24">
        <v>4388533</v>
      </c>
      <c r="Q95" s="24">
        <v>4388533</v>
      </c>
      <c r="R95" s="24">
        <v>3880823</v>
      </c>
      <c r="S95" s="24">
        <v>3880823</v>
      </c>
      <c r="T95" s="46">
        <v>3800000</v>
      </c>
      <c r="U95" s="46">
        <v>3900000</v>
      </c>
    </row>
    <row r="96" spans="1:21" s="21" customFormat="1" ht="15" customHeight="1" x14ac:dyDescent="0.35">
      <c r="A96" s="35" t="s">
        <v>157</v>
      </c>
      <c r="B96" s="46">
        <f>$B$59*0.65/1.07</f>
        <v>29469649.352388997</v>
      </c>
      <c r="C96" s="46">
        <f>$B$59*0.91/1.07</f>
        <v>41257509.093344599</v>
      </c>
      <c r="D96" s="46">
        <v>48300000</v>
      </c>
      <c r="E96" s="46">
        <v>58200000</v>
      </c>
      <c r="F96" s="24"/>
      <c r="G96" s="46">
        <v>43500000</v>
      </c>
      <c r="H96" s="46">
        <v>30400000</v>
      </c>
      <c r="I96" s="46">
        <v>33100000</v>
      </c>
      <c r="J96" s="46">
        <v>47100000</v>
      </c>
      <c r="K96" s="46">
        <v>66730000</v>
      </c>
      <c r="L96" s="46">
        <v>44630000</v>
      </c>
      <c r="M96" s="46"/>
      <c r="N96" s="46"/>
      <c r="O96" s="46"/>
      <c r="P96" s="24">
        <v>40014614</v>
      </c>
      <c r="Q96" s="24">
        <v>40014614</v>
      </c>
      <c r="R96" s="24">
        <v>44492238</v>
      </c>
      <c r="S96" s="24">
        <v>44492238</v>
      </c>
      <c r="T96" s="46">
        <v>42400000</v>
      </c>
      <c r="U96" s="46">
        <v>44500000</v>
      </c>
    </row>
    <row r="97" spans="1:21" s="21" customFormat="1" ht="15" customHeight="1" x14ac:dyDescent="0.35">
      <c r="A97" s="35" t="s">
        <v>75</v>
      </c>
      <c r="B97" s="45"/>
      <c r="C97" s="45"/>
      <c r="D97" s="45"/>
      <c r="E97" s="45"/>
      <c r="F97" s="25"/>
      <c r="G97" s="45"/>
      <c r="H97" s="45"/>
      <c r="I97" s="45"/>
      <c r="J97" s="45"/>
      <c r="K97" s="45"/>
      <c r="L97" s="45"/>
      <c r="M97" s="45"/>
      <c r="N97" s="45"/>
      <c r="O97" s="45"/>
      <c r="P97" s="25"/>
      <c r="Q97" s="25"/>
      <c r="R97" s="25"/>
      <c r="S97" s="25"/>
      <c r="T97" s="45"/>
      <c r="U97" s="45"/>
    </row>
    <row r="98" spans="1:21" s="21" customFormat="1" ht="15" customHeight="1" x14ac:dyDescent="0.35">
      <c r="A98" s="20" t="s">
        <v>553</v>
      </c>
      <c r="B98" s="45"/>
      <c r="C98" s="45"/>
      <c r="D98" s="45"/>
      <c r="E98" s="45"/>
      <c r="F98" s="25">
        <v>93237</v>
      </c>
      <c r="G98" s="45"/>
      <c r="H98" s="45"/>
      <c r="I98" s="45"/>
      <c r="J98" s="45"/>
      <c r="K98" s="45"/>
      <c r="L98" s="45"/>
      <c r="M98" s="45"/>
      <c r="N98" s="45"/>
      <c r="O98" s="45"/>
      <c r="P98" s="25">
        <f>480646/5</f>
        <v>96129.2</v>
      </c>
      <c r="Q98" s="25">
        <f>480646/5</f>
        <v>96129.2</v>
      </c>
      <c r="R98" s="25"/>
      <c r="S98" s="25"/>
      <c r="T98" s="45"/>
      <c r="U98" s="45"/>
    </row>
    <row r="99" spans="1:21" s="21" customFormat="1" ht="15" customHeight="1" x14ac:dyDescent="0.35">
      <c r="A99" s="20" t="s">
        <v>64</v>
      </c>
      <c r="B99" s="46"/>
      <c r="C99" s="46"/>
      <c r="D99" s="46"/>
      <c r="E99" s="46"/>
      <c r="F99" s="24"/>
      <c r="G99" s="46"/>
      <c r="H99" s="46"/>
      <c r="I99" s="46"/>
      <c r="K99" s="46">
        <v>3297625</v>
      </c>
      <c r="L99" s="46">
        <v>3964695</v>
      </c>
      <c r="M99" s="46"/>
      <c r="N99" s="46"/>
      <c r="O99" s="46"/>
      <c r="P99" s="24"/>
      <c r="Q99" s="24"/>
      <c r="R99" s="46">
        <v>9924232</v>
      </c>
      <c r="S99" s="46">
        <v>10325342</v>
      </c>
      <c r="T99" s="46"/>
      <c r="U99" s="46"/>
    </row>
    <row r="100" spans="1:21" s="21" customFormat="1" ht="15" customHeight="1" x14ac:dyDescent="0.35">
      <c r="A100" s="35"/>
      <c r="B100" s="46"/>
      <c r="C100" s="46"/>
      <c r="D100" s="46"/>
      <c r="E100" s="46"/>
      <c r="F100" s="24"/>
      <c r="G100" s="46"/>
      <c r="H100" s="46"/>
      <c r="I100" s="46"/>
      <c r="J100" s="46"/>
      <c r="K100" s="46"/>
      <c r="L100" s="46"/>
      <c r="M100" s="46"/>
      <c r="N100" s="46"/>
      <c r="O100" s="46"/>
      <c r="P100" s="24"/>
      <c r="Q100" s="24"/>
      <c r="R100" s="24"/>
      <c r="S100" s="24"/>
      <c r="T100" s="46"/>
      <c r="U100" s="46"/>
    </row>
    <row r="101" spans="1:21" s="21" customFormat="1" ht="15" customHeight="1" x14ac:dyDescent="0.35">
      <c r="A101" s="37" t="s">
        <v>50</v>
      </c>
      <c r="B101" s="46"/>
      <c r="C101" s="46"/>
      <c r="D101" s="46"/>
      <c r="E101" s="46"/>
      <c r="F101" s="24"/>
      <c r="G101" s="46"/>
      <c r="H101" s="46"/>
      <c r="I101" s="46"/>
      <c r="J101" s="46"/>
      <c r="K101" s="46"/>
      <c r="L101" s="46"/>
      <c r="M101" s="46"/>
      <c r="N101" s="46"/>
      <c r="O101" s="46"/>
      <c r="P101" s="24"/>
      <c r="Q101" s="24"/>
      <c r="R101" s="24"/>
      <c r="S101" s="24"/>
      <c r="T101" s="46"/>
      <c r="U101" s="46"/>
    </row>
    <row r="102" spans="1:21" s="21" customFormat="1" ht="15" customHeight="1" x14ac:dyDescent="0.35">
      <c r="A102" s="4" t="s">
        <v>39</v>
      </c>
      <c r="B102" s="45">
        <f t="shared" ref="B102:I102" si="9">B52</f>
        <v>383000000</v>
      </c>
      <c r="C102" s="45">
        <f t="shared" si="9"/>
        <v>499000000</v>
      </c>
      <c r="D102" s="45">
        <f t="shared" si="9"/>
        <v>433302747</v>
      </c>
      <c r="E102" s="45">
        <f t="shared" si="9"/>
        <v>526859420</v>
      </c>
      <c r="F102" s="25">
        <f t="shared" si="9"/>
        <v>172739195.10596138</v>
      </c>
      <c r="G102" s="45">
        <f t="shared" si="9"/>
        <v>454800000</v>
      </c>
      <c r="H102" s="45">
        <f t="shared" si="9"/>
        <v>329700000</v>
      </c>
      <c r="I102" s="45">
        <f t="shared" si="9"/>
        <v>357900000</v>
      </c>
      <c r="J102" s="45">
        <f>J52</f>
        <v>407407398.01600003</v>
      </c>
      <c r="K102" s="45">
        <f>K52</f>
        <v>699233591.10400009</v>
      </c>
      <c r="L102" s="45">
        <f>L52</f>
        <v>454490640.06400001</v>
      </c>
      <c r="M102" s="45"/>
      <c r="N102" s="45"/>
      <c r="O102" s="45"/>
      <c r="P102" s="25">
        <f t="shared" ref="P102:U102" si="10">P52</f>
        <v>425753190.14400005</v>
      </c>
      <c r="Q102" s="25">
        <f t="shared" si="10"/>
        <v>511712665.53600001</v>
      </c>
      <c r="R102" s="25">
        <f t="shared" si="10"/>
        <v>390486298.04799998</v>
      </c>
      <c r="S102" s="25">
        <f t="shared" si="10"/>
        <v>376067161.15200001</v>
      </c>
      <c r="T102" s="45">
        <f t="shared" si="10"/>
        <v>372196692.72705352</v>
      </c>
      <c r="U102" s="45">
        <f t="shared" si="10"/>
        <v>376396800.26787221</v>
      </c>
    </row>
    <row r="103" spans="1:21" s="21" customFormat="1" ht="15" customHeight="1" x14ac:dyDescent="0.35">
      <c r="A103" s="27" t="s">
        <v>34</v>
      </c>
      <c r="B103" s="118"/>
      <c r="C103" s="118"/>
      <c r="D103" s="118">
        <v>1</v>
      </c>
      <c r="E103" s="118">
        <v>1</v>
      </c>
      <c r="F103" s="29">
        <v>1</v>
      </c>
      <c r="G103" s="118"/>
      <c r="H103" s="118"/>
      <c r="I103" s="118"/>
      <c r="J103" s="118">
        <v>0.4</v>
      </c>
      <c r="K103" s="118">
        <v>0.4</v>
      </c>
      <c r="L103" s="118">
        <v>0.4</v>
      </c>
      <c r="M103" s="118"/>
      <c r="N103" s="118"/>
      <c r="O103" s="118"/>
      <c r="P103" s="29">
        <v>0.4</v>
      </c>
      <c r="Q103" s="29">
        <v>0.4</v>
      </c>
      <c r="R103" s="29">
        <v>0.4</v>
      </c>
      <c r="S103" s="29">
        <v>0.4</v>
      </c>
      <c r="T103" s="118">
        <v>0.4</v>
      </c>
      <c r="U103" s="118">
        <v>0.4</v>
      </c>
    </row>
    <row r="104" spans="1:21" s="21" customFormat="1" ht="15" customHeight="1" x14ac:dyDescent="0.35">
      <c r="A104" s="26" t="s">
        <v>35</v>
      </c>
      <c r="B104" s="118"/>
      <c r="C104" s="118"/>
      <c r="D104" s="153">
        <v>7.4999999999999997E-2</v>
      </c>
      <c r="E104" s="153">
        <v>7.4999999999999997E-2</v>
      </c>
      <c r="F104" s="29">
        <v>0.08</v>
      </c>
      <c r="G104" s="118"/>
      <c r="H104" s="118"/>
      <c r="I104" s="118"/>
      <c r="J104" s="29">
        <v>0.08</v>
      </c>
      <c r="K104" s="118">
        <v>0.08</v>
      </c>
      <c r="L104" s="118">
        <v>0.08</v>
      </c>
      <c r="M104" s="118"/>
      <c r="N104" s="118"/>
      <c r="O104" s="118"/>
      <c r="P104" s="29">
        <v>0.08</v>
      </c>
      <c r="Q104" s="29">
        <v>0.08</v>
      </c>
      <c r="R104" s="29">
        <v>0.08</v>
      </c>
      <c r="S104" s="29">
        <v>0.08</v>
      </c>
      <c r="T104" s="118">
        <v>0.08</v>
      </c>
      <c r="U104" s="118">
        <v>0.08</v>
      </c>
    </row>
    <row r="105" spans="1:21" s="21" customFormat="1" ht="15" customHeight="1" x14ac:dyDescent="0.35">
      <c r="A105" s="26" t="s">
        <v>36</v>
      </c>
      <c r="B105" s="136"/>
      <c r="C105" s="136"/>
      <c r="D105" s="136">
        <v>10</v>
      </c>
      <c r="E105" s="136">
        <v>10</v>
      </c>
      <c r="F105" s="28">
        <v>10</v>
      </c>
      <c r="G105" s="136"/>
      <c r="H105" s="136"/>
      <c r="I105" s="136"/>
      <c r="J105" s="136">
        <v>10</v>
      </c>
      <c r="K105" s="136">
        <v>10</v>
      </c>
      <c r="L105" s="136">
        <v>10</v>
      </c>
      <c r="M105" s="136"/>
      <c r="N105" s="136"/>
      <c r="O105" s="136"/>
      <c r="P105" s="28">
        <v>10</v>
      </c>
      <c r="Q105" s="28">
        <v>10</v>
      </c>
      <c r="R105" s="28">
        <v>10</v>
      </c>
      <c r="S105" s="28">
        <v>10</v>
      </c>
      <c r="T105" s="136">
        <v>10</v>
      </c>
      <c r="U105" s="136">
        <v>10</v>
      </c>
    </row>
    <row r="106" spans="1:21" s="21" customFormat="1" ht="15" customHeight="1" x14ac:dyDescent="0.35">
      <c r="A106" s="26" t="s">
        <v>37</v>
      </c>
      <c r="B106" s="110"/>
      <c r="C106" s="110"/>
      <c r="D106" s="110"/>
      <c r="E106" s="110"/>
      <c r="F106" s="19">
        <f>PMT(F104,F105,F102*(1-F103))</f>
        <v>0</v>
      </c>
      <c r="G106" s="110"/>
      <c r="H106" s="110"/>
      <c r="I106" s="110"/>
      <c r="J106" s="45">
        <f>-PMT(J104,J105,J102*(1-J103))</f>
        <v>36429429.730638221</v>
      </c>
      <c r="K106" s="45">
        <f>-PMT(K104,K105,K102*(1-K103))</f>
        <v>62523854.737229422</v>
      </c>
      <c r="L106" s="45">
        <f>-PMT(L104,L105,L102*(1-L103))</f>
        <v>40639504.62380667</v>
      </c>
      <c r="M106" s="45"/>
      <c r="N106" s="45"/>
      <c r="O106" s="45"/>
      <c r="P106" s="45">
        <f t="shared" ref="P106:U106" si="11">-PMT(P104,P105,P102*(1-P103))</f>
        <v>38069868.142985433</v>
      </c>
      <c r="Q106" s="45">
        <f t="shared" si="11"/>
        <v>45756166.142788589</v>
      </c>
      <c r="R106" s="45">
        <f t="shared" si="11"/>
        <v>34916384.004784338</v>
      </c>
      <c r="S106" s="45">
        <f t="shared" si="11"/>
        <v>33627058.045345932</v>
      </c>
      <c r="T106" s="45">
        <f t="shared" si="11"/>
        <v>33280969.687113162</v>
      </c>
      <c r="U106" s="45">
        <f t="shared" si="11"/>
        <v>33656533.614681728</v>
      </c>
    </row>
    <row r="107" spans="1:21" s="21" customFormat="1" ht="15" customHeight="1" x14ac:dyDescent="0.35">
      <c r="A107" s="5" t="s">
        <v>38</v>
      </c>
      <c r="B107" s="111">
        <v>0.05</v>
      </c>
      <c r="C107" s="111">
        <v>0.05</v>
      </c>
      <c r="D107" s="111">
        <v>0.15</v>
      </c>
      <c r="E107" s="111">
        <v>0.15</v>
      </c>
      <c r="F107" s="31">
        <v>0.05</v>
      </c>
      <c r="G107" s="111">
        <v>0.05</v>
      </c>
      <c r="H107" s="111">
        <v>0.05</v>
      </c>
      <c r="I107" s="111">
        <v>0.05</v>
      </c>
      <c r="J107" s="111">
        <v>0.05</v>
      </c>
      <c r="K107" s="111">
        <v>0.05</v>
      </c>
      <c r="L107" s="111">
        <v>0.05</v>
      </c>
      <c r="M107" s="111"/>
      <c r="N107" s="111"/>
      <c r="O107" s="111"/>
      <c r="P107" s="31">
        <v>0.05</v>
      </c>
      <c r="Q107" s="31">
        <v>0.05</v>
      </c>
      <c r="R107" s="31">
        <v>0.05</v>
      </c>
      <c r="S107" s="31">
        <v>0.05</v>
      </c>
      <c r="T107" s="111">
        <v>0.05</v>
      </c>
      <c r="U107" s="111">
        <v>0.05</v>
      </c>
    </row>
    <row r="108" spans="1:21" s="21" customFormat="1" ht="15" customHeight="1" x14ac:dyDescent="0.35">
      <c r="A108" s="5" t="s">
        <v>667</v>
      </c>
      <c r="B108" s="107">
        <v>20</v>
      </c>
      <c r="C108" s="107">
        <v>20</v>
      </c>
      <c r="D108" s="107">
        <v>20</v>
      </c>
      <c r="E108" s="107">
        <v>20</v>
      </c>
      <c r="F108" s="107">
        <v>20</v>
      </c>
      <c r="G108" s="107">
        <v>20</v>
      </c>
      <c r="H108" s="107">
        <v>20</v>
      </c>
      <c r="I108" s="107">
        <v>20</v>
      </c>
      <c r="J108" s="107">
        <v>30</v>
      </c>
      <c r="K108" s="107">
        <v>30</v>
      </c>
      <c r="L108" s="107">
        <v>30</v>
      </c>
      <c r="M108" s="107"/>
      <c r="N108" s="107"/>
      <c r="O108" s="107"/>
      <c r="P108" s="107">
        <v>30</v>
      </c>
      <c r="Q108" s="107">
        <v>30</v>
      </c>
      <c r="R108" s="107">
        <v>30</v>
      </c>
      <c r="S108" s="107">
        <v>30</v>
      </c>
      <c r="T108" s="107">
        <v>30</v>
      </c>
      <c r="U108" s="107">
        <v>30</v>
      </c>
    </row>
    <row r="109" spans="1:21" s="21" customFormat="1" ht="15" customHeight="1" x14ac:dyDescent="0.35">
      <c r="A109" s="5" t="s">
        <v>40</v>
      </c>
      <c r="B109" s="128"/>
      <c r="C109" s="128"/>
      <c r="D109" s="128"/>
      <c r="E109" s="128"/>
      <c r="F109" s="30"/>
      <c r="G109" s="128"/>
      <c r="H109" s="128"/>
      <c r="I109" s="128"/>
      <c r="J109" s="128"/>
      <c r="K109" s="128"/>
      <c r="L109" s="128"/>
      <c r="M109" s="128"/>
      <c r="N109" s="128"/>
      <c r="O109" s="128"/>
      <c r="P109" s="30"/>
      <c r="Q109" s="30"/>
      <c r="R109" s="30"/>
      <c r="S109" s="30"/>
      <c r="T109" s="128"/>
      <c r="U109" s="128"/>
    </row>
    <row r="110" spans="1:21" s="21" customFormat="1" ht="15" customHeight="1" x14ac:dyDescent="0.35">
      <c r="A110" s="17" t="s">
        <v>41</v>
      </c>
      <c r="B110" s="46">
        <v>0</v>
      </c>
      <c r="C110" s="46">
        <v>0</v>
      </c>
      <c r="D110" s="46">
        <v>0</v>
      </c>
      <c r="E110" s="46">
        <v>0</v>
      </c>
      <c r="F110" s="24">
        <v>0</v>
      </c>
      <c r="G110" s="46">
        <v>0</v>
      </c>
      <c r="H110" s="46">
        <v>0</v>
      </c>
      <c r="I110" s="46">
        <v>0</v>
      </c>
      <c r="J110" s="46">
        <v>0</v>
      </c>
      <c r="K110" s="46"/>
      <c r="L110" s="46"/>
      <c r="M110" s="46"/>
      <c r="N110" s="46"/>
      <c r="O110" s="46"/>
      <c r="P110" s="24"/>
      <c r="Q110" s="24"/>
      <c r="R110" s="24"/>
      <c r="S110" s="24"/>
      <c r="T110" s="46">
        <v>0</v>
      </c>
      <c r="U110" s="46">
        <v>0</v>
      </c>
    </row>
    <row r="111" spans="1:21" s="21" customFormat="1" ht="15" customHeight="1" x14ac:dyDescent="0.35">
      <c r="A111" s="17" t="s">
        <v>42</v>
      </c>
      <c r="B111" s="46">
        <v>0</v>
      </c>
      <c r="C111" s="46">
        <v>0</v>
      </c>
      <c r="D111" s="46">
        <v>0</v>
      </c>
      <c r="E111" s="46">
        <v>0</v>
      </c>
      <c r="F111" s="24">
        <v>0</v>
      </c>
      <c r="G111" s="46">
        <v>0</v>
      </c>
      <c r="H111" s="46">
        <v>0</v>
      </c>
      <c r="I111" s="46">
        <v>0</v>
      </c>
      <c r="J111" s="46">
        <v>0</v>
      </c>
      <c r="K111" s="46"/>
      <c r="L111" s="46"/>
      <c r="M111" s="46"/>
      <c r="N111" s="46"/>
      <c r="O111" s="46"/>
      <c r="P111" s="24"/>
      <c r="Q111" s="24"/>
      <c r="R111" s="24"/>
      <c r="S111" s="24"/>
      <c r="T111" s="46">
        <v>0</v>
      </c>
      <c r="U111" s="46">
        <v>0</v>
      </c>
    </row>
    <row r="112" spans="1:21" s="21" customFormat="1" ht="15" customHeight="1" x14ac:dyDescent="0.35">
      <c r="A112" s="5" t="s">
        <v>43</v>
      </c>
      <c r="B112" s="110" t="s">
        <v>76</v>
      </c>
      <c r="C112" s="110" t="s">
        <v>76</v>
      </c>
      <c r="D112" s="110" t="s">
        <v>221</v>
      </c>
      <c r="E112" s="110" t="s">
        <v>221</v>
      </c>
      <c r="F112" s="19" t="s">
        <v>76</v>
      </c>
      <c r="G112" s="110"/>
      <c r="H112" s="110"/>
      <c r="I112" s="110"/>
      <c r="J112" s="110"/>
      <c r="K112" s="110"/>
      <c r="L112" s="110"/>
      <c r="M112" s="110"/>
      <c r="N112" s="110"/>
      <c r="O112" s="110"/>
      <c r="P112" s="19" t="s">
        <v>76</v>
      </c>
      <c r="Q112" s="19" t="s">
        <v>76</v>
      </c>
      <c r="R112" s="19" t="s">
        <v>76</v>
      </c>
      <c r="S112" s="19" t="s">
        <v>76</v>
      </c>
      <c r="T112" s="110" t="s">
        <v>76</v>
      </c>
      <c r="U112" s="110" t="s">
        <v>76</v>
      </c>
    </row>
    <row r="113" spans="1:21" s="21" customFormat="1" ht="15" customHeight="1" x14ac:dyDescent="0.35">
      <c r="A113" s="17" t="s">
        <v>637</v>
      </c>
      <c r="B113" s="119"/>
      <c r="C113" s="119"/>
      <c r="D113" s="119">
        <v>2</v>
      </c>
      <c r="E113" s="119">
        <v>2</v>
      </c>
      <c r="F113" s="32">
        <v>2</v>
      </c>
      <c r="G113" s="119"/>
      <c r="H113" s="119"/>
      <c r="I113" s="119"/>
      <c r="J113" s="119"/>
      <c r="K113" s="119" t="s">
        <v>76</v>
      </c>
      <c r="L113" s="119" t="s">
        <v>76</v>
      </c>
      <c r="M113" s="119"/>
      <c r="N113" s="119"/>
      <c r="O113" s="119"/>
      <c r="P113" s="32"/>
      <c r="Q113" s="32"/>
      <c r="T113" s="165"/>
      <c r="U113" s="165"/>
    </row>
    <row r="114" spans="1:21" s="21" customFormat="1" ht="15" customHeight="1" x14ac:dyDescent="0.35">
      <c r="A114" s="17" t="s">
        <v>693</v>
      </c>
      <c r="B114" s="119"/>
      <c r="C114" s="119"/>
      <c r="D114" s="119">
        <v>1.5</v>
      </c>
      <c r="E114" s="119">
        <v>1.5</v>
      </c>
      <c r="F114" s="32">
        <v>1.5</v>
      </c>
      <c r="G114" s="119"/>
      <c r="H114" s="119"/>
      <c r="I114" s="119"/>
      <c r="J114" s="119"/>
      <c r="K114" s="119"/>
      <c r="L114" s="119"/>
      <c r="M114" s="119"/>
      <c r="N114" s="119"/>
      <c r="O114" s="119"/>
      <c r="P114" s="32"/>
      <c r="Q114" s="32"/>
      <c r="T114" s="165"/>
      <c r="U114" s="165"/>
    </row>
    <row r="115" spans="1:21" s="21" customFormat="1" ht="15" customHeight="1" x14ac:dyDescent="0.35">
      <c r="A115" s="5" t="s">
        <v>44</v>
      </c>
      <c r="B115" s="119"/>
      <c r="C115" s="119"/>
      <c r="D115" s="119"/>
      <c r="E115" s="119"/>
      <c r="F115" s="32"/>
      <c r="G115" s="119"/>
      <c r="H115" s="119"/>
      <c r="I115" s="119"/>
      <c r="J115" s="119"/>
      <c r="K115" s="119"/>
      <c r="L115" s="119"/>
      <c r="M115" s="119"/>
      <c r="N115" s="119"/>
      <c r="O115" s="119"/>
      <c r="P115" s="32"/>
      <c r="Q115" s="32"/>
      <c r="R115" s="32"/>
      <c r="S115" s="32"/>
      <c r="T115" s="119"/>
      <c r="U115" s="119"/>
    </row>
    <row r="116" spans="1:21" s="21" customFormat="1" ht="15" customHeight="1" x14ac:dyDescent="0.35">
      <c r="A116" s="17" t="s">
        <v>41</v>
      </c>
      <c r="B116" s="107">
        <v>7</v>
      </c>
      <c r="C116" s="107">
        <v>7</v>
      </c>
      <c r="D116" s="107">
        <v>7</v>
      </c>
      <c r="E116" s="107">
        <v>7</v>
      </c>
      <c r="F116" s="33">
        <v>7</v>
      </c>
      <c r="G116" s="107"/>
      <c r="H116" s="107"/>
      <c r="I116" s="107"/>
      <c r="J116" s="107">
        <v>7</v>
      </c>
      <c r="K116" s="107"/>
      <c r="L116" s="107"/>
      <c r="M116" s="107"/>
      <c r="N116" s="107"/>
      <c r="O116" s="107"/>
      <c r="P116" s="33">
        <v>7</v>
      </c>
      <c r="Q116" s="33">
        <v>7</v>
      </c>
      <c r="R116" s="33">
        <v>7</v>
      </c>
      <c r="S116" s="33">
        <v>7</v>
      </c>
      <c r="T116" s="107">
        <v>7</v>
      </c>
      <c r="U116" s="107">
        <v>7</v>
      </c>
    </row>
    <row r="117" spans="1:21" s="21" customFormat="1" ht="15" customHeight="1" x14ac:dyDescent="0.35">
      <c r="A117" s="17" t="s">
        <v>42</v>
      </c>
      <c r="B117" s="136"/>
      <c r="C117" s="136"/>
      <c r="D117" s="136">
        <v>20</v>
      </c>
      <c r="E117" s="136">
        <v>20</v>
      </c>
      <c r="F117" s="28">
        <v>20</v>
      </c>
      <c r="G117" s="136"/>
      <c r="H117" s="136"/>
      <c r="I117" s="136"/>
      <c r="J117" s="136">
        <v>20</v>
      </c>
      <c r="K117" s="136"/>
      <c r="L117" s="136"/>
      <c r="M117" s="136"/>
      <c r="N117" s="136"/>
      <c r="O117" s="136"/>
      <c r="P117" s="28"/>
      <c r="Q117" s="28"/>
      <c r="R117" s="33"/>
      <c r="S117" s="33"/>
      <c r="T117" s="107"/>
      <c r="U117" s="107"/>
    </row>
    <row r="118" spans="1:21" s="21" customFormat="1" ht="15" customHeight="1" x14ac:dyDescent="0.35">
      <c r="A118" s="5" t="s">
        <v>638</v>
      </c>
      <c r="B118" s="108">
        <v>2.5</v>
      </c>
      <c r="C118" s="108">
        <v>2.5</v>
      </c>
      <c r="D118" s="108">
        <v>2.5</v>
      </c>
      <c r="E118" s="108">
        <v>2.5</v>
      </c>
      <c r="F118" s="23">
        <v>2.5</v>
      </c>
      <c r="G118" s="108"/>
      <c r="H118" s="108"/>
      <c r="I118" s="108"/>
      <c r="J118" s="108">
        <v>3</v>
      </c>
      <c r="K118" s="108">
        <v>3</v>
      </c>
      <c r="L118" s="108">
        <v>3</v>
      </c>
      <c r="M118" s="108"/>
      <c r="N118" s="108"/>
      <c r="O118" s="108"/>
      <c r="P118" s="23">
        <v>3</v>
      </c>
      <c r="Q118" s="23">
        <v>3</v>
      </c>
      <c r="R118" s="23">
        <v>3</v>
      </c>
      <c r="S118" s="23">
        <v>3</v>
      </c>
      <c r="T118" s="108">
        <v>3</v>
      </c>
      <c r="U118" s="108">
        <v>3</v>
      </c>
    </row>
    <row r="119" spans="1:21" s="21" customFormat="1" ht="15" customHeight="1" x14ac:dyDescent="0.35">
      <c r="A119" s="26" t="s">
        <v>31</v>
      </c>
      <c r="B119" s="109">
        <v>0.08</v>
      </c>
      <c r="C119" s="109">
        <v>0.08</v>
      </c>
      <c r="D119" s="109">
        <v>0.08</v>
      </c>
      <c r="E119" s="109">
        <v>0.08</v>
      </c>
      <c r="F119" s="22">
        <v>0.08</v>
      </c>
      <c r="G119" s="109"/>
      <c r="H119" s="109"/>
      <c r="I119" s="109"/>
      <c r="J119" s="109">
        <v>0.08</v>
      </c>
      <c r="K119" s="109">
        <v>0.08</v>
      </c>
      <c r="L119" s="109">
        <v>0.08</v>
      </c>
      <c r="M119" s="109"/>
      <c r="N119" s="109"/>
      <c r="O119" s="109"/>
      <c r="P119" s="22">
        <v>0.08</v>
      </c>
      <c r="Q119" s="22">
        <v>0.08</v>
      </c>
      <c r="R119" s="22">
        <v>0.08</v>
      </c>
      <c r="S119" s="22">
        <v>0.08</v>
      </c>
      <c r="T119" s="109">
        <v>0.08</v>
      </c>
      <c r="U119" s="109">
        <v>0.08</v>
      </c>
    </row>
    <row r="120" spans="1:21" s="21" customFormat="1" ht="15" customHeight="1" x14ac:dyDescent="0.35">
      <c r="A120" s="26" t="s">
        <v>32</v>
      </c>
      <c r="B120" s="109">
        <v>0.6</v>
      </c>
      <c r="C120" s="109">
        <v>0.6</v>
      </c>
      <c r="D120" s="109">
        <v>0.6</v>
      </c>
      <c r="E120" s="109">
        <v>0.6</v>
      </c>
      <c r="F120" s="22">
        <v>0.6</v>
      </c>
      <c r="G120" s="109"/>
      <c r="H120" s="109"/>
      <c r="I120" s="109"/>
      <c r="J120" s="109">
        <v>0.6</v>
      </c>
      <c r="K120" s="109">
        <v>0.6</v>
      </c>
      <c r="L120" s="109">
        <v>0.6</v>
      </c>
      <c r="M120" s="109"/>
      <c r="N120" s="109"/>
      <c r="O120" s="109"/>
      <c r="P120" s="22">
        <v>0.6</v>
      </c>
      <c r="Q120" s="22">
        <v>0.6</v>
      </c>
      <c r="R120" s="22">
        <v>0.6</v>
      </c>
      <c r="S120" s="22">
        <v>0.6</v>
      </c>
      <c r="T120" s="109">
        <v>0.6</v>
      </c>
      <c r="U120" s="109">
        <v>0.6</v>
      </c>
    </row>
    <row r="121" spans="1:21" s="21" customFormat="1" ht="15" customHeight="1" x14ac:dyDescent="0.35">
      <c r="A121" s="26" t="s">
        <v>33</v>
      </c>
      <c r="B121" s="109">
        <v>0.32</v>
      </c>
      <c r="C121" s="109">
        <v>0.32</v>
      </c>
      <c r="D121" s="109">
        <v>0.32</v>
      </c>
      <c r="E121" s="109">
        <v>0.32</v>
      </c>
      <c r="F121" s="22">
        <v>0.32</v>
      </c>
      <c r="G121" s="109"/>
      <c r="H121" s="109"/>
      <c r="I121" s="109"/>
      <c r="J121" s="109">
        <v>0.32</v>
      </c>
      <c r="K121" s="109">
        <v>0.32</v>
      </c>
      <c r="L121" s="109">
        <v>0.32</v>
      </c>
      <c r="M121" s="109"/>
      <c r="N121" s="109"/>
      <c r="O121" s="109"/>
      <c r="P121" s="22">
        <v>0.32</v>
      </c>
      <c r="Q121" s="22">
        <v>0.32</v>
      </c>
      <c r="R121" s="22">
        <v>0.32</v>
      </c>
      <c r="S121" s="22">
        <v>0.32</v>
      </c>
      <c r="T121" s="109">
        <v>0.32</v>
      </c>
      <c r="U121" s="109">
        <v>0.32</v>
      </c>
    </row>
    <row r="122" spans="1:21" s="21" customFormat="1" ht="15" customHeight="1" x14ac:dyDescent="0.35">
      <c r="A122" s="27" t="s">
        <v>666</v>
      </c>
      <c r="B122" s="108">
        <v>0.5</v>
      </c>
      <c r="C122" s="108">
        <v>0.5</v>
      </c>
      <c r="D122" s="108">
        <v>0.5</v>
      </c>
      <c r="E122" s="108">
        <v>0.5</v>
      </c>
      <c r="F122" s="23">
        <v>0.5</v>
      </c>
      <c r="G122" s="108"/>
      <c r="H122" s="108"/>
      <c r="I122" s="108"/>
      <c r="J122" s="108">
        <v>0.5</v>
      </c>
      <c r="K122" s="108">
        <v>0.5</v>
      </c>
      <c r="L122" s="108">
        <v>0.5</v>
      </c>
      <c r="M122" s="108"/>
      <c r="N122" s="108"/>
      <c r="O122" s="108"/>
      <c r="P122" s="23">
        <v>0.5</v>
      </c>
      <c r="Q122" s="23">
        <v>0.5</v>
      </c>
      <c r="R122" s="23">
        <v>0.5</v>
      </c>
      <c r="S122" s="23">
        <v>0.5</v>
      </c>
      <c r="T122" s="108">
        <v>0.5</v>
      </c>
      <c r="U122" s="108">
        <v>0.5</v>
      </c>
    </row>
    <row r="123" spans="1:21" s="21" customFormat="1" ht="15" customHeight="1" x14ac:dyDescent="0.35">
      <c r="A123" s="26" t="s">
        <v>28</v>
      </c>
      <c r="B123" s="109">
        <v>0.5</v>
      </c>
      <c r="C123" s="109">
        <v>0.5</v>
      </c>
      <c r="D123" s="109">
        <v>0.5</v>
      </c>
      <c r="E123" s="109">
        <v>0.5</v>
      </c>
      <c r="F123" s="22">
        <v>0.5</v>
      </c>
      <c r="G123" s="109"/>
      <c r="H123" s="109"/>
      <c r="I123" s="109"/>
      <c r="J123" s="109">
        <v>0.5</v>
      </c>
      <c r="K123" s="109">
        <v>0.5</v>
      </c>
      <c r="L123" s="109">
        <v>0.5</v>
      </c>
      <c r="M123" s="109"/>
      <c r="N123" s="109"/>
      <c r="O123" s="109"/>
      <c r="P123" s="22">
        <v>0.5</v>
      </c>
      <c r="Q123" s="22">
        <v>0.5</v>
      </c>
      <c r="R123" s="22">
        <v>0.5</v>
      </c>
      <c r="S123" s="22">
        <v>0.5</v>
      </c>
      <c r="T123" s="109">
        <v>0.5</v>
      </c>
      <c r="U123" s="109">
        <v>0.5</v>
      </c>
    </row>
    <row r="124" spans="1:21" s="21" customFormat="1" ht="15" customHeight="1" x14ac:dyDescent="0.35">
      <c r="A124" s="26" t="s">
        <v>29</v>
      </c>
      <c r="B124" s="109">
        <v>0.75</v>
      </c>
      <c r="C124" s="109">
        <v>0.75</v>
      </c>
      <c r="D124" s="109">
        <v>0.75</v>
      </c>
      <c r="E124" s="109">
        <v>0.75</v>
      </c>
      <c r="F124" s="22">
        <v>0.75</v>
      </c>
      <c r="G124" s="109"/>
      <c r="H124" s="109"/>
      <c r="I124" s="109"/>
      <c r="J124" s="109">
        <v>0.75</v>
      </c>
      <c r="K124" s="109">
        <v>0.75</v>
      </c>
      <c r="L124" s="109">
        <v>0.75</v>
      </c>
      <c r="M124" s="109"/>
      <c r="N124" s="109"/>
      <c r="O124" s="109"/>
      <c r="P124" s="22">
        <v>0.75</v>
      </c>
      <c r="Q124" s="22">
        <v>0.75</v>
      </c>
      <c r="R124" s="22">
        <v>0.75</v>
      </c>
      <c r="S124" s="22">
        <v>0.75</v>
      </c>
      <c r="T124" s="109">
        <v>0.75</v>
      </c>
      <c r="U124" s="109">
        <v>0.75</v>
      </c>
    </row>
    <row r="125" spans="1:21" s="21" customFormat="1" ht="15" customHeight="1" x14ac:dyDescent="0.35">
      <c r="A125" s="26" t="s">
        <v>30</v>
      </c>
      <c r="B125" s="109">
        <v>1</v>
      </c>
      <c r="C125" s="109">
        <v>1</v>
      </c>
      <c r="D125" s="109">
        <v>1</v>
      </c>
      <c r="E125" s="109">
        <v>1</v>
      </c>
      <c r="F125" s="22">
        <v>1</v>
      </c>
      <c r="G125" s="109"/>
      <c r="H125" s="109"/>
      <c r="I125" s="109"/>
      <c r="J125" s="109">
        <v>1</v>
      </c>
      <c r="K125" s="109">
        <v>1</v>
      </c>
      <c r="L125" s="109">
        <v>1</v>
      </c>
      <c r="M125" s="109"/>
      <c r="N125" s="109"/>
      <c r="O125" s="109"/>
      <c r="P125" s="22">
        <v>1</v>
      </c>
      <c r="Q125" s="22">
        <v>1</v>
      </c>
      <c r="R125" s="22">
        <v>1</v>
      </c>
      <c r="S125" s="22">
        <v>1</v>
      </c>
      <c r="T125" s="109">
        <v>1</v>
      </c>
      <c r="U125" s="109">
        <v>1</v>
      </c>
    </row>
    <row r="126" spans="1:21" s="21" customFormat="1" ht="15" customHeight="1" x14ac:dyDescent="0.35">
      <c r="A126" s="5" t="s">
        <v>45</v>
      </c>
      <c r="B126" s="111">
        <v>0.1</v>
      </c>
      <c r="C126" s="111">
        <v>0.1</v>
      </c>
      <c r="D126" s="119">
        <v>0.1</v>
      </c>
      <c r="E126" s="119">
        <v>0.1</v>
      </c>
      <c r="F126" s="31">
        <v>0.1</v>
      </c>
      <c r="G126" s="119">
        <v>0.1</v>
      </c>
      <c r="H126" s="119">
        <v>0.1</v>
      </c>
      <c r="I126" s="119">
        <v>0.1</v>
      </c>
      <c r="J126" s="119">
        <v>0.1</v>
      </c>
      <c r="K126" s="119">
        <v>0.1</v>
      </c>
      <c r="L126" s="119">
        <v>0.1</v>
      </c>
      <c r="M126" s="119"/>
      <c r="N126" s="119"/>
      <c r="O126" s="119"/>
      <c r="P126" s="31">
        <v>0.1</v>
      </c>
      <c r="Q126" s="31">
        <v>0.1</v>
      </c>
      <c r="R126" s="31">
        <v>0.1</v>
      </c>
      <c r="S126" s="31">
        <v>0.1</v>
      </c>
      <c r="T126" s="111">
        <v>0.1</v>
      </c>
      <c r="U126" s="111">
        <v>0.1</v>
      </c>
    </row>
    <row r="127" spans="1:21" s="21" customFormat="1" ht="15" customHeight="1" x14ac:dyDescent="0.35">
      <c r="A127" s="5" t="s">
        <v>46</v>
      </c>
      <c r="B127" s="111"/>
      <c r="C127" s="111"/>
      <c r="D127" s="119">
        <v>0.39</v>
      </c>
      <c r="E127" s="119">
        <v>0.39</v>
      </c>
      <c r="F127" s="31">
        <v>0.39</v>
      </c>
      <c r="G127" s="111"/>
      <c r="H127" s="111"/>
      <c r="I127" s="111"/>
      <c r="J127" s="111">
        <v>0.35</v>
      </c>
      <c r="K127" s="111">
        <v>0.35</v>
      </c>
      <c r="L127" s="111">
        <v>0.35</v>
      </c>
      <c r="M127" s="111"/>
      <c r="N127" s="111"/>
      <c r="O127" s="111"/>
      <c r="P127" s="31">
        <v>0.21</v>
      </c>
      <c r="Q127" s="31">
        <v>0.21</v>
      </c>
      <c r="R127" s="31">
        <v>0.21</v>
      </c>
      <c r="S127" s="31">
        <v>0.21</v>
      </c>
      <c r="T127" s="111">
        <v>0.21</v>
      </c>
      <c r="U127" s="111">
        <v>0.21</v>
      </c>
    </row>
    <row r="128" spans="1:21" s="21" customFormat="1" ht="15" customHeight="1" x14ac:dyDescent="0.35">
      <c r="A128" s="5" t="s">
        <v>490</v>
      </c>
      <c r="B128" s="198">
        <f t="shared" ref="B128:L128" si="12">B129/116090</f>
        <v>40</v>
      </c>
      <c r="C128" s="198">
        <f t="shared" si="12"/>
        <v>40</v>
      </c>
      <c r="D128" s="198">
        <f t="shared" si="12"/>
        <v>32.295999999999999</v>
      </c>
      <c r="E128" s="198">
        <f t="shared" si="12"/>
        <v>41.716000000000001</v>
      </c>
      <c r="F128" s="198">
        <f t="shared" si="12"/>
        <v>48.717898182444657</v>
      </c>
      <c r="G128" s="198">
        <f t="shared" si="12"/>
        <v>23.6</v>
      </c>
      <c r="H128" s="198">
        <f t="shared" si="12"/>
        <v>43.6</v>
      </c>
      <c r="I128" s="198">
        <f t="shared" si="12"/>
        <v>41.4</v>
      </c>
      <c r="J128" s="198">
        <f t="shared" si="12"/>
        <v>47</v>
      </c>
      <c r="K128" s="198">
        <f t="shared" si="12"/>
        <v>41.1</v>
      </c>
      <c r="L128" s="198">
        <f t="shared" si="12"/>
        <v>44.8</v>
      </c>
      <c r="M128" s="111"/>
      <c r="N128" s="111"/>
      <c r="O128" s="111"/>
      <c r="P128" s="199">
        <f t="shared" ref="P128:U128" si="13">P129/116090</f>
        <v>50</v>
      </c>
      <c r="Q128" s="199">
        <f t="shared" si="13"/>
        <v>50.1</v>
      </c>
      <c r="R128" s="199">
        <f t="shared" si="13"/>
        <v>35.913911620294598</v>
      </c>
      <c r="S128" s="199">
        <f t="shared" si="13"/>
        <v>39.587208200534072</v>
      </c>
      <c r="T128" s="254">
        <f t="shared" si="13"/>
        <v>35.46</v>
      </c>
      <c r="U128" s="254">
        <f t="shared" si="13"/>
        <v>39.590000000000003</v>
      </c>
    </row>
    <row r="129" spans="1:21" s="21" customFormat="1" ht="15" customHeight="1" x14ac:dyDescent="0.35">
      <c r="A129" s="5" t="s">
        <v>47</v>
      </c>
      <c r="B129" s="114">
        <v>4643600</v>
      </c>
      <c r="C129" s="114">
        <v>4643600</v>
      </c>
      <c r="D129" s="114">
        <f>'Supporting Calculations'!B98</f>
        <v>3749242.64</v>
      </c>
      <c r="E129" s="114">
        <f>'Supporting Calculations'!C98</f>
        <v>4842810.4400000004</v>
      </c>
      <c r="F129" s="42">
        <v>5655660.7999999998</v>
      </c>
      <c r="G129" s="114">
        <f>'Supporting Calculations'!B132</f>
        <v>2739724</v>
      </c>
      <c r="H129" s="114">
        <f>'Supporting Calculations'!C132</f>
        <v>5061524</v>
      </c>
      <c r="I129" s="114">
        <f>'Supporting Calculations'!D132</f>
        <v>4806126</v>
      </c>
      <c r="J129" s="114">
        <f>'Supporting Calculations'!B161</f>
        <v>5456230</v>
      </c>
      <c r="K129" s="114">
        <f>'Supporting Calculations'!B176</f>
        <v>4771299</v>
      </c>
      <c r="L129" s="114">
        <f>'Supporting Calculations'!C176</f>
        <v>5200832</v>
      </c>
      <c r="M129" s="114"/>
      <c r="N129" s="114"/>
      <c r="O129" s="114"/>
      <c r="P129" s="42">
        <f>'Supporting Calculations'!B315</f>
        <v>5804500</v>
      </c>
      <c r="Q129" s="42">
        <f>'Supporting Calculations'!C315</f>
        <v>5816109</v>
      </c>
      <c r="R129" s="42">
        <v>4169246</v>
      </c>
      <c r="S129" s="42">
        <v>4595679</v>
      </c>
      <c r="T129" s="114">
        <f>'Supporting Calculations'!B198</f>
        <v>4116551.4</v>
      </c>
      <c r="U129" s="114">
        <f>'Supporting Calculations'!C198</f>
        <v>4596003.1000000006</v>
      </c>
    </row>
    <row r="130" spans="1:21" s="21" customFormat="1" ht="15" customHeight="1" x14ac:dyDescent="0.35">
      <c r="A130" s="5" t="s">
        <v>659</v>
      </c>
      <c r="B130" s="113">
        <v>7884</v>
      </c>
      <c r="C130" s="113">
        <v>7884</v>
      </c>
      <c r="D130" s="113">
        <v>7446</v>
      </c>
      <c r="E130" s="113">
        <v>7446</v>
      </c>
      <c r="F130" s="121">
        <v>8406</v>
      </c>
      <c r="G130" s="113">
        <v>7884</v>
      </c>
      <c r="H130" s="113">
        <v>7884</v>
      </c>
      <c r="I130" s="113">
        <v>7884</v>
      </c>
      <c r="J130" s="113">
        <v>7884</v>
      </c>
      <c r="K130" s="113">
        <v>7884</v>
      </c>
      <c r="L130" s="113">
        <v>7884</v>
      </c>
      <c r="M130" s="113"/>
      <c r="N130" s="113"/>
      <c r="O130" s="113"/>
      <c r="P130" s="113">
        <f t="shared" ref="P130:U130" si="14">365*24*P14</f>
        <v>7884</v>
      </c>
      <c r="Q130" s="113">
        <f t="shared" si="14"/>
        <v>7884</v>
      </c>
      <c r="R130" s="113">
        <f t="shared" si="14"/>
        <v>7884</v>
      </c>
      <c r="S130" s="113">
        <f t="shared" si="14"/>
        <v>7884</v>
      </c>
      <c r="T130" s="113">
        <f t="shared" si="14"/>
        <v>7884</v>
      </c>
      <c r="U130" s="113">
        <f t="shared" si="14"/>
        <v>7884</v>
      </c>
    </row>
    <row r="131" spans="1:21" s="21" customFormat="1" ht="15" customHeight="1" x14ac:dyDescent="0.35">
      <c r="A131" s="5" t="s">
        <v>117</v>
      </c>
      <c r="B131" s="121">
        <f t="shared" ref="B131:I131" si="15">B16</f>
        <v>2008</v>
      </c>
      <c r="C131" s="121">
        <f t="shared" si="15"/>
        <v>2008</v>
      </c>
      <c r="D131" s="121">
        <f>D16</f>
        <v>2007</v>
      </c>
      <c r="E131" s="121">
        <f>E16</f>
        <v>2007</v>
      </c>
      <c r="F131" s="34">
        <f>F16</f>
        <v>2007</v>
      </c>
      <c r="G131" s="121">
        <f t="shared" si="15"/>
        <v>2007</v>
      </c>
      <c r="H131" s="121">
        <f t="shared" si="15"/>
        <v>2007</v>
      </c>
      <c r="I131" s="121">
        <f t="shared" si="15"/>
        <v>2007</v>
      </c>
      <c r="J131" s="121">
        <f>J16</f>
        <v>2014</v>
      </c>
      <c r="K131" s="121">
        <f>K16</f>
        <v>2011</v>
      </c>
      <c r="L131" s="121">
        <f>K16</f>
        <v>2011</v>
      </c>
      <c r="M131" s="121"/>
      <c r="N131" s="121"/>
      <c r="O131" s="121"/>
      <c r="P131" s="34">
        <f t="shared" ref="P131:U131" si="16">P16</f>
        <v>2016</v>
      </c>
      <c r="Q131" s="34">
        <f t="shared" si="16"/>
        <v>2016</v>
      </c>
      <c r="R131" s="34">
        <f t="shared" si="16"/>
        <v>2016</v>
      </c>
      <c r="S131" s="34">
        <f t="shared" si="16"/>
        <v>2016</v>
      </c>
      <c r="T131" s="121">
        <f t="shared" si="16"/>
        <v>2016</v>
      </c>
      <c r="U131" s="121">
        <f t="shared" si="16"/>
        <v>2016</v>
      </c>
    </row>
    <row r="132" spans="1:21" s="21" customFormat="1" ht="15" customHeight="1" x14ac:dyDescent="0.35">
      <c r="A132" s="132" t="s">
        <v>218</v>
      </c>
      <c r="B132" s="120">
        <f t="shared" ref="B132:I132" si="17">B11</f>
        <v>60</v>
      </c>
      <c r="C132" s="120">
        <f t="shared" si="17"/>
        <v>60</v>
      </c>
      <c r="D132" s="120">
        <f>D11</f>
        <v>75</v>
      </c>
      <c r="E132" s="120">
        <f>E11</f>
        <v>75</v>
      </c>
      <c r="F132" s="43">
        <f>F11</f>
        <v>50.7</v>
      </c>
      <c r="G132" s="120">
        <f t="shared" si="17"/>
        <v>63.52</v>
      </c>
      <c r="H132" s="120">
        <f t="shared" si="17"/>
        <v>63.52</v>
      </c>
      <c r="I132" s="120">
        <f t="shared" si="17"/>
        <v>63.52</v>
      </c>
      <c r="J132" s="120">
        <f>J11</f>
        <v>84.45</v>
      </c>
      <c r="K132" s="120">
        <f>K11</f>
        <v>80</v>
      </c>
      <c r="L132" s="120">
        <f>K11</f>
        <v>80</v>
      </c>
      <c r="M132" s="120"/>
      <c r="N132" s="120"/>
      <c r="O132" s="120"/>
      <c r="P132" s="43" t="str">
        <f t="shared" ref="P132:U132" si="18">P11</f>
        <v>$80.00 (Wood)</v>
      </c>
      <c r="Q132" s="43" t="str">
        <f t="shared" si="18"/>
        <v>$80.00 (Wood)</v>
      </c>
      <c r="R132" s="43">
        <f t="shared" si="18"/>
        <v>60.58</v>
      </c>
      <c r="S132" s="43">
        <f t="shared" si="18"/>
        <v>60.58</v>
      </c>
      <c r="T132" s="120">
        <f t="shared" si="18"/>
        <v>63.23</v>
      </c>
      <c r="U132" s="120">
        <f t="shared" si="18"/>
        <v>60.54</v>
      </c>
    </row>
    <row r="133" spans="1:21" s="21" customFormat="1" ht="15" customHeight="1" x14ac:dyDescent="0.35">
      <c r="A133" s="5" t="s">
        <v>105</v>
      </c>
      <c r="B133" s="115">
        <v>0</v>
      </c>
      <c r="C133" s="115">
        <v>0</v>
      </c>
      <c r="D133" s="115">
        <v>0</v>
      </c>
      <c r="E133" s="115">
        <v>0</v>
      </c>
      <c r="F133" s="10">
        <v>0</v>
      </c>
      <c r="G133" s="115">
        <v>0</v>
      </c>
      <c r="H133" s="115">
        <v>0</v>
      </c>
      <c r="I133" s="115">
        <v>0</v>
      </c>
      <c r="J133" s="115">
        <v>0</v>
      </c>
      <c r="K133" s="115">
        <v>0</v>
      </c>
      <c r="L133" s="115">
        <v>0</v>
      </c>
      <c r="M133" s="115"/>
      <c r="N133" s="115"/>
      <c r="O133" s="115"/>
      <c r="P133" s="10">
        <v>0</v>
      </c>
      <c r="Q133" s="10">
        <v>0</v>
      </c>
      <c r="R133" s="10">
        <v>0</v>
      </c>
      <c r="S133" s="10">
        <v>0</v>
      </c>
      <c r="T133" s="115">
        <v>0</v>
      </c>
      <c r="U133" s="115">
        <v>0</v>
      </c>
    </row>
    <row r="134" spans="1:21" s="21" customFormat="1" ht="15" customHeight="1" x14ac:dyDescent="0.35">
      <c r="A134" s="5" t="s">
        <v>48</v>
      </c>
      <c r="B134" s="112">
        <v>27.564820397967097</v>
      </c>
      <c r="C134" s="112">
        <v>31.699543457662159</v>
      </c>
      <c r="D134" s="112">
        <f>'Supporting Calculations'!B94</f>
        <v>41.605650788181585</v>
      </c>
      <c r="E134" s="112">
        <f>'Supporting Calculations'!C94</f>
        <v>36.781807218537338</v>
      </c>
      <c r="F134" s="41">
        <v>16.23</v>
      </c>
      <c r="G134" s="112">
        <f>'Supporting Calculations'!B137</f>
        <v>58.144543026961841</v>
      </c>
      <c r="H134" s="112">
        <f>'Supporting Calculations'!C137</f>
        <v>23.946937720733914</v>
      </c>
      <c r="I134" s="112">
        <f>'Supporting Calculations'!D137</f>
        <v>28.340080971659919</v>
      </c>
      <c r="J134" s="112">
        <f>'Supporting Calculations'!B157</f>
        <v>29.890602119045571</v>
      </c>
      <c r="K134" s="112">
        <f>'Supporting Calculations'!B180</f>
        <v>42.122491170643464</v>
      </c>
      <c r="L134" s="112">
        <f>'Supporting Calculations'!C180</f>
        <v>29.287621672840036</v>
      </c>
      <c r="M134" s="112"/>
      <c r="N134" s="112"/>
      <c r="O134" s="112">
        <v>30.82</v>
      </c>
      <c r="P134" s="41">
        <f>'Supporting Calculations'!B318</f>
        <v>20.244637781031958</v>
      </c>
      <c r="Q134" s="41">
        <f>'Supporting Calculations'!C318</f>
        <v>23.713498147988631</v>
      </c>
      <c r="R134" s="41">
        <v>32.69</v>
      </c>
      <c r="S134" s="41">
        <v>28.44</v>
      </c>
      <c r="T134" s="112">
        <f>'Supporting Calculations'!B194</f>
        <v>30.40744250150745</v>
      </c>
      <c r="U134" s="112">
        <f>'Supporting Calculations'!C194</f>
        <v>28.426221035403564</v>
      </c>
    </row>
    <row r="135" spans="1:21" s="21" customFormat="1" ht="15" customHeight="1" x14ac:dyDescent="0.35">
      <c r="A135" s="5" t="s">
        <v>69</v>
      </c>
      <c r="B135" s="112">
        <v>3.2</v>
      </c>
      <c r="C135" s="112">
        <v>3.68</v>
      </c>
      <c r="D135" s="112">
        <f>D17</f>
        <v>4.83</v>
      </c>
      <c r="E135" s="112">
        <f>E17</f>
        <v>4.2699999999999996</v>
      </c>
      <c r="F135" s="112">
        <v>1.91</v>
      </c>
      <c r="G135" s="112">
        <f t="shared" ref="G135:L135" si="19">G17</f>
        <v>6.75</v>
      </c>
      <c r="H135" s="112">
        <f t="shared" si="19"/>
        <v>2.78</v>
      </c>
      <c r="I135" s="112">
        <f t="shared" si="19"/>
        <v>3.29</v>
      </c>
      <c r="J135" s="112">
        <f t="shared" si="19"/>
        <v>3.47</v>
      </c>
      <c r="K135" s="112">
        <f t="shared" si="19"/>
        <v>4.8899999999999997</v>
      </c>
      <c r="L135" s="112">
        <f t="shared" si="19"/>
        <v>3.4</v>
      </c>
      <c r="M135" s="112"/>
      <c r="N135" s="112"/>
      <c r="O135" s="112">
        <f t="shared" ref="O135:U135" si="20">O17</f>
        <v>3.58</v>
      </c>
      <c r="P135" s="112">
        <f t="shared" si="20"/>
        <v>2.3502000000000001</v>
      </c>
      <c r="Q135" s="112">
        <f t="shared" si="20"/>
        <v>2.7528999999999999</v>
      </c>
      <c r="R135" s="112">
        <f t="shared" si="20"/>
        <v>3.79</v>
      </c>
      <c r="S135" s="112">
        <f t="shared" si="20"/>
        <v>3.3</v>
      </c>
      <c r="T135" s="112">
        <f t="shared" si="20"/>
        <v>3.53</v>
      </c>
      <c r="U135" s="112">
        <f t="shared" si="20"/>
        <v>3.3</v>
      </c>
    </row>
    <row r="136" spans="1:21" s="21" customFormat="1" ht="15" customHeight="1" x14ac:dyDescent="0.35">
      <c r="K136" s="165"/>
      <c r="L136" s="165"/>
      <c r="T136" s="165"/>
      <c r="U136" s="165"/>
    </row>
    <row r="137" spans="1:21" s="21" customFormat="1" ht="15" customHeight="1" x14ac:dyDescent="0.35">
      <c r="A137" s="17"/>
      <c r="K137" s="165"/>
      <c r="L137" s="165"/>
      <c r="T137" s="165"/>
      <c r="U137" s="165"/>
    </row>
    <row r="138" spans="1:21" s="21" customFormat="1" ht="15" customHeight="1" x14ac:dyDescent="0.35">
      <c r="A138" s="17"/>
      <c r="K138" s="165"/>
      <c r="L138" s="165"/>
      <c r="T138" s="165"/>
      <c r="U138" s="165"/>
    </row>
    <row r="139" spans="1:21" s="21" customFormat="1" ht="15" customHeight="1" x14ac:dyDescent="0.35">
      <c r="A139" s="17"/>
      <c r="K139" s="165"/>
      <c r="L139" s="165"/>
      <c r="T139" s="165"/>
      <c r="U139" s="165"/>
    </row>
    <row r="140" spans="1:21" s="21" customFormat="1" ht="15" customHeight="1" x14ac:dyDescent="0.35">
      <c r="A140" s="17"/>
      <c r="K140" s="165"/>
      <c r="L140" s="165"/>
      <c r="T140" s="165"/>
      <c r="U140" s="165"/>
    </row>
    <row r="141" spans="1:21" s="21" customFormat="1" ht="15" customHeight="1" x14ac:dyDescent="0.35">
      <c r="A141" s="17"/>
      <c r="K141" s="165"/>
      <c r="L141" s="165"/>
      <c r="T141" s="165"/>
      <c r="U141" s="165"/>
    </row>
    <row r="142" spans="1:21" s="21" customFormat="1" ht="15" customHeight="1" x14ac:dyDescent="0.35">
      <c r="A142" s="17"/>
      <c r="K142" s="165"/>
      <c r="L142" s="165"/>
      <c r="T142" s="165"/>
      <c r="U142" s="165"/>
    </row>
    <row r="143" spans="1:21" s="21" customFormat="1" ht="15" customHeight="1" x14ac:dyDescent="0.35">
      <c r="A143" s="17"/>
      <c r="K143" s="165"/>
      <c r="L143" s="165"/>
      <c r="T143" s="165"/>
      <c r="U143" s="165"/>
    </row>
    <row r="144" spans="1:21"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sheetData>
  <hyperlinks>
    <hyperlink ref="F5" r:id="rId1" xr:uid="{00000000-0004-0000-0200-000000000000}"/>
    <hyperlink ref="G5" r:id="rId2" xr:uid="{00000000-0004-0000-0200-000001000000}"/>
    <hyperlink ref="H5" r:id="rId3" xr:uid="{00000000-0004-0000-0200-000002000000}"/>
    <hyperlink ref="I5" r:id="rId4" xr:uid="{00000000-0004-0000-0200-000003000000}"/>
    <hyperlink ref="D5" r:id="rId5" xr:uid="{00000000-0004-0000-0200-000004000000}"/>
    <hyperlink ref="E5" r:id="rId6" xr:uid="{00000000-0004-0000-0200-000005000000}"/>
    <hyperlink ref="B5" r:id="rId7" xr:uid="{21B96C56-5447-4D15-AE0D-959B73BDC5E7}"/>
    <hyperlink ref="Q5" r:id="rId8" location="!divAbstract" xr:uid="{E481128F-FC2B-4CA0-AD48-4403E8AA15C3}"/>
    <hyperlink ref="M5" r:id="rId9" xr:uid="{9F366946-3B48-4B48-A2BE-6C2584626950}"/>
    <hyperlink ref="R5" r:id="rId10" xr:uid="{A5BCD7FF-2DD8-4488-A0AA-6B83E5610268}"/>
    <hyperlink ref="N5" r:id="rId11" xr:uid="{D350D5FE-7A70-4ADB-881F-290D2ABCF81D}"/>
    <hyperlink ref="C5" r:id="rId12" xr:uid="{F0728D05-9502-40A7-94F2-D4EF03478D3E}"/>
  </hyperlinks>
  <pageMargins left="0.7" right="0.7" top="0.75" bottom="0.75" header="0.3" footer="0.3"/>
  <pageSetup orientation="portrait" r:id="rId13"/>
  <ignoredErrors>
    <ignoredError sqref="H79" formula="1"/>
  </ignoredErrors>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136"/>
  <sheetViews>
    <sheetView workbookViewId="0">
      <pane xSplit="1" ySplit="7" topLeftCell="J8" activePane="bottomRight" state="frozen"/>
      <selection pane="topRight" activeCell="B1" sqref="B1"/>
      <selection pane="bottomLeft" activeCell="A9" sqref="A9"/>
      <selection pane="bottomRight" activeCell="J23" sqref="J23"/>
    </sheetView>
  </sheetViews>
  <sheetFormatPr defaultRowHeight="14.5" x14ac:dyDescent="0.35"/>
  <cols>
    <col min="1" max="1" width="66.1796875" style="1" customWidth="1"/>
    <col min="2" max="2" width="60" customWidth="1"/>
    <col min="3" max="3" width="60.1796875" customWidth="1"/>
    <col min="4" max="4" width="58.453125" customWidth="1"/>
    <col min="5" max="9" width="60.7265625" customWidth="1"/>
    <col min="10" max="11" width="60.7265625" style="81" customWidth="1"/>
  </cols>
  <sheetData>
    <row r="1" spans="1:11" ht="18.5" x14ac:dyDescent="0.45">
      <c r="A1" s="166" t="s">
        <v>167</v>
      </c>
      <c r="B1" s="56"/>
      <c r="C1" s="56"/>
      <c r="D1" s="56"/>
      <c r="E1" s="56"/>
      <c r="F1" s="137"/>
      <c r="G1" s="137"/>
      <c r="H1" s="137"/>
      <c r="I1" s="255"/>
      <c r="J1" s="255"/>
      <c r="K1" s="255"/>
    </row>
    <row r="2" spans="1:11" ht="58" x14ac:dyDescent="0.35">
      <c r="A2" s="4" t="s">
        <v>0</v>
      </c>
      <c r="B2" s="13" t="s">
        <v>694</v>
      </c>
      <c r="C2" s="13" t="s">
        <v>696</v>
      </c>
      <c r="D2" s="13" t="s">
        <v>254</v>
      </c>
      <c r="E2" s="13" t="s">
        <v>162</v>
      </c>
      <c r="F2" s="13" t="s">
        <v>455</v>
      </c>
      <c r="G2" s="13" t="s">
        <v>456</v>
      </c>
      <c r="H2" s="13" t="s">
        <v>457</v>
      </c>
      <c r="I2" s="13" t="s">
        <v>500</v>
      </c>
      <c r="J2" s="207" t="s">
        <v>608</v>
      </c>
      <c r="K2" s="207" t="s">
        <v>609</v>
      </c>
    </row>
    <row r="3" spans="1:11" ht="60" customHeight="1" x14ac:dyDescent="0.35">
      <c r="A3" s="4" t="s">
        <v>1</v>
      </c>
      <c r="B3" s="13" t="s">
        <v>228</v>
      </c>
      <c r="C3" s="13" t="s">
        <v>228</v>
      </c>
      <c r="D3" s="13" t="s">
        <v>255</v>
      </c>
      <c r="E3" s="13" t="s">
        <v>538</v>
      </c>
      <c r="F3" s="13" t="s">
        <v>319</v>
      </c>
      <c r="G3" s="13" t="s">
        <v>319</v>
      </c>
      <c r="H3" s="13" t="s">
        <v>422</v>
      </c>
      <c r="I3" s="13" t="s">
        <v>422</v>
      </c>
      <c r="J3" s="207" t="s">
        <v>589</v>
      </c>
      <c r="K3" s="207" t="s">
        <v>589</v>
      </c>
    </row>
    <row r="4" spans="1:11" x14ac:dyDescent="0.35">
      <c r="A4" s="3" t="s">
        <v>2</v>
      </c>
      <c r="B4" s="7">
        <v>2010</v>
      </c>
      <c r="C4" s="7">
        <v>2010</v>
      </c>
      <c r="D4" s="7">
        <v>2012</v>
      </c>
      <c r="E4" s="7">
        <v>2013</v>
      </c>
      <c r="F4" s="7">
        <v>2015</v>
      </c>
      <c r="G4" s="7">
        <v>2015</v>
      </c>
      <c r="H4" s="7">
        <v>2018</v>
      </c>
      <c r="I4" s="7">
        <v>2018</v>
      </c>
      <c r="J4" s="143">
        <v>2020</v>
      </c>
      <c r="K4" s="143">
        <v>2020</v>
      </c>
    </row>
    <row r="5" spans="1:11" ht="29" x14ac:dyDescent="0.35">
      <c r="A5" s="3" t="s">
        <v>225</v>
      </c>
      <c r="B5" s="7" t="s">
        <v>226</v>
      </c>
      <c r="C5" s="7" t="s">
        <v>226</v>
      </c>
      <c r="D5" s="7" t="s">
        <v>697</v>
      </c>
      <c r="E5" s="144" t="s">
        <v>699</v>
      </c>
      <c r="F5" s="144" t="s">
        <v>703</v>
      </c>
      <c r="G5" s="144" t="s">
        <v>703</v>
      </c>
      <c r="H5" s="144" t="s">
        <v>707</v>
      </c>
      <c r="I5" s="144" t="s">
        <v>707</v>
      </c>
      <c r="J5" s="157" t="s">
        <v>709</v>
      </c>
      <c r="K5" s="157" t="s">
        <v>709</v>
      </c>
    </row>
    <row r="6" spans="1:11" ht="29.25" customHeight="1" x14ac:dyDescent="0.35">
      <c r="A6" s="4" t="s">
        <v>3</v>
      </c>
      <c r="B6" s="78" t="s">
        <v>227</v>
      </c>
      <c r="C6" s="78" t="s">
        <v>227</v>
      </c>
      <c r="D6" s="195" t="s">
        <v>224</v>
      </c>
      <c r="E6" s="78" t="s">
        <v>170</v>
      </c>
      <c r="F6" s="8" t="s">
        <v>320</v>
      </c>
      <c r="G6" s="8" t="s">
        <v>320</v>
      </c>
      <c r="H6" s="8" t="s">
        <v>423</v>
      </c>
      <c r="I6" s="8" t="s">
        <v>423</v>
      </c>
      <c r="J6" s="204" t="s">
        <v>590</v>
      </c>
      <c r="K6" s="204" t="s">
        <v>590</v>
      </c>
    </row>
    <row r="7" spans="1:11" ht="15" customHeight="1" x14ac:dyDescent="0.35">
      <c r="A7" s="4" t="s">
        <v>195</v>
      </c>
      <c r="B7" s="9" t="s">
        <v>695</v>
      </c>
      <c r="C7" s="9" t="s">
        <v>230</v>
      </c>
      <c r="D7" s="79"/>
      <c r="E7" s="78"/>
      <c r="F7" s="176" t="s">
        <v>704</v>
      </c>
      <c r="G7" s="176" t="s">
        <v>706</v>
      </c>
      <c r="H7" s="176" t="s">
        <v>708</v>
      </c>
      <c r="I7" s="176" t="s">
        <v>501</v>
      </c>
      <c r="J7" s="256" t="s">
        <v>591</v>
      </c>
      <c r="K7" s="256" t="s">
        <v>594</v>
      </c>
    </row>
    <row r="8" spans="1:11" x14ac:dyDescent="0.35">
      <c r="A8" s="36" t="s">
        <v>433</v>
      </c>
      <c r="B8" s="11"/>
      <c r="C8" s="11"/>
      <c r="D8" s="11"/>
      <c r="E8" s="11"/>
      <c r="F8" s="11"/>
      <c r="G8" s="11"/>
      <c r="H8" s="11"/>
      <c r="I8" s="11"/>
      <c r="J8" s="93"/>
      <c r="K8" s="93"/>
    </row>
    <row r="9" spans="1:11" x14ac:dyDescent="0.35">
      <c r="A9" s="4" t="s">
        <v>4</v>
      </c>
      <c r="B9" s="79" t="s">
        <v>145</v>
      </c>
      <c r="C9" s="79" t="s">
        <v>145</v>
      </c>
      <c r="D9" s="79" t="s">
        <v>145</v>
      </c>
      <c r="E9" s="79" t="s">
        <v>145</v>
      </c>
      <c r="F9" s="79" t="s">
        <v>145</v>
      </c>
      <c r="G9" s="79" t="s">
        <v>145</v>
      </c>
      <c r="H9" s="79" t="s">
        <v>145</v>
      </c>
      <c r="I9" s="79" t="s">
        <v>145</v>
      </c>
      <c r="J9" s="210" t="s">
        <v>145</v>
      </c>
      <c r="K9" s="210" t="s">
        <v>145</v>
      </c>
    </row>
    <row r="10" spans="1:11" ht="35.25" customHeight="1" x14ac:dyDescent="0.35">
      <c r="A10" s="4" t="s">
        <v>9</v>
      </c>
      <c r="B10" s="79" t="s">
        <v>229</v>
      </c>
      <c r="C10" s="79" t="s">
        <v>229</v>
      </c>
      <c r="D10" s="79" t="s">
        <v>698</v>
      </c>
      <c r="E10" s="80" t="s">
        <v>702</v>
      </c>
      <c r="F10" s="80" t="s">
        <v>705</v>
      </c>
      <c r="G10" s="80" t="s">
        <v>705</v>
      </c>
      <c r="H10" s="80" t="s">
        <v>424</v>
      </c>
      <c r="I10" s="80" t="s">
        <v>424</v>
      </c>
      <c r="J10" s="207" t="s">
        <v>710</v>
      </c>
      <c r="K10" s="207" t="s">
        <v>710</v>
      </c>
    </row>
    <row r="11" spans="1:11" x14ac:dyDescent="0.35">
      <c r="A11" s="4" t="s">
        <v>237</v>
      </c>
      <c r="B11" s="265">
        <v>75</v>
      </c>
      <c r="C11" s="265">
        <v>75</v>
      </c>
      <c r="D11" s="265">
        <v>71.97</v>
      </c>
      <c r="E11" s="75">
        <v>80</v>
      </c>
      <c r="F11" s="75">
        <v>84.45</v>
      </c>
      <c r="G11" s="75">
        <v>84.45</v>
      </c>
      <c r="H11" s="75">
        <v>87.82</v>
      </c>
      <c r="I11" s="75">
        <v>70.31</v>
      </c>
      <c r="J11" s="265">
        <v>70.150000000000006</v>
      </c>
      <c r="K11" s="265">
        <v>70.150000000000006</v>
      </c>
    </row>
    <row r="12" spans="1:11" x14ac:dyDescent="0.35">
      <c r="A12" s="5" t="s">
        <v>11</v>
      </c>
      <c r="B12" s="139">
        <v>2000</v>
      </c>
      <c r="C12" s="139">
        <v>2000</v>
      </c>
      <c r="D12" s="139">
        <v>2000</v>
      </c>
      <c r="E12" s="139">
        <v>2000</v>
      </c>
      <c r="F12" s="139">
        <v>2000</v>
      </c>
      <c r="G12" s="139">
        <v>2000</v>
      </c>
      <c r="H12" s="139">
        <v>2000</v>
      </c>
      <c r="I12" s="139">
        <v>2000</v>
      </c>
      <c r="J12" s="139">
        <v>2000</v>
      </c>
      <c r="K12" s="139">
        <v>2000</v>
      </c>
    </row>
    <row r="13" spans="1:11" x14ac:dyDescent="0.35">
      <c r="A13" s="5" t="s">
        <v>643</v>
      </c>
      <c r="B13" s="266">
        <v>330</v>
      </c>
      <c r="C13" s="266">
        <v>330</v>
      </c>
      <c r="D13" s="266">
        <f>D123/24</f>
        <v>350.41666666666669</v>
      </c>
      <c r="E13" s="266">
        <v>330</v>
      </c>
      <c r="F13" s="266">
        <v>330</v>
      </c>
      <c r="G13" s="266">
        <v>330</v>
      </c>
      <c r="H13" s="266">
        <v>330</v>
      </c>
      <c r="I13" s="266">
        <v>330</v>
      </c>
      <c r="J13" s="269">
        <v>330</v>
      </c>
      <c r="K13" s="269">
        <v>330</v>
      </c>
    </row>
    <row r="14" spans="1:11" x14ac:dyDescent="0.35">
      <c r="A14" s="5" t="s">
        <v>632</v>
      </c>
      <c r="B14" s="268">
        <v>0.9</v>
      </c>
      <c r="C14" s="268">
        <v>0.9</v>
      </c>
      <c r="D14" s="268">
        <f>D13/365.25</f>
        <v>0.95938854665754059</v>
      </c>
      <c r="E14" s="267">
        <v>0.9</v>
      </c>
      <c r="F14" s="267">
        <v>0.9</v>
      </c>
      <c r="G14" s="267">
        <v>0.9</v>
      </c>
      <c r="H14" s="267">
        <v>0.9</v>
      </c>
      <c r="I14" s="267">
        <v>0.9</v>
      </c>
      <c r="J14" s="267">
        <v>0.9</v>
      </c>
      <c r="K14" s="267">
        <v>0.9</v>
      </c>
    </row>
    <row r="15" spans="1:11" x14ac:dyDescent="0.35">
      <c r="A15" s="5" t="s">
        <v>432</v>
      </c>
      <c r="B15" s="145">
        <f>'Supporting Calculations'!B255</f>
        <v>51.262860092576197</v>
      </c>
      <c r="C15" s="145">
        <f>'Supporting Calculations'!C255</f>
        <v>84.424427779581691</v>
      </c>
      <c r="D15" s="145">
        <v>78.819999999999993</v>
      </c>
      <c r="E15" s="145">
        <f>'Supporting Calculations'!B288</f>
        <v>87.156516495822217</v>
      </c>
      <c r="F15" s="145">
        <v>78</v>
      </c>
      <c r="G15" s="145">
        <v>74.900000000000006</v>
      </c>
      <c r="H15" s="145">
        <v>71.7</v>
      </c>
      <c r="I15" s="145">
        <v>77.3</v>
      </c>
      <c r="J15" s="145">
        <v>59.5</v>
      </c>
      <c r="K15" s="145">
        <v>59.5</v>
      </c>
    </row>
    <row r="16" spans="1:11" x14ac:dyDescent="0.35">
      <c r="A16" s="4" t="s">
        <v>20</v>
      </c>
      <c r="B16" s="137">
        <v>2007</v>
      </c>
      <c r="C16" s="137">
        <v>2007</v>
      </c>
      <c r="D16" s="137">
        <v>2007</v>
      </c>
      <c r="E16" s="137">
        <v>2011</v>
      </c>
      <c r="F16" s="137">
        <v>2014</v>
      </c>
      <c r="G16" s="137">
        <v>2014</v>
      </c>
      <c r="H16" s="137">
        <v>2016</v>
      </c>
      <c r="I16" s="137">
        <v>2016</v>
      </c>
      <c r="J16" s="137">
        <v>2016</v>
      </c>
      <c r="K16" s="137">
        <v>2016</v>
      </c>
    </row>
    <row r="17" spans="1:11" x14ac:dyDescent="0.35">
      <c r="A17" s="4" t="s">
        <v>458</v>
      </c>
      <c r="B17" s="265">
        <f>B128</f>
        <v>2.9338194160464544</v>
      </c>
      <c r="C17" s="265">
        <f>C128</f>
        <v>2.0033524167825303</v>
      </c>
      <c r="D17" s="265">
        <v>1.6</v>
      </c>
      <c r="E17" s="265">
        <v>3.35</v>
      </c>
      <c r="F17" s="265">
        <v>3.38</v>
      </c>
      <c r="G17" s="265">
        <v>3.54</v>
      </c>
      <c r="H17" s="265">
        <v>3.5</v>
      </c>
      <c r="I17" s="265">
        <v>2.93</v>
      </c>
      <c r="J17" s="265">
        <v>3.33</v>
      </c>
      <c r="K17" s="265">
        <v>3.09</v>
      </c>
    </row>
    <row r="18" spans="1:11" x14ac:dyDescent="0.35">
      <c r="A18" s="4"/>
      <c r="B18" s="81"/>
      <c r="C18" s="81"/>
      <c r="D18" s="81"/>
      <c r="E18" s="81"/>
      <c r="F18" s="81"/>
      <c r="G18" s="81"/>
      <c r="H18" s="81"/>
      <c r="I18" s="81"/>
    </row>
    <row r="19" spans="1:11" x14ac:dyDescent="0.35">
      <c r="A19" s="220" t="s">
        <v>49</v>
      </c>
      <c r="B19" s="81"/>
      <c r="C19" s="81"/>
      <c r="D19" s="81"/>
      <c r="E19" s="81"/>
      <c r="F19" s="81"/>
      <c r="G19" s="81"/>
      <c r="H19" s="81"/>
      <c r="I19" s="81"/>
    </row>
    <row r="20" spans="1:11" x14ac:dyDescent="0.35">
      <c r="A20" s="18" t="s">
        <v>21</v>
      </c>
      <c r="B20" s="84">
        <v>20236416</v>
      </c>
      <c r="C20" s="84">
        <v>20236416</v>
      </c>
      <c r="D20" s="84">
        <v>4723341</v>
      </c>
      <c r="E20" s="84"/>
      <c r="F20" s="2" t="s">
        <v>539</v>
      </c>
      <c r="G20" s="2" t="s">
        <v>539</v>
      </c>
      <c r="H20" s="2" t="s">
        <v>539</v>
      </c>
      <c r="I20" s="2" t="s">
        <v>539</v>
      </c>
      <c r="J20" s="84">
        <v>520000</v>
      </c>
      <c r="K20" s="84">
        <v>590000</v>
      </c>
    </row>
    <row r="21" spans="1:11" x14ac:dyDescent="0.35">
      <c r="A21" s="20" t="s">
        <v>167</v>
      </c>
      <c r="B21" s="84">
        <v>27983924</v>
      </c>
      <c r="C21" s="84">
        <v>27983924</v>
      </c>
      <c r="D21" s="84">
        <v>17707759</v>
      </c>
      <c r="E21" s="84">
        <f>161979303+12841572-E34</f>
        <v>174008442</v>
      </c>
      <c r="F21" s="84">
        <v>124794179</v>
      </c>
      <c r="G21" s="84">
        <v>90905718</v>
      </c>
      <c r="H21" s="84">
        <v>116246049</v>
      </c>
      <c r="I21" s="84">
        <v>117266910</v>
      </c>
      <c r="J21" s="84">
        <v>112690000</v>
      </c>
      <c r="K21" s="84">
        <v>112380000</v>
      </c>
    </row>
    <row r="22" spans="1:11" x14ac:dyDescent="0.35">
      <c r="A22" s="20" t="s">
        <v>711</v>
      </c>
      <c r="B22" s="84"/>
      <c r="C22" s="84"/>
      <c r="D22" s="84"/>
      <c r="E22" s="84"/>
      <c r="F22" s="84">
        <v>23799064</v>
      </c>
      <c r="G22" s="84">
        <v>22002288</v>
      </c>
      <c r="H22" s="84">
        <v>23569170</v>
      </c>
      <c r="I22" s="84">
        <v>24146914</v>
      </c>
      <c r="J22" s="84">
        <v>38720000</v>
      </c>
      <c r="K22" s="84">
        <v>45800000</v>
      </c>
    </row>
    <row r="23" spans="1:11" x14ac:dyDescent="0.35">
      <c r="A23" s="20" t="s">
        <v>118</v>
      </c>
      <c r="B23" s="84">
        <v>13706012</v>
      </c>
      <c r="C23" s="84">
        <v>14770260</v>
      </c>
      <c r="D23" s="84"/>
      <c r="E23" s="84">
        <v>110732205</v>
      </c>
      <c r="F23" s="84">
        <f>17585225+4409571</f>
        <v>21994796</v>
      </c>
      <c r="G23" s="84">
        <f>23024619+3942317</f>
        <v>26966936</v>
      </c>
      <c r="H23" s="84"/>
      <c r="I23" s="84"/>
      <c r="J23" s="84"/>
      <c r="K23" s="84"/>
    </row>
    <row r="24" spans="1:11" x14ac:dyDescent="0.35">
      <c r="A24" s="20" t="s">
        <v>425</v>
      </c>
      <c r="B24" s="84"/>
      <c r="C24" s="84"/>
      <c r="D24" s="84"/>
      <c r="E24" s="84"/>
      <c r="F24" s="84"/>
      <c r="G24" s="84"/>
      <c r="H24" s="84">
        <v>41377288</v>
      </c>
      <c r="I24" s="84">
        <v>39806369</v>
      </c>
      <c r="J24" s="84">
        <v>29250000</v>
      </c>
      <c r="K24" s="84">
        <v>0</v>
      </c>
    </row>
    <row r="25" spans="1:11" x14ac:dyDescent="0.35">
      <c r="A25" s="20" t="s">
        <v>119</v>
      </c>
      <c r="B25" s="84"/>
      <c r="C25" s="84"/>
      <c r="D25" s="84"/>
      <c r="E25" s="84">
        <v>18463571</v>
      </c>
      <c r="F25" s="84">
        <v>8290372</v>
      </c>
      <c r="G25" s="84">
        <v>6865862</v>
      </c>
      <c r="H25" s="84"/>
      <c r="I25" s="84"/>
      <c r="J25" s="84"/>
      <c r="K25" s="84"/>
    </row>
    <row r="26" spans="1:11" x14ac:dyDescent="0.35">
      <c r="A26" s="20" t="s">
        <v>154</v>
      </c>
      <c r="B26" s="84"/>
      <c r="C26" s="84"/>
      <c r="D26" s="84"/>
      <c r="E26" s="84"/>
      <c r="F26" s="84"/>
      <c r="G26" s="84"/>
      <c r="H26" s="84"/>
      <c r="I26" s="84"/>
      <c r="J26" s="84"/>
      <c r="K26" s="84"/>
    </row>
    <row r="27" spans="1:11" x14ac:dyDescent="0.35">
      <c r="A27" s="20" t="s">
        <v>256</v>
      </c>
      <c r="B27" s="84"/>
      <c r="C27" s="84"/>
      <c r="D27" s="84">
        <v>439000</v>
      </c>
      <c r="E27" s="84"/>
      <c r="F27" s="84"/>
      <c r="G27" s="84"/>
      <c r="H27" s="84"/>
      <c r="I27" s="84"/>
      <c r="J27" s="84"/>
      <c r="K27" s="84"/>
    </row>
    <row r="28" spans="1:11" x14ac:dyDescent="0.35">
      <c r="A28" s="20" t="s">
        <v>257</v>
      </c>
      <c r="B28" s="84"/>
      <c r="C28" s="84"/>
      <c r="D28" s="84">
        <v>3992341</v>
      </c>
      <c r="E28" s="84"/>
      <c r="F28" s="84"/>
      <c r="G28" s="84"/>
      <c r="H28" s="84"/>
      <c r="I28" s="84"/>
      <c r="J28" s="84"/>
      <c r="K28" s="84"/>
    </row>
    <row r="29" spans="1:11" x14ac:dyDescent="0.35">
      <c r="A29" s="20" t="s">
        <v>258</v>
      </c>
      <c r="B29" s="84"/>
      <c r="C29" s="84"/>
      <c r="D29" s="84">
        <v>964942</v>
      </c>
      <c r="E29" s="84"/>
      <c r="F29" s="84"/>
      <c r="G29" s="84"/>
      <c r="H29" s="84"/>
      <c r="I29" s="84"/>
      <c r="J29" s="84"/>
      <c r="K29" s="84"/>
    </row>
    <row r="30" spans="1:11" x14ac:dyDescent="0.35">
      <c r="A30" s="20" t="s">
        <v>259</v>
      </c>
      <c r="B30" s="84"/>
      <c r="C30" s="84"/>
      <c r="D30" s="84">
        <v>1431796</v>
      </c>
      <c r="E30" s="84"/>
      <c r="F30" s="84"/>
      <c r="G30" s="84"/>
      <c r="H30" s="84"/>
      <c r="I30" s="84"/>
      <c r="J30" s="84"/>
      <c r="K30" s="84"/>
    </row>
    <row r="31" spans="1:11" x14ac:dyDescent="0.35">
      <c r="A31" s="20" t="s">
        <v>260</v>
      </c>
      <c r="B31" s="84"/>
      <c r="C31" s="84"/>
      <c r="D31" s="84">
        <v>2748201</v>
      </c>
      <c r="E31" s="84"/>
      <c r="F31" s="84"/>
      <c r="G31" s="84"/>
      <c r="H31" s="84"/>
      <c r="I31" s="84"/>
      <c r="J31" s="84"/>
      <c r="K31" s="84"/>
    </row>
    <row r="32" spans="1:11" x14ac:dyDescent="0.35">
      <c r="A32" s="20" t="s">
        <v>120</v>
      </c>
      <c r="B32" s="84">
        <v>34966466</v>
      </c>
      <c r="C32" s="84"/>
      <c r="D32" s="84">
        <v>44035558</v>
      </c>
      <c r="E32" s="84">
        <v>69144535</v>
      </c>
      <c r="F32" s="84">
        <v>65642413</v>
      </c>
      <c r="G32" s="84">
        <v>69455881</v>
      </c>
      <c r="H32" s="84">
        <v>68622002</v>
      </c>
      <c r="I32" s="84">
        <v>65240914</v>
      </c>
      <c r="J32" s="84">
        <v>69300000</v>
      </c>
      <c r="K32" s="84">
        <v>50140000</v>
      </c>
    </row>
    <row r="33" spans="1:16" x14ac:dyDescent="0.35">
      <c r="A33" s="20" t="s">
        <v>121</v>
      </c>
      <c r="B33" s="84"/>
      <c r="C33" s="84"/>
      <c r="D33" s="84"/>
      <c r="E33" s="84">
        <v>1071756</v>
      </c>
      <c r="F33" s="84">
        <v>12702876</v>
      </c>
      <c r="G33" s="84">
        <v>16874504</v>
      </c>
      <c r="H33" s="84">
        <v>25929101</v>
      </c>
      <c r="I33" s="84">
        <v>19805598</v>
      </c>
      <c r="J33" s="84">
        <v>24250000</v>
      </c>
      <c r="K33" s="84">
        <v>23580000</v>
      </c>
    </row>
    <row r="34" spans="1:16" x14ac:dyDescent="0.35">
      <c r="A34" s="20" t="s">
        <v>25</v>
      </c>
      <c r="B34" s="84">
        <v>47312830</v>
      </c>
      <c r="C34" s="84">
        <v>45949602</v>
      </c>
      <c r="D34" s="84"/>
      <c r="E34" s="84">
        <f>132694+679739</f>
        <v>812433</v>
      </c>
      <c r="F34" s="84">
        <v>47110410</v>
      </c>
      <c r="G34" s="84">
        <v>51589727</v>
      </c>
      <c r="H34" s="84">
        <v>49768175</v>
      </c>
      <c r="I34" s="84">
        <v>48408551</v>
      </c>
      <c r="J34" s="84">
        <v>47280000</v>
      </c>
      <c r="K34" s="84">
        <v>60850000</v>
      </c>
    </row>
    <row r="35" spans="1:16" x14ac:dyDescent="0.35">
      <c r="A35" s="20" t="s">
        <v>26</v>
      </c>
      <c r="B35" s="84">
        <v>9075402</v>
      </c>
      <c r="C35" s="84">
        <v>9075402</v>
      </c>
      <c r="D35" s="84">
        <v>7396641</v>
      </c>
      <c r="E35" s="84">
        <f>9245493-E33</f>
        <v>8173737</v>
      </c>
      <c r="F35" s="84">
        <v>9125355</v>
      </c>
      <c r="G35" s="84">
        <v>9294968</v>
      </c>
      <c r="H35" s="84">
        <v>8961059</v>
      </c>
      <c r="I35" s="84">
        <v>8848822</v>
      </c>
      <c r="J35" s="84">
        <v>8770000</v>
      </c>
      <c r="K35" s="84">
        <v>8940000</v>
      </c>
    </row>
    <row r="36" spans="1:16" x14ac:dyDescent="0.35">
      <c r="A36" s="20" t="s">
        <v>131</v>
      </c>
      <c r="B36" s="84">
        <v>5821956</v>
      </c>
      <c r="C36" s="84">
        <v>1650128</v>
      </c>
      <c r="D36" s="84"/>
      <c r="E36" s="84"/>
      <c r="F36" s="84"/>
      <c r="G36" s="84"/>
      <c r="H36" s="84"/>
      <c r="I36" s="84"/>
      <c r="J36" s="84"/>
      <c r="K36" s="84"/>
    </row>
    <row r="37" spans="1:16" x14ac:dyDescent="0.35">
      <c r="A37" s="20" t="s">
        <v>261</v>
      </c>
      <c r="B37" s="84"/>
      <c r="C37" s="84"/>
      <c r="D37" s="84">
        <f>SUM(D20:D36)*0.35</f>
        <v>29203852.649999999</v>
      </c>
      <c r="E37" s="84"/>
      <c r="F37" s="84"/>
      <c r="G37" s="84"/>
      <c r="H37" s="84"/>
      <c r="I37" s="84"/>
      <c r="J37" s="213"/>
      <c r="K37" s="84"/>
    </row>
    <row r="38" spans="1:16" x14ac:dyDescent="0.35">
      <c r="A38" s="47" t="s">
        <v>133</v>
      </c>
      <c r="B38" s="85">
        <f>SUM(B20:B36)</f>
        <v>159103006</v>
      </c>
      <c r="C38" s="85">
        <f>SUM(C20:C34,C36)</f>
        <v>110590330</v>
      </c>
      <c r="D38" s="85">
        <f>SUM(D20:D37)</f>
        <v>112643431.65000001</v>
      </c>
      <c r="E38" s="85">
        <f t="shared" ref="E38:I38" si="0">SUM(E20:E35)</f>
        <v>382406679</v>
      </c>
      <c r="F38" s="85">
        <f t="shared" si="0"/>
        <v>313459465</v>
      </c>
      <c r="G38" s="85">
        <f t="shared" si="0"/>
        <v>293955884</v>
      </c>
      <c r="H38" s="85">
        <f t="shared" si="0"/>
        <v>334472844</v>
      </c>
      <c r="I38" s="85">
        <f t="shared" si="0"/>
        <v>323524078</v>
      </c>
      <c r="J38" s="257">
        <f t="shared" ref="J38" si="1">SUM(J20:J35)</f>
        <v>330780000</v>
      </c>
      <c r="K38" s="257">
        <f t="shared" ref="K38" si="2">SUM(K20:K35)</f>
        <v>302280000</v>
      </c>
      <c r="L38" s="214"/>
      <c r="M38" s="214"/>
      <c r="N38" s="214"/>
      <c r="O38" s="214"/>
      <c r="P38" s="214"/>
    </row>
    <row r="39" spans="1:16" x14ac:dyDescent="0.35">
      <c r="A39" s="220" t="s">
        <v>298</v>
      </c>
      <c r="B39" s="85"/>
      <c r="C39" s="85"/>
      <c r="D39" s="85"/>
      <c r="E39" s="84"/>
      <c r="F39" s="84"/>
      <c r="G39" s="84"/>
      <c r="H39" s="84"/>
      <c r="I39" s="84"/>
      <c r="J39" s="213"/>
      <c r="K39" s="213"/>
      <c r="L39" s="214"/>
    </row>
    <row r="40" spans="1:16" x14ac:dyDescent="0.35">
      <c r="A40" s="20" t="s">
        <v>321</v>
      </c>
      <c r="B40" s="85"/>
      <c r="C40" s="85"/>
      <c r="D40" s="85"/>
      <c r="E40" s="84">
        <v>7198957</v>
      </c>
      <c r="F40" s="84">
        <v>7171878</v>
      </c>
      <c r="G40" s="84">
        <v>5889486</v>
      </c>
      <c r="H40" s="84">
        <f t="shared" ref="H40:K40" si="3">0.04*SUM(H20:H24)</f>
        <v>7247700.2800000003</v>
      </c>
      <c r="I40" s="84">
        <f t="shared" si="3"/>
        <v>7248807.7199999997</v>
      </c>
      <c r="J40" s="213">
        <f t="shared" si="3"/>
        <v>7247200</v>
      </c>
      <c r="K40" s="213">
        <f t="shared" si="3"/>
        <v>6350800</v>
      </c>
    </row>
    <row r="41" spans="1:16" x14ac:dyDescent="0.35">
      <c r="A41" s="20" t="s">
        <v>164</v>
      </c>
      <c r="B41" s="85"/>
      <c r="C41" s="85"/>
      <c r="D41" s="154">
        <v>4106319</v>
      </c>
      <c r="E41" s="84">
        <v>17997393</v>
      </c>
      <c r="F41" s="84">
        <v>17929696</v>
      </c>
      <c r="G41" s="84">
        <v>14723715</v>
      </c>
      <c r="H41" s="84">
        <f t="shared" ref="H41:K41" si="4">0.1*SUM(H20:H24)</f>
        <v>18119250.699999999</v>
      </c>
      <c r="I41" s="84">
        <f t="shared" si="4"/>
        <v>18122019.300000001</v>
      </c>
      <c r="J41" s="213">
        <f t="shared" si="4"/>
        <v>18118000</v>
      </c>
      <c r="K41" s="213">
        <f t="shared" si="4"/>
        <v>15877000</v>
      </c>
    </row>
    <row r="42" spans="1:16" x14ac:dyDescent="0.35">
      <c r="A42" s="20" t="s">
        <v>562</v>
      </c>
      <c r="B42" s="85"/>
      <c r="C42" s="85"/>
      <c r="D42" s="85"/>
      <c r="E42" s="84">
        <v>8098827</v>
      </c>
      <c r="F42" s="84">
        <v>8068363</v>
      </c>
      <c r="G42" s="84">
        <v>6625672</v>
      </c>
      <c r="H42" s="84">
        <f t="shared" ref="H42:K42" si="5">0.045*SUM(H20:H24)</f>
        <v>8153662.8149999995</v>
      </c>
      <c r="I42" s="84">
        <f t="shared" si="5"/>
        <v>8154908.6849999996</v>
      </c>
      <c r="J42" s="213">
        <f t="shared" si="5"/>
        <v>8153100</v>
      </c>
      <c r="K42" s="213">
        <f t="shared" si="5"/>
        <v>7144650</v>
      </c>
    </row>
    <row r="43" spans="1:16" x14ac:dyDescent="0.35">
      <c r="A43" s="47" t="s">
        <v>299</v>
      </c>
      <c r="B43" s="85"/>
      <c r="C43" s="85"/>
      <c r="D43" s="85">
        <f>SUM(D38:D42)</f>
        <v>116749750.65000001</v>
      </c>
      <c r="E43" s="85">
        <f t="shared" ref="E43:I43" si="6">SUM(E38,E40:E42)</f>
        <v>415701856</v>
      </c>
      <c r="F43" s="85">
        <f t="shared" si="6"/>
        <v>346629402</v>
      </c>
      <c r="G43" s="85">
        <f t="shared" si="6"/>
        <v>321194757</v>
      </c>
      <c r="H43" s="85">
        <f t="shared" si="6"/>
        <v>367993457.79499996</v>
      </c>
      <c r="I43" s="85">
        <f t="shared" si="6"/>
        <v>357049813.70500004</v>
      </c>
      <c r="J43" s="257">
        <f t="shared" ref="J43" si="7">SUM(J38,J40:J42)</f>
        <v>364298300</v>
      </c>
      <c r="K43" s="257">
        <f t="shared" ref="K43" si="8">SUM(K38,K40:K42)</f>
        <v>331652450</v>
      </c>
    </row>
    <row r="44" spans="1:16" x14ac:dyDescent="0.35">
      <c r="A44" s="47" t="s">
        <v>296</v>
      </c>
      <c r="B44" s="85"/>
      <c r="C44" s="85"/>
      <c r="D44" s="85"/>
      <c r="E44" s="84"/>
      <c r="F44" s="84"/>
      <c r="G44" s="84"/>
      <c r="H44" s="84"/>
      <c r="I44" s="84"/>
      <c r="J44" s="213"/>
      <c r="K44" s="213"/>
    </row>
    <row r="45" spans="1:16" x14ac:dyDescent="0.35">
      <c r="A45" s="20" t="s">
        <v>165</v>
      </c>
      <c r="B45" s="84">
        <v>16858597</v>
      </c>
      <c r="C45" s="84">
        <v>11718181</v>
      </c>
      <c r="D45" s="84"/>
      <c r="E45" s="84"/>
      <c r="F45" s="84">
        <v>34704795</v>
      </c>
      <c r="G45" s="84">
        <v>32169110</v>
      </c>
      <c r="H45" s="84">
        <f t="shared" ref="H45:K45" si="9">0.1*H43</f>
        <v>36799345.7795</v>
      </c>
      <c r="I45" s="213">
        <f t="shared" si="9"/>
        <v>35704981.370500006</v>
      </c>
      <c r="J45" s="213">
        <f t="shared" si="9"/>
        <v>36429830</v>
      </c>
      <c r="K45" s="213">
        <f t="shared" si="9"/>
        <v>33165245</v>
      </c>
    </row>
    <row r="46" spans="1:16" x14ac:dyDescent="0.35">
      <c r="A46" s="20" t="s">
        <v>134</v>
      </c>
      <c r="B46" s="84"/>
      <c r="D46" s="86">
        <f>D43*0.1</f>
        <v>11674975.065000001</v>
      </c>
      <c r="E46" s="84">
        <v>41570186</v>
      </c>
      <c r="H46" s="84"/>
      <c r="I46" s="84"/>
      <c r="J46" s="227"/>
      <c r="K46" s="227"/>
    </row>
    <row r="47" spans="1:16" x14ac:dyDescent="0.35">
      <c r="A47" s="20" t="s">
        <v>135</v>
      </c>
      <c r="B47" s="84">
        <v>17912259</v>
      </c>
      <c r="C47" s="84">
        <v>12450567</v>
      </c>
      <c r="D47" s="86">
        <f>D43*0.2</f>
        <v>23349950.130000003</v>
      </c>
      <c r="E47" s="84">
        <v>83140371</v>
      </c>
      <c r="F47" s="84">
        <v>69409591</v>
      </c>
      <c r="G47" s="84">
        <v>64338220</v>
      </c>
      <c r="H47" s="84">
        <f t="shared" ref="H47:K47" si="10">0.2*H43</f>
        <v>73598691.559</v>
      </c>
      <c r="I47" s="84">
        <f t="shared" si="10"/>
        <v>71409962.741000012</v>
      </c>
      <c r="J47" s="213">
        <f t="shared" si="10"/>
        <v>72859660</v>
      </c>
      <c r="K47" s="213">
        <f t="shared" si="10"/>
        <v>66330490</v>
      </c>
    </row>
    <row r="48" spans="1:16" x14ac:dyDescent="0.35">
      <c r="A48" s="20" t="s">
        <v>136</v>
      </c>
      <c r="B48" s="84">
        <v>12117116</v>
      </c>
      <c r="C48" s="84">
        <v>8422442</v>
      </c>
      <c r="D48" s="86"/>
      <c r="E48" s="84"/>
      <c r="F48" s="84"/>
      <c r="G48" s="84"/>
      <c r="H48" s="84">
        <f>0.1*H43</f>
        <v>36799345.7795</v>
      </c>
      <c r="I48" s="84">
        <f>0.1*I43</f>
        <v>35704981.370500006</v>
      </c>
      <c r="J48" s="213"/>
      <c r="K48" s="213"/>
    </row>
    <row r="49" spans="1:11" x14ac:dyDescent="0.35">
      <c r="A49" s="20" t="s">
        <v>166</v>
      </c>
      <c r="B49" s="84"/>
      <c r="C49" s="84"/>
      <c r="D49" s="86">
        <f>D43*0.1</f>
        <v>11674975.065000001</v>
      </c>
      <c r="E49" s="84">
        <v>41570186</v>
      </c>
      <c r="F49" s="84">
        <v>34704795</v>
      </c>
      <c r="G49" s="84">
        <v>32169110</v>
      </c>
      <c r="H49" s="84"/>
      <c r="I49" s="84"/>
      <c r="J49" s="213">
        <f>0.1*J43</f>
        <v>36429830</v>
      </c>
      <c r="K49" s="213">
        <f>0.1*K43</f>
        <v>33165245</v>
      </c>
    </row>
    <row r="50" spans="1:11" x14ac:dyDescent="0.35">
      <c r="A50" s="20" t="s">
        <v>137</v>
      </c>
      <c r="B50" s="84">
        <v>41198196</v>
      </c>
      <c r="C50" s="84">
        <v>28636304</v>
      </c>
      <c r="D50" s="86">
        <f>D43*0.3</f>
        <v>35024925.195</v>
      </c>
      <c r="E50" s="84">
        <v>41570186</v>
      </c>
      <c r="F50" s="84">
        <v>34704795</v>
      </c>
      <c r="G50" s="84">
        <v>32169110</v>
      </c>
      <c r="H50" s="84">
        <f t="shared" ref="H50:K50" si="11">0.1*H43</f>
        <v>36799345.7795</v>
      </c>
      <c r="I50" s="84">
        <f t="shared" si="11"/>
        <v>35704981.370500006</v>
      </c>
      <c r="J50" s="213">
        <f t="shared" si="11"/>
        <v>36429830</v>
      </c>
      <c r="K50" s="213">
        <f t="shared" si="11"/>
        <v>33165245</v>
      </c>
    </row>
    <row r="51" spans="1:11" x14ac:dyDescent="0.35">
      <c r="A51" s="20" t="s">
        <v>558</v>
      </c>
      <c r="B51" s="84"/>
      <c r="C51" s="84"/>
      <c r="D51" s="86">
        <f>D43*0.1</f>
        <v>11674975.065000001</v>
      </c>
      <c r="E51" s="84">
        <v>41570186</v>
      </c>
      <c r="F51" s="84">
        <v>34704795</v>
      </c>
      <c r="G51" s="84">
        <v>32169110</v>
      </c>
      <c r="H51" s="84">
        <f t="shared" ref="H51:K51" si="12">0.1*H43</f>
        <v>36799345.7795</v>
      </c>
      <c r="I51" s="84">
        <f t="shared" si="12"/>
        <v>35704981.370500006</v>
      </c>
      <c r="J51" s="213">
        <f t="shared" si="12"/>
        <v>36429830</v>
      </c>
      <c r="K51" s="213">
        <f t="shared" si="12"/>
        <v>33165245</v>
      </c>
    </row>
    <row r="52" spans="1:11" x14ac:dyDescent="0.35">
      <c r="A52" s="47" t="s">
        <v>297</v>
      </c>
      <c r="B52" s="85">
        <f t="shared" ref="B52:H52" si="13">SUM(B45:B51)</f>
        <v>88086168</v>
      </c>
      <c r="C52" s="85">
        <f t="shared" si="13"/>
        <v>61227494</v>
      </c>
      <c r="D52" s="85">
        <f t="shared" si="13"/>
        <v>93399800.520000011</v>
      </c>
      <c r="E52" s="85">
        <f t="shared" si="13"/>
        <v>249421115</v>
      </c>
      <c r="F52" s="85">
        <f t="shared" si="13"/>
        <v>208228771</v>
      </c>
      <c r="G52" s="85">
        <f t="shared" si="13"/>
        <v>193014660</v>
      </c>
      <c r="H52" s="85">
        <f t="shared" si="13"/>
        <v>220796074.67700002</v>
      </c>
      <c r="I52" s="85">
        <f>SUM(I45:I51)</f>
        <v>214229888.22300002</v>
      </c>
      <c r="J52" s="257">
        <f>SUM(J45:J51)</f>
        <v>218578980</v>
      </c>
      <c r="K52" s="257">
        <f>SUM(K45:K51)</f>
        <v>198991470</v>
      </c>
    </row>
    <row r="53" spans="1:11" x14ac:dyDescent="0.35">
      <c r="A53" s="47" t="s">
        <v>138</v>
      </c>
      <c r="B53" s="85">
        <f>B38+B52</f>
        <v>247189174</v>
      </c>
      <c r="C53" s="85">
        <f>C38+C52</f>
        <v>171817824</v>
      </c>
      <c r="D53" s="85">
        <f t="shared" ref="D53:I53" si="14">D43+D52</f>
        <v>210149551.17000002</v>
      </c>
      <c r="E53" s="85">
        <f t="shared" si="14"/>
        <v>665122971</v>
      </c>
      <c r="F53" s="85">
        <f t="shared" si="14"/>
        <v>554858173</v>
      </c>
      <c r="G53" s="85">
        <f t="shared" si="14"/>
        <v>514209417</v>
      </c>
      <c r="H53" s="85">
        <f t="shared" si="14"/>
        <v>588789532.472</v>
      </c>
      <c r="I53" s="85">
        <f t="shared" si="14"/>
        <v>571279701.92800009</v>
      </c>
      <c r="J53" s="257">
        <f>J43+J52</f>
        <v>582877280</v>
      </c>
      <c r="K53" s="257">
        <f>K43+K52</f>
        <v>530643920</v>
      </c>
    </row>
    <row r="54" spans="1:11" x14ac:dyDescent="0.35">
      <c r="A54" s="20" t="s">
        <v>190</v>
      </c>
      <c r="B54" s="84">
        <v>3160987</v>
      </c>
      <c r="C54" s="84">
        <v>2197159</v>
      </c>
      <c r="D54" s="84">
        <v>1610000</v>
      </c>
      <c r="E54" s="84"/>
      <c r="F54" s="84">
        <v>1610000</v>
      </c>
      <c r="G54" s="84">
        <v>1610000</v>
      </c>
      <c r="H54" s="84">
        <f t="shared" ref="H54:K54" si="15">115*14000</f>
        <v>1610000</v>
      </c>
      <c r="I54" s="84">
        <f t="shared" si="15"/>
        <v>1610000</v>
      </c>
      <c r="J54" s="213">
        <f t="shared" si="15"/>
        <v>1610000</v>
      </c>
      <c r="K54" s="213">
        <f t="shared" si="15"/>
        <v>1610000</v>
      </c>
    </row>
    <row r="55" spans="1:11" x14ac:dyDescent="0.35">
      <c r="A55" s="20" t="s">
        <v>90</v>
      </c>
      <c r="B55" s="70">
        <f>B53*B101</f>
        <v>37078376.100000001</v>
      </c>
      <c r="C55" s="70">
        <f>C53*C101</f>
        <v>25772673.599999998</v>
      </c>
      <c r="D55" s="84">
        <f>D53*D101</f>
        <v>21014955.117000002</v>
      </c>
      <c r="E55" s="84">
        <v>1710000</v>
      </c>
      <c r="F55" s="84">
        <v>27763836</v>
      </c>
      <c r="G55" s="84">
        <v>25735288</v>
      </c>
      <c r="H55" s="84">
        <f t="shared" ref="H55:K55" si="16">0.05*H53</f>
        <v>29439476.623600002</v>
      </c>
      <c r="I55" s="84">
        <f t="shared" si="16"/>
        <v>28563985.096400008</v>
      </c>
      <c r="J55" s="213">
        <f t="shared" si="16"/>
        <v>29143864</v>
      </c>
      <c r="K55" s="213">
        <f t="shared" si="16"/>
        <v>26532196</v>
      </c>
    </row>
    <row r="56" spans="1:11" x14ac:dyDescent="0.35">
      <c r="A56" s="47" t="s">
        <v>202</v>
      </c>
      <c r="B56" s="85">
        <f>SUM(B53:B55)</f>
        <v>287428537.10000002</v>
      </c>
      <c r="C56" s="85">
        <f>SUM(C53:C55)</f>
        <v>199787656.59999999</v>
      </c>
      <c r="D56" s="85">
        <f>SUM(D53:D55)</f>
        <v>232774506.28700003</v>
      </c>
      <c r="E56" s="84"/>
      <c r="F56" s="85">
        <f t="shared" ref="F56:I56" si="17">F53+F55</f>
        <v>582622009</v>
      </c>
      <c r="G56" s="85">
        <f t="shared" si="17"/>
        <v>539944705</v>
      </c>
      <c r="H56" s="85">
        <f t="shared" si="17"/>
        <v>618229009.09560001</v>
      </c>
      <c r="I56" s="85">
        <f t="shared" si="17"/>
        <v>599843687.02440012</v>
      </c>
      <c r="J56" s="257">
        <f t="shared" ref="J56" si="18">J53+J55</f>
        <v>612021144</v>
      </c>
      <c r="K56" s="257">
        <f t="shared" ref="K56" si="19">K53+K55</f>
        <v>557176116</v>
      </c>
    </row>
    <row r="57" spans="1:11" x14ac:dyDescent="0.35">
      <c r="A57" s="47"/>
      <c r="B57" s="84"/>
      <c r="C57" s="84"/>
      <c r="D57" s="84"/>
      <c r="E57" s="84"/>
      <c r="F57" s="84"/>
      <c r="G57" s="84"/>
      <c r="H57" s="84"/>
      <c r="I57" s="84"/>
      <c r="J57" s="84"/>
      <c r="K57" s="213"/>
    </row>
    <row r="58" spans="1:11" x14ac:dyDescent="0.35">
      <c r="A58" s="47"/>
      <c r="B58" s="84"/>
      <c r="C58" s="84"/>
      <c r="D58" s="84"/>
      <c r="E58" s="84"/>
      <c r="F58" s="84"/>
      <c r="G58" s="84"/>
      <c r="H58" s="84"/>
      <c r="I58" s="84"/>
      <c r="J58" s="84"/>
      <c r="K58" s="213"/>
    </row>
    <row r="59" spans="1:11" x14ac:dyDescent="0.35">
      <c r="A59" s="37" t="s">
        <v>52</v>
      </c>
      <c r="B59" s="84"/>
      <c r="C59" s="84"/>
      <c r="D59" s="84"/>
      <c r="E59" s="84"/>
      <c r="F59" s="84"/>
      <c r="G59" s="84"/>
      <c r="H59" s="84"/>
      <c r="I59" s="84"/>
      <c r="J59" s="84"/>
      <c r="K59" s="84"/>
    </row>
    <row r="60" spans="1:11" x14ac:dyDescent="0.35">
      <c r="A60" s="35" t="s">
        <v>322</v>
      </c>
      <c r="B60" s="84"/>
      <c r="C60" s="84"/>
      <c r="D60" s="84"/>
      <c r="E60" s="84"/>
      <c r="F60" s="84"/>
      <c r="G60" s="84"/>
      <c r="H60" s="84"/>
      <c r="I60" s="84"/>
      <c r="J60" s="84"/>
      <c r="K60" s="84"/>
    </row>
    <row r="61" spans="1:11" x14ac:dyDescent="0.35">
      <c r="A61" s="20" t="s">
        <v>168</v>
      </c>
      <c r="B61" s="84">
        <f>54400000/B14</f>
        <v>60444444.44444444</v>
      </c>
      <c r="C61" s="84">
        <f>54400000/C14</f>
        <v>60444444.44444444</v>
      </c>
      <c r="D61" s="84">
        <f>55600000/D14</f>
        <v>57953579.072532691</v>
      </c>
      <c r="E61" s="84">
        <f>57900000/E14</f>
        <v>64333333.333333328</v>
      </c>
      <c r="F61" s="84">
        <f>61160000/F14</f>
        <v>67955555.555555552</v>
      </c>
      <c r="G61" s="84">
        <f>61157000/G14</f>
        <v>67952222.222222224</v>
      </c>
      <c r="H61" s="84">
        <f>63105000/H14</f>
        <v>70116666.666666672</v>
      </c>
      <c r="I61" s="84">
        <f>50523000/I14</f>
        <v>56136666.666666664</v>
      </c>
      <c r="J61" s="84">
        <f>50410000/J14</f>
        <v>56011111.111111112</v>
      </c>
      <c r="K61" s="84">
        <f>50410000/K14</f>
        <v>56011111.111111112</v>
      </c>
    </row>
    <row r="62" spans="1:11" x14ac:dyDescent="0.35">
      <c r="A62" s="20" t="s">
        <v>62</v>
      </c>
      <c r="B62" s="84"/>
      <c r="C62" s="84"/>
      <c r="D62" s="84"/>
      <c r="E62" s="84">
        <f>6200000/E14</f>
        <v>6888888.888888889</v>
      </c>
      <c r="F62" s="84">
        <f>125000/F14</f>
        <v>138888.88888888888</v>
      </c>
      <c r="G62" s="84">
        <f>54000/G14</f>
        <v>60000</v>
      </c>
      <c r="H62" s="84">
        <f>147000/H14</f>
        <v>163333.33333333334</v>
      </c>
      <c r="I62" s="84">
        <f>110000/I14</f>
        <v>122222.22222222222</v>
      </c>
      <c r="J62" s="84">
        <f>0/J14</f>
        <v>0</v>
      </c>
      <c r="K62" s="84">
        <f>400000/K14</f>
        <v>444444.44444444444</v>
      </c>
    </row>
    <row r="63" spans="1:11" x14ac:dyDescent="0.35">
      <c r="A63" s="20" t="s">
        <v>176</v>
      </c>
      <c r="B63" s="84">
        <f>1800000/B14</f>
        <v>2000000</v>
      </c>
      <c r="C63" s="84">
        <f>1800000/C14</f>
        <v>2000000</v>
      </c>
      <c r="D63" s="84">
        <f>2720000/D14</f>
        <v>2835139.1200951245</v>
      </c>
      <c r="E63" s="84">
        <f>20400000/E14</f>
        <v>22666666.666666668</v>
      </c>
      <c r="F63" s="84">
        <f>21620000/F14</f>
        <v>24022222.22222222</v>
      </c>
      <c r="G63" s="84">
        <f>31410000/G14</f>
        <v>34900000</v>
      </c>
      <c r="H63" s="84"/>
      <c r="I63" s="84"/>
      <c r="J63" s="84"/>
      <c r="K63" s="84"/>
    </row>
    <row r="64" spans="1:11" x14ac:dyDescent="0.35">
      <c r="A64" s="20" t="s">
        <v>513</v>
      </c>
      <c r="B64" s="84"/>
      <c r="C64" s="84"/>
      <c r="D64" s="84"/>
      <c r="E64" s="84"/>
      <c r="F64" s="84">
        <v>7832516</v>
      </c>
      <c r="G64" s="84">
        <v>8832516</v>
      </c>
      <c r="H64" s="84">
        <f>8285849/H14</f>
        <v>9206498.8888888881</v>
      </c>
      <c r="I64" s="84">
        <f>6990648/I14</f>
        <v>7767386.666666666</v>
      </c>
      <c r="J64" s="84">
        <f>6130000/J14</f>
        <v>6811111.111111111</v>
      </c>
      <c r="K64" s="84">
        <f>3550000/K14</f>
        <v>3944444.4444444445</v>
      </c>
    </row>
    <row r="65" spans="1:11" x14ac:dyDescent="0.35">
      <c r="A65" s="20" t="s">
        <v>122</v>
      </c>
      <c r="B65" s="84"/>
      <c r="C65" s="84">
        <f>23700000/C14</f>
        <v>26333333.333333332</v>
      </c>
      <c r="D65" s="84"/>
      <c r="E65" s="84"/>
      <c r="F65" s="84"/>
      <c r="G65" s="84"/>
      <c r="H65" s="84"/>
      <c r="I65" s="84"/>
      <c r="J65" s="84"/>
      <c r="K65" s="84"/>
    </row>
    <row r="66" spans="1:11" x14ac:dyDescent="0.35">
      <c r="A66" s="20" t="s">
        <v>324</v>
      </c>
      <c r="B66" s="84"/>
      <c r="C66" s="84"/>
      <c r="D66" s="84"/>
      <c r="E66" s="84"/>
      <c r="F66" s="84">
        <f>300000/F14</f>
        <v>333333.33333333331</v>
      </c>
      <c r="G66" s="84">
        <v>0</v>
      </c>
      <c r="H66" s="84">
        <f>273000/H14</f>
        <v>303333.33333333331</v>
      </c>
      <c r="I66" s="84">
        <f>273000/I14</f>
        <v>303333.33333333331</v>
      </c>
      <c r="J66" s="84">
        <f>300000/J14</f>
        <v>333333.33333333331</v>
      </c>
      <c r="K66" s="84">
        <f>300000/K14</f>
        <v>333333.33333333331</v>
      </c>
    </row>
    <row r="67" spans="1:11" x14ac:dyDescent="0.35">
      <c r="A67" s="20" t="s">
        <v>514</v>
      </c>
      <c r="B67" s="84"/>
      <c r="C67" s="84"/>
      <c r="D67" s="84"/>
      <c r="E67" s="84"/>
      <c r="F67" s="84">
        <f>201000/F14</f>
        <v>223333.33333333331</v>
      </c>
      <c r="G67" s="84">
        <f>198000/G14</f>
        <v>220000</v>
      </c>
      <c r="H67" s="84">
        <f>198000/H14</f>
        <v>220000</v>
      </c>
      <c r="I67" s="84">
        <f>200000/I14</f>
        <v>222222.22222222222</v>
      </c>
      <c r="J67" s="84"/>
      <c r="K67" s="84"/>
    </row>
    <row r="68" spans="1:11" x14ac:dyDescent="0.35">
      <c r="A68" s="20" t="s">
        <v>262</v>
      </c>
      <c r="B68" s="84"/>
      <c r="C68" s="84"/>
      <c r="D68" s="84">
        <f>230000/D14</f>
        <v>239736.02853745539</v>
      </c>
      <c r="E68" s="84"/>
      <c r="F68" s="84"/>
      <c r="G68" s="84"/>
      <c r="H68" s="84"/>
      <c r="I68" s="84"/>
      <c r="J68" s="84"/>
      <c r="K68" s="84"/>
    </row>
    <row r="69" spans="1:11" x14ac:dyDescent="0.35">
      <c r="A69" s="20" t="s">
        <v>263</v>
      </c>
      <c r="B69" s="84"/>
      <c r="C69" s="84"/>
      <c r="D69" s="84">
        <f>1310000/D14</f>
        <v>1365453.0321046372</v>
      </c>
      <c r="E69" s="84"/>
      <c r="H69" s="81"/>
      <c r="I69" s="81"/>
    </row>
    <row r="70" spans="1:11" x14ac:dyDescent="0.35">
      <c r="A70" s="20" t="s">
        <v>323</v>
      </c>
      <c r="B70" s="84"/>
      <c r="C70" s="84"/>
      <c r="D70" s="84"/>
      <c r="E70" s="84"/>
      <c r="F70" s="84">
        <f>55000/F14</f>
        <v>61111.111111111109</v>
      </c>
      <c r="G70" s="84">
        <f>58000/G14</f>
        <v>64444.444444444445</v>
      </c>
      <c r="H70" s="84">
        <f>86000/H14</f>
        <v>95555.555555555547</v>
      </c>
      <c r="I70" s="84">
        <f>80000/I14</f>
        <v>88888.888888888891</v>
      </c>
      <c r="J70" s="84">
        <f>80000/J14</f>
        <v>88888.888888888891</v>
      </c>
      <c r="K70" s="84">
        <f>80000/K14</f>
        <v>88888.888888888891</v>
      </c>
    </row>
    <row r="71" spans="1:11" x14ac:dyDescent="0.35">
      <c r="A71" s="20" t="s">
        <v>54</v>
      </c>
      <c r="B71" s="84"/>
      <c r="C71" s="84"/>
      <c r="D71" s="84">
        <f>30000/D14</f>
        <v>31269.91676575505</v>
      </c>
      <c r="E71" s="84"/>
      <c r="F71" s="84">
        <f t="shared" ref="F71:I71" si="20">4000/F14</f>
        <v>4444.4444444444443</v>
      </c>
      <c r="G71" s="84">
        <f t="shared" si="20"/>
        <v>4444.4444444444443</v>
      </c>
      <c r="H71" s="84">
        <f t="shared" si="20"/>
        <v>4444.4444444444443</v>
      </c>
      <c r="I71" s="84">
        <f t="shared" si="20"/>
        <v>4444.4444444444443</v>
      </c>
      <c r="J71" s="84">
        <f t="shared" ref="J71" si="21">4000/J14</f>
        <v>4444.4444444444443</v>
      </c>
      <c r="K71" s="84">
        <f t="shared" ref="K71" si="22">4000/K14</f>
        <v>4444.4444444444443</v>
      </c>
    </row>
    <row r="72" spans="1:11" x14ac:dyDescent="0.35">
      <c r="A72" s="20" t="s">
        <v>55</v>
      </c>
      <c r="B72" s="84"/>
      <c r="C72" s="84"/>
      <c r="D72" s="84">
        <f>10000/D14</f>
        <v>10423.305588585017</v>
      </c>
      <c r="E72" s="84"/>
      <c r="F72" s="84">
        <f>159000/F14</f>
        <v>176666.66666666666</v>
      </c>
      <c r="G72" s="84">
        <f>157000/G14</f>
        <v>174444.44444444444</v>
      </c>
      <c r="H72" s="84">
        <f>155000/H14</f>
        <v>172222.22222222222</v>
      </c>
      <c r="I72" s="84">
        <f>176000/I14</f>
        <v>195555.55555555556</v>
      </c>
      <c r="J72" s="84">
        <f>176000/J14</f>
        <v>195555.55555555556</v>
      </c>
      <c r="K72" s="84">
        <f>176000/K14</f>
        <v>195555.55555555556</v>
      </c>
    </row>
    <row r="73" spans="1:11" x14ac:dyDescent="0.35">
      <c r="A73" s="20" t="s">
        <v>56</v>
      </c>
      <c r="B73" s="84"/>
      <c r="C73" s="84"/>
      <c r="D73" s="84">
        <f>240000/D14</f>
        <v>250159.3341260404</v>
      </c>
      <c r="E73" s="84"/>
      <c r="F73" s="84">
        <f>240000/F14</f>
        <v>266666.66666666669</v>
      </c>
      <c r="G73" s="84">
        <f>243000/G14</f>
        <v>270000</v>
      </c>
      <c r="H73" s="84">
        <f t="shared" ref="H73:K73" si="23">239000/H14</f>
        <v>265555.55555555556</v>
      </c>
      <c r="I73" s="84">
        <f t="shared" si="23"/>
        <v>265555.55555555556</v>
      </c>
      <c r="J73" s="84">
        <f t="shared" si="23"/>
        <v>265555.55555555556</v>
      </c>
      <c r="K73" s="84">
        <f t="shared" si="23"/>
        <v>265555.55555555556</v>
      </c>
    </row>
    <row r="74" spans="1:11" x14ac:dyDescent="0.35">
      <c r="A74" s="20" t="s">
        <v>264</v>
      </c>
      <c r="B74" s="84"/>
      <c r="C74" s="84"/>
      <c r="D74" s="84">
        <f>30000/D14</f>
        <v>31269.91676575505</v>
      </c>
      <c r="E74" s="84"/>
      <c r="F74" s="84"/>
      <c r="G74" s="84"/>
      <c r="H74" s="84"/>
      <c r="I74" s="84"/>
      <c r="J74" s="84"/>
      <c r="K74" s="84"/>
    </row>
    <row r="75" spans="1:11" x14ac:dyDescent="0.35">
      <c r="A75" s="20" t="s">
        <v>592</v>
      </c>
      <c r="B75" s="84"/>
      <c r="C75" s="84"/>
      <c r="D75" s="84"/>
      <c r="E75" s="84"/>
      <c r="F75" s="84"/>
      <c r="G75" s="84"/>
      <c r="H75" s="84"/>
      <c r="I75" s="84"/>
      <c r="J75" s="84">
        <f>700000/J14</f>
        <v>777777.77777777775</v>
      </c>
      <c r="K75" s="84">
        <f>660000/K14</f>
        <v>733333.33333333337</v>
      </c>
    </row>
    <row r="76" spans="1:11" x14ac:dyDescent="0.35">
      <c r="A76" s="20" t="s">
        <v>67</v>
      </c>
      <c r="B76" s="84">
        <f>1800000/B14</f>
        <v>2000000</v>
      </c>
      <c r="C76" s="84">
        <f>1800000/C14</f>
        <v>2000000</v>
      </c>
      <c r="D76" s="84">
        <f>10000/D14</f>
        <v>10423.305588585017</v>
      </c>
      <c r="E76" s="84">
        <f>500000/E14</f>
        <v>555555.5555555555</v>
      </c>
      <c r="F76" s="84">
        <f>544000/F14</f>
        <v>604444.44444444438</v>
      </c>
      <c r="G76" s="84">
        <f>595000/G14</f>
        <v>661111.11111111112</v>
      </c>
      <c r="H76" s="84">
        <f>477000/H14</f>
        <v>530000</v>
      </c>
      <c r="I76" s="84">
        <f>477000/I14</f>
        <v>530000</v>
      </c>
      <c r="J76" s="84">
        <f>1420000/J14</f>
        <v>1577777.7777777778</v>
      </c>
      <c r="K76" s="84">
        <f>1350000/K14</f>
        <v>1500000</v>
      </c>
    </row>
    <row r="77" spans="1:11" x14ac:dyDescent="0.35">
      <c r="A77" s="20" t="s">
        <v>265</v>
      </c>
      <c r="B77" s="84"/>
      <c r="C77" s="84"/>
      <c r="D77" s="84">
        <f>200000/D14</f>
        <v>208466.11177170035</v>
      </c>
      <c r="E77" s="84"/>
      <c r="F77" s="84">
        <f>460000/F14</f>
        <v>511111.11111111112</v>
      </c>
      <c r="G77" s="84">
        <f>481000/G14</f>
        <v>534444.44444444438</v>
      </c>
      <c r="H77" s="84">
        <f>582000/H14</f>
        <v>646666.66666666663</v>
      </c>
      <c r="I77" s="84">
        <f>589000/I14</f>
        <v>654444.44444444438</v>
      </c>
      <c r="J77" s="84"/>
      <c r="K77" s="84"/>
    </row>
    <row r="78" spans="1:11" x14ac:dyDescent="0.35">
      <c r="A78" s="20" t="s">
        <v>177</v>
      </c>
      <c r="B78" s="84">
        <f>5800000/B14</f>
        <v>6444444.444444444</v>
      </c>
      <c r="C78" s="84">
        <f>4900000/C14</f>
        <v>5444444.444444444</v>
      </c>
      <c r="D78" s="84">
        <v>0</v>
      </c>
      <c r="E78" s="84">
        <f>5700000/E14</f>
        <v>6333333.333333333</v>
      </c>
      <c r="F78" s="84">
        <v>0</v>
      </c>
      <c r="G78" s="84">
        <v>0</v>
      </c>
      <c r="H78" s="84">
        <v>0</v>
      </c>
      <c r="I78" s="84">
        <v>0</v>
      </c>
      <c r="J78" s="84">
        <f>0/J14</f>
        <v>0</v>
      </c>
      <c r="K78" s="84">
        <f>0/K14</f>
        <v>0</v>
      </c>
    </row>
    <row r="79" spans="1:11" x14ac:dyDescent="0.35">
      <c r="A79" s="20" t="s">
        <v>629</v>
      </c>
      <c r="B79" s="84"/>
      <c r="C79" s="84">
        <f>-5900000/C14</f>
        <v>-6555555.555555555</v>
      </c>
      <c r="D79" s="84">
        <f>-6100000/D14</f>
        <v>-6358216.4090368599</v>
      </c>
      <c r="E79" s="84"/>
      <c r="F79" s="84"/>
      <c r="G79" s="84"/>
      <c r="H79" s="84"/>
      <c r="I79" s="84"/>
      <c r="J79" s="84"/>
      <c r="K79" s="84"/>
    </row>
    <row r="80" spans="1:11" x14ac:dyDescent="0.35">
      <c r="A80" s="38" t="s">
        <v>57</v>
      </c>
      <c r="B80" s="84"/>
      <c r="C80" s="84"/>
      <c r="D80" s="84"/>
      <c r="E80" s="84"/>
      <c r="F80" s="84">
        <f>-1480000/F14</f>
        <v>-1644444.4444444445</v>
      </c>
      <c r="G80" s="84">
        <f>-2550000/G14</f>
        <v>-2833333.3333333335</v>
      </c>
      <c r="H80" s="84">
        <f>-910000/H14</f>
        <v>-1011111.1111111111</v>
      </c>
      <c r="I80" s="84">
        <f>-1410000/I14</f>
        <v>-1566666.6666666667</v>
      </c>
      <c r="J80" s="84">
        <f>-920000/J14</f>
        <v>-1022222.2222222222</v>
      </c>
      <c r="K80" s="84">
        <f>-9240000/K14</f>
        <v>-10266666.666666666</v>
      </c>
    </row>
    <row r="81" spans="1:11" x14ac:dyDescent="0.35">
      <c r="A81" s="38" t="s">
        <v>511</v>
      </c>
      <c r="B81" s="84">
        <f>-11300000/B14</f>
        <v>-12555555.555555556</v>
      </c>
      <c r="C81" s="84"/>
      <c r="D81" s="84"/>
      <c r="E81" s="84"/>
      <c r="F81" s="84"/>
      <c r="G81" s="84"/>
      <c r="H81" s="84"/>
      <c r="I81" s="84"/>
    </row>
    <row r="82" spans="1:11" x14ac:dyDescent="0.35">
      <c r="A82" s="38" t="s">
        <v>628</v>
      </c>
      <c r="B82" s="84"/>
      <c r="C82" s="84"/>
      <c r="D82" s="84"/>
      <c r="E82" s="84"/>
      <c r="F82" s="84"/>
      <c r="G82" s="84"/>
      <c r="H82" s="84"/>
      <c r="I82" s="84"/>
      <c r="J82" s="213">
        <f>-22290000/J14</f>
        <v>-24766666.666666668</v>
      </c>
      <c r="K82" s="213">
        <f>-22290000/K14</f>
        <v>-24766666.666666668</v>
      </c>
    </row>
    <row r="83" spans="1:11" x14ac:dyDescent="0.35">
      <c r="A83" s="35" t="s">
        <v>51</v>
      </c>
      <c r="B83" s="84"/>
      <c r="C83" s="84"/>
      <c r="D83" s="84"/>
      <c r="E83" s="84"/>
      <c r="F83" s="84"/>
      <c r="G83" s="84"/>
      <c r="H83" s="84"/>
      <c r="I83" s="84"/>
      <c r="J83" s="84"/>
      <c r="K83" s="213"/>
    </row>
    <row r="84" spans="1:11" x14ac:dyDescent="0.35">
      <c r="A84" s="20" t="s">
        <v>68</v>
      </c>
      <c r="B84" s="84">
        <v>1890000</v>
      </c>
      <c r="C84" s="84">
        <v>1890000</v>
      </c>
      <c r="D84" s="84">
        <v>2694001</v>
      </c>
      <c r="E84" s="84">
        <v>4054897</v>
      </c>
      <c r="F84" s="84">
        <v>2961333</v>
      </c>
      <c r="G84" s="84">
        <v>2957199</v>
      </c>
      <c r="H84" s="84">
        <v>3435000</v>
      </c>
      <c r="I84" s="84">
        <v>3435102</v>
      </c>
      <c r="J84" s="84">
        <v>3440000</v>
      </c>
      <c r="K84" s="213">
        <v>3440000</v>
      </c>
    </row>
    <row r="85" spans="1:11" x14ac:dyDescent="0.35">
      <c r="A85" s="20" t="s">
        <v>232</v>
      </c>
      <c r="B85" s="84">
        <v>1130000</v>
      </c>
      <c r="C85" s="84">
        <v>1130000</v>
      </c>
      <c r="D85" s="84">
        <f>D84*0.9</f>
        <v>2424600.9</v>
      </c>
      <c r="E85" s="84">
        <v>3649407</v>
      </c>
      <c r="F85" s="84">
        <v>2929675</v>
      </c>
      <c r="G85" s="84">
        <v>2925585</v>
      </c>
      <c r="H85" s="84">
        <f t="shared" ref="H85:K85" si="24">0.9*H84</f>
        <v>3091500</v>
      </c>
      <c r="I85" s="84">
        <f t="shared" si="24"/>
        <v>3091591.8000000003</v>
      </c>
      <c r="J85" s="213">
        <f t="shared" si="24"/>
        <v>3096000</v>
      </c>
      <c r="K85" s="213">
        <f t="shared" si="24"/>
        <v>3096000</v>
      </c>
    </row>
    <row r="86" spans="1:11" x14ac:dyDescent="0.35">
      <c r="A86" s="20" t="s">
        <v>233</v>
      </c>
      <c r="B86" s="84">
        <v>4940000</v>
      </c>
      <c r="C86" s="84">
        <v>3440000</v>
      </c>
      <c r="D86" s="84">
        <v>4202991</v>
      </c>
      <c r="E86" s="84">
        <v>21002673</v>
      </c>
      <c r="F86" s="84">
        <v>16658302</v>
      </c>
      <c r="G86" s="84">
        <v>15441173</v>
      </c>
      <c r="H86" s="84">
        <f t="shared" ref="H86:K86" si="25">0.03*H53</f>
        <v>17663685.974160001</v>
      </c>
      <c r="I86" s="84">
        <f t="shared" si="25"/>
        <v>17138391.057840001</v>
      </c>
      <c r="J86" s="213">
        <f t="shared" si="25"/>
        <v>17486318.399999999</v>
      </c>
      <c r="K86" s="213">
        <f t="shared" si="25"/>
        <v>15919317.6</v>
      </c>
    </row>
    <row r="87" spans="1:11" x14ac:dyDescent="0.35">
      <c r="A87" s="20" t="s">
        <v>217</v>
      </c>
      <c r="B87" s="84">
        <v>3700000</v>
      </c>
      <c r="C87" s="84">
        <v>2580000</v>
      </c>
      <c r="D87" s="84">
        <v>1471047</v>
      </c>
      <c r="E87" s="84">
        <v>4900000</v>
      </c>
      <c r="F87" s="84">
        <v>3886937</v>
      </c>
      <c r="G87" s="84">
        <v>3602940</v>
      </c>
      <c r="H87" s="84">
        <f t="shared" ref="H87:K87" si="26">0.007*H53</f>
        <v>4121526.7273039999</v>
      </c>
      <c r="I87" s="84">
        <f t="shared" si="26"/>
        <v>3998957.9134960007</v>
      </c>
      <c r="J87" s="213">
        <f t="shared" si="26"/>
        <v>4080140.96</v>
      </c>
      <c r="K87" s="213">
        <f t="shared" si="26"/>
        <v>3714507.44</v>
      </c>
    </row>
    <row r="88" spans="1:11" x14ac:dyDescent="0.35">
      <c r="A88" s="35" t="s">
        <v>155</v>
      </c>
      <c r="B88" s="84">
        <f>B53*0.05</f>
        <v>12359458.700000001</v>
      </c>
      <c r="C88" s="84">
        <f>C53*0.05</f>
        <v>8590891.2000000011</v>
      </c>
      <c r="D88" s="84">
        <f>D53*0.05</f>
        <v>10507477.558500001</v>
      </c>
      <c r="E88" s="84"/>
      <c r="F88" s="84"/>
      <c r="G88" s="84"/>
      <c r="H88" s="84">
        <v>29488799</v>
      </c>
      <c r="I88" s="84">
        <v>28607687</v>
      </c>
      <c r="J88" s="213">
        <v>29140000</v>
      </c>
      <c r="K88" s="213">
        <v>26540000</v>
      </c>
    </row>
    <row r="89" spans="1:11" x14ac:dyDescent="0.35">
      <c r="A89" s="35" t="s">
        <v>156</v>
      </c>
      <c r="B89" s="84">
        <v>9700000</v>
      </c>
      <c r="C89" s="84">
        <v>6800000</v>
      </c>
      <c r="D89" s="84">
        <v>3620000</v>
      </c>
      <c r="E89" s="84"/>
      <c r="F89" s="84"/>
      <c r="G89" s="84"/>
      <c r="H89" s="84">
        <v>6231675</v>
      </c>
      <c r="I89" s="84">
        <v>6012431</v>
      </c>
      <c r="J89" s="213">
        <v>6110000</v>
      </c>
      <c r="K89" s="213">
        <v>5650000</v>
      </c>
    </row>
    <row r="90" spans="1:11" x14ac:dyDescent="0.35">
      <c r="A90" s="35" t="s">
        <v>157</v>
      </c>
      <c r="B90" s="84">
        <v>23400000</v>
      </c>
      <c r="C90" s="84">
        <v>18100000</v>
      </c>
      <c r="D90" s="84">
        <v>18040000</v>
      </c>
      <c r="E90" s="84"/>
      <c r="F90" s="84"/>
      <c r="G90" s="84"/>
      <c r="H90" s="84">
        <v>45308911</v>
      </c>
      <c r="I90" s="84">
        <v>43590592</v>
      </c>
      <c r="J90" s="213">
        <v>44320000</v>
      </c>
      <c r="K90" s="213">
        <v>40490000</v>
      </c>
    </row>
    <row r="91" spans="1:11" x14ac:dyDescent="0.35">
      <c r="A91" s="35"/>
      <c r="B91" s="84"/>
      <c r="C91" s="84"/>
      <c r="D91" s="84"/>
      <c r="E91" s="84"/>
      <c r="F91" s="84"/>
      <c r="G91" s="84"/>
      <c r="H91" s="84"/>
      <c r="I91" s="84"/>
      <c r="J91" s="213"/>
      <c r="K91" s="213"/>
    </row>
    <row r="92" spans="1:11" x14ac:dyDescent="0.35">
      <c r="A92" s="35"/>
      <c r="B92" s="84"/>
      <c r="C92" s="84"/>
      <c r="D92" s="84"/>
      <c r="E92" s="84"/>
      <c r="F92" s="84"/>
      <c r="G92" s="84"/>
      <c r="H92" s="84"/>
      <c r="I92" s="84"/>
      <c r="J92" s="213"/>
      <c r="K92" s="213"/>
    </row>
    <row r="93" spans="1:11" x14ac:dyDescent="0.35">
      <c r="A93" s="35"/>
      <c r="B93" s="81"/>
      <c r="C93" s="81"/>
      <c r="D93" s="81"/>
      <c r="E93" s="81"/>
      <c r="F93" s="81"/>
      <c r="G93" s="81"/>
      <c r="H93" s="81"/>
      <c r="I93" s="81"/>
      <c r="J93" s="227"/>
      <c r="K93" s="227"/>
    </row>
    <row r="94" spans="1:11" x14ac:dyDescent="0.35">
      <c r="A94" s="37" t="s">
        <v>50</v>
      </c>
      <c r="B94" s="81"/>
      <c r="C94" s="81"/>
      <c r="D94" s="81"/>
      <c r="E94" s="81"/>
      <c r="F94" s="81"/>
      <c r="G94" s="81"/>
      <c r="H94" s="81"/>
      <c r="I94" s="81"/>
      <c r="J94" s="227"/>
      <c r="K94" s="227"/>
    </row>
    <row r="95" spans="1:11" x14ac:dyDescent="0.35">
      <c r="A95" s="4" t="s">
        <v>39</v>
      </c>
      <c r="B95" s="84">
        <f t="shared" ref="B95:I95" si="27">B53</f>
        <v>247189174</v>
      </c>
      <c r="C95" s="84">
        <f t="shared" si="27"/>
        <v>171817824</v>
      </c>
      <c r="D95" s="84">
        <f t="shared" si="27"/>
        <v>210149551.17000002</v>
      </c>
      <c r="E95" s="84">
        <f t="shared" si="27"/>
        <v>665122971</v>
      </c>
      <c r="F95" s="84">
        <f t="shared" si="27"/>
        <v>554858173</v>
      </c>
      <c r="G95" s="84">
        <f t="shared" si="27"/>
        <v>514209417</v>
      </c>
      <c r="H95" s="84">
        <f t="shared" si="27"/>
        <v>588789532.472</v>
      </c>
      <c r="I95" s="84">
        <f t="shared" si="27"/>
        <v>571279701.92800009</v>
      </c>
      <c r="J95" s="213">
        <f t="shared" ref="J95" si="28">J53</f>
        <v>582877280</v>
      </c>
      <c r="K95" s="213">
        <f t="shared" ref="K95" si="29">K53</f>
        <v>530643920</v>
      </c>
    </row>
    <row r="96" spans="1:11" x14ac:dyDescent="0.35">
      <c r="A96" s="27" t="s">
        <v>34</v>
      </c>
      <c r="B96" s="77">
        <v>1</v>
      </c>
      <c r="C96" s="77">
        <v>1</v>
      </c>
      <c r="D96" s="77">
        <v>0.4</v>
      </c>
      <c r="E96" s="77">
        <v>0.4</v>
      </c>
      <c r="F96" s="77">
        <v>0.4</v>
      </c>
      <c r="G96" s="77">
        <v>0.4</v>
      </c>
      <c r="H96" s="77">
        <v>0.4</v>
      </c>
      <c r="I96" s="77">
        <v>0.4</v>
      </c>
      <c r="J96" s="258">
        <v>0.4</v>
      </c>
      <c r="K96" s="258">
        <v>0.4</v>
      </c>
    </row>
    <row r="97" spans="1:11" x14ac:dyDescent="0.35">
      <c r="A97" s="26" t="s">
        <v>35</v>
      </c>
      <c r="B97" s="87">
        <v>7.4999999999999997E-2</v>
      </c>
      <c r="C97" s="87">
        <v>7.4999999999999997E-2</v>
      </c>
      <c r="D97" s="87">
        <v>0.08</v>
      </c>
      <c r="E97" s="87">
        <v>0.08</v>
      </c>
      <c r="F97" s="87">
        <v>0.08</v>
      </c>
      <c r="G97" s="87">
        <v>0.08</v>
      </c>
      <c r="H97" s="87">
        <v>0.08</v>
      </c>
      <c r="I97" s="87">
        <v>0.08</v>
      </c>
      <c r="J97" s="259">
        <v>0.08</v>
      </c>
      <c r="K97" s="259">
        <v>0.08</v>
      </c>
    </row>
    <row r="98" spans="1:11" x14ac:dyDescent="0.35">
      <c r="A98" s="26" t="s">
        <v>36</v>
      </c>
      <c r="B98" s="81">
        <v>10</v>
      </c>
      <c r="C98" s="81">
        <v>10</v>
      </c>
      <c r="D98" s="81">
        <v>10</v>
      </c>
      <c r="E98" s="81"/>
      <c r="F98" s="81"/>
      <c r="G98" s="81"/>
      <c r="H98" s="81">
        <v>10</v>
      </c>
      <c r="I98" s="81">
        <v>10</v>
      </c>
      <c r="J98" s="227">
        <v>10</v>
      </c>
      <c r="K98" s="227">
        <v>10</v>
      </c>
    </row>
    <row r="99" spans="1:11" x14ac:dyDescent="0.35">
      <c r="A99" s="26" t="s">
        <v>37</v>
      </c>
      <c r="B99" s="84">
        <v>0</v>
      </c>
      <c r="C99" s="84">
        <v>0</v>
      </c>
      <c r="D99" s="84"/>
      <c r="E99" s="84">
        <v>59473762</v>
      </c>
      <c r="F99" s="84">
        <v>49651564</v>
      </c>
      <c r="G99" s="84">
        <v>46023802</v>
      </c>
      <c r="H99" s="84">
        <f t="shared" ref="H99:K99" si="30">-PMT(H97,H98,H95*(1-H96))</f>
        <v>52648201.78469535</v>
      </c>
      <c r="I99" s="84">
        <f t="shared" si="30"/>
        <v>51082513.128808498</v>
      </c>
      <c r="J99" s="213">
        <f t="shared" si="30"/>
        <v>52119541.806925237</v>
      </c>
      <c r="K99" s="213">
        <f t="shared" si="30"/>
        <v>47448955.24668707</v>
      </c>
    </row>
    <row r="100" spans="1:11" x14ac:dyDescent="0.35">
      <c r="A100" s="5" t="s">
        <v>667</v>
      </c>
      <c r="B100" s="133">
        <v>20</v>
      </c>
      <c r="C100" s="133">
        <v>20</v>
      </c>
      <c r="D100" s="133">
        <v>30</v>
      </c>
      <c r="E100" s="147">
        <v>30</v>
      </c>
      <c r="F100" s="147">
        <v>30</v>
      </c>
      <c r="G100" s="147">
        <v>30</v>
      </c>
      <c r="H100" s="147">
        <v>30</v>
      </c>
      <c r="I100" s="147">
        <v>30</v>
      </c>
      <c r="J100" s="260">
        <v>30</v>
      </c>
      <c r="K100" s="260">
        <v>30</v>
      </c>
    </row>
    <row r="101" spans="1:11" x14ac:dyDescent="0.35">
      <c r="A101" s="5" t="s">
        <v>38</v>
      </c>
      <c r="B101" s="88">
        <v>0.15</v>
      </c>
      <c r="C101" s="88">
        <v>0.15</v>
      </c>
      <c r="D101" s="88">
        <v>0.1</v>
      </c>
      <c r="E101" s="88">
        <v>0.05</v>
      </c>
      <c r="F101" s="88">
        <v>0.05</v>
      </c>
      <c r="G101" s="88">
        <v>0.05</v>
      </c>
      <c r="H101" s="88">
        <v>0.05</v>
      </c>
      <c r="I101" s="88">
        <v>0.05</v>
      </c>
      <c r="J101" s="88">
        <v>0.05</v>
      </c>
      <c r="K101" s="262">
        <v>0.05</v>
      </c>
    </row>
    <row r="102" spans="1:11" x14ac:dyDescent="0.35">
      <c r="A102" s="5" t="s">
        <v>40</v>
      </c>
      <c r="B102" s="81"/>
      <c r="C102" s="81"/>
      <c r="D102" s="81"/>
      <c r="E102" s="81"/>
      <c r="F102" s="81"/>
      <c r="G102" s="81"/>
      <c r="H102" s="81"/>
      <c r="I102" s="81"/>
      <c r="K102" s="227"/>
    </row>
    <row r="103" spans="1:11" x14ac:dyDescent="0.35">
      <c r="A103" s="17" t="s">
        <v>41</v>
      </c>
      <c r="B103" s="84">
        <v>0</v>
      </c>
      <c r="C103" s="84">
        <v>0</v>
      </c>
      <c r="D103" s="84"/>
      <c r="E103" s="84">
        <v>0</v>
      </c>
      <c r="F103" s="84">
        <v>0</v>
      </c>
      <c r="G103" s="84">
        <v>0</v>
      </c>
      <c r="H103" s="84">
        <v>0</v>
      </c>
      <c r="I103" s="84">
        <v>0</v>
      </c>
      <c r="J103" s="84">
        <v>0</v>
      </c>
      <c r="K103" s="84">
        <v>0</v>
      </c>
    </row>
    <row r="104" spans="1:11" x14ac:dyDescent="0.35">
      <c r="A104" s="17" t="s">
        <v>42</v>
      </c>
      <c r="B104" s="84">
        <v>0</v>
      </c>
      <c r="C104" s="84">
        <v>0</v>
      </c>
      <c r="D104" s="84"/>
      <c r="E104" s="84">
        <v>0</v>
      </c>
      <c r="F104" s="84">
        <v>0</v>
      </c>
      <c r="G104" s="84">
        <v>0</v>
      </c>
      <c r="H104" s="84">
        <v>0</v>
      </c>
      <c r="I104" s="84">
        <v>0</v>
      </c>
      <c r="J104" s="84">
        <v>0</v>
      </c>
      <c r="K104" s="84">
        <v>0</v>
      </c>
    </row>
    <row r="105" spans="1:11" x14ac:dyDescent="0.35">
      <c r="A105" s="5" t="s">
        <v>43</v>
      </c>
      <c r="B105" s="148" t="s">
        <v>221</v>
      </c>
      <c r="C105" s="148" t="s">
        <v>221</v>
      </c>
      <c r="D105" s="148" t="s">
        <v>76</v>
      </c>
      <c r="E105" s="81"/>
      <c r="F105" s="81"/>
      <c r="G105" s="81"/>
      <c r="H105" s="148" t="s">
        <v>76</v>
      </c>
      <c r="I105" s="148" t="s">
        <v>76</v>
      </c>
      <c r="J105" s="148" t="s">
        <v>76</v>
      </c>
      <c r="K105" s="148" t="s">
        <v>76</v>
      </c>
    </row>
    <row r="106" spans="1:11" x14ac:dyDescent="0.35">
      <c r="A106" s="17" t="s">
        <v>637</v>
      </c>
      <c r="B106" s="81">
        <v>200</v>
      </c>
      <c r="C106" s="81">
        <v>200</v>
      </c>
      <c r="D106" s="81"/>
      <c r="E106" s="81"/>
      <c r="F106" s="81"/>
      <c r="G106" s="81"/>
      <c r="H106" s="81"/>
      <c r="I106" s="81"/>
    </row>
    <row r="107" spans="1:11" x14ac:dyDescent="0.35">
      <c r="A107" s="17" t="s">
        <v>693</v>
      </c>
      <c r="B107" s="81">
        <v>150</v>
      </c>
      <c r="C107" s="81">
        <v>150</v>
      </c>
      <c r="D107" s="81"/>
      <c r="E107" s="81"/>
      <c r="F107" s="81"/>
      <c r="G107" s="81"/>
      <c r="H107" s="81"/>
      <c r="I107" s="81"/>
    </row>
    <row r="108" spans="1:11" x14ac:dyDescent="0.35">
      <c r="A108" s="5" t="s">
        <v>44</v>
      </c>
      <c r="B108" s="81"/>
      <c r="C108" s="81"/>
      <c r="D108" s="81"/>
      <c r="E108" s="81"/>
      <c r="F108" s="81"/>
      <c r="G108" s="81"/>
      <c r="H108" s="81"/>
      <c r="I108" s="81"/>
    </row>
    <row r="109" spans="1:11" x14ac:dyDescent="0.35">
      <c r="A109" s="17" t="s">
        <v>41</v>
      </c>
      <c r="B109" s="81">
        <v>7</v>
      </c>
      <c r="C109" s="81">
        <v>7</v>
      </c>
      <c r="D109" s="81">
        <v>7</v>
      </c>
      <c r="E109" s="81">
        <v>7</v>
      </c>
      <c r="F109" s="81">
        <v>7</v>
      </c>
      <c r="G109" s="81">
        <v>7</v>
      </c>
      <c r="H109" s="81">
        <v>7</v>
      </c>
      <c r="I109" s="81">
        <v>7</v>
      </c>
      <c r="J109" s="81">
        <v>7</v>
      </c>
      <c r="K109" s="81">
        <v>7</v>
      </c>
    </row>
    <row r="110" spans="1:11" x14ac:dyDescent="0.35">
      <c r="A110" s="17" t="s">
        <v>42</v>
      </c>
      <c r="B110" s="81">
        <v>20</v>
      </c>
      <c r="C110" s="81">
        <v>20</v>
      </c>
      <c r="D110" s="81"/>
      <c r="E110" s="81">
        <v>20</v>
      </c>
      <c r="F110" s="81">
        <v>20</v>
      </c>
      <c r="G110" s="81">
        <v>20</v>
      </c>
      <c r="H110" s="81">
        <v>20</v>
      </c>
      <c r="I110" s="81">
        <v>20</v>
      </c>
      <c r="J110" s="81">
        <v>20</v>
      </c>
      <c r="K110" s="81">
        <v>20</v>
      </c>
    </row>
    <row r="111" spans="1:11" x14ac:dyDescent="0.35">
      <c r="A111" s="5" t="s">
        <v>638</v>
      </c>
      <c r="B111" s="81">
        <v>2.5</v>
      </c>
      <c r="C111" s="81">
        <v>2.5</v>
      </c>
      <c r="D111" s="81">
        <v>3</v>
      </c>
      <c r="E111" s="81"/>
      <c r="F111" s="83">
        <v>3</v>
      </c>
      <c r="G111" s="81"/>
      <c r="H111" s="83">
        <v>3</v>
      </c>
      <c r="I111" s="83">
        <v>3</v>
      </c>
      <c r="J111" s="83">
        <v>3</v>
      </c>
      <c r="K111" s="83">
        <v>3</v>
      </c>
    </row>
    <row r="112" spans="1:11" x14ac:dyDescent="0.35">
      <c r="A112" s="26" t="s">
        <v>31</v>
      </c>
      <c r="B112" s="77">
        <v>0.08</v>
      </c>
      <c r="C112" s="77">
        <v>0.08</v>
      </c>
      <c r="D112" s="77">
        <v>0.08</v>
      </c>
      <c r="E112" s="77">
        <v>0.08</v>
      </c>
      <c r="F112" s="77">
        <v>0.08</v>
      </c>
      <c r="G112" s="77">
        <v>0.08</v>
      </c>
      <c r="H112" s="77">
        <v>0.08</v>
      </c>
      <c r="I112" s="77" t="s">
        <v>692</v>
      </c>
      <c r="J112" s="77">
        <v>0.08</v>
      </c>
      <c r="K112" s="77">
        <v>0.08</v>
      </c>
    </row>
    <row r="113" spans="1:11" x14ac:dyDescent="0.35">
      <c r="A113" s="26" t="s">
        <v>32</v>
      </c>
      <c r="B113" s="77">
        <v>0.6</v>
      </c>
      <c r="C113" s="77">
        <v>0.6</v>
      </c>
      <c r="D113" s="77">
        <v>0.61</v>
      </c>
      <c r="E113" s="77">
        <v>0.6</v>
      </c>
      <c r="F113" s="77">
        <v>0.6</v>
      </c>
      <c r="G113" s="77">
        <v>0.6</v>
      </c>
      <c r="H113" s="77">
        <v>0.6</v>
      </c>
      <c r="I113" s="77">
        <v>0.6</v>
      </c>
      <c r="J113" s="77">
        <v>0.6</v>
      </c>
      <c r="K113" s="77">
        <v>0.6</v>
      </c>
    </row>
    <row r="114" spans="1:11" x14ac:dyDescent="0.35">
      <c r="A114" s="26" t="s">
        <v>33</v>
      </c>
      <c r="B114" s="77">
        <v>0.32</v>
      </c>
      <c r="C114" s="77">
        <v>0.32</v>
      </c>
      <c r="D114" s="77">
        <v>0.31</v>
      </c>
      <c r="E114" s="77">
        <v>0.32</v>
      </c>
      <c r="F114" s="77">
        <v>0.32</v>
      </c>
      <c r="G114" s="77">
        <v>0.32</v>
      </c>
      <c r="H114" s="77">
        <v>0.32</v>
      </c>
      <c r="I114" s="77">
        <v>0.32</v>
      </c>
      <c r="J114" s="77">
        <v>0.32</v>
      </c>
      <c r="K114" s="77">
        <v>0.32</v>
      </c>
    </row>
    <row r="115" spans="1:11" x14ac:dyDescent="0.35">
      <c r="A115" s="27" t="s">
        <v>666</v>
      </c>
      <c r="B115" s="89">
        <v>0.5</v>
      </c>
      <c r="C115" s="89">
        <v>0.5</v>
      </c>
      <c r="D115" s="89"/>
      <c r="E115" s="89">
        <v>0.25</v>
      </c>
      <c r="F115" s="89">
        <v>0.5</v>
      </c>
      <c r="G115" s="89">
        <v>0.5</v>
      </c>
      <c r="H115" s="89">
        <v>0.5</v>
      </c>
      <c r="I115" s="89">
        <v>0.5</v>
      </c>
      <c r="J115" s="89">
        <v>0.5</v>
      </c>
      <c r="K115" s="89">
        <v>0.5</v>
      </c>
    </row>
    <row r="116" spans="1:11" x14ac:dyDescent="0.35">
      <c r="A116" s="26" t="s">
        <v>28</v>
      </c>
      <c r="B116" s="77">
        <v>0.5</v>
      </c>
      <c r="C116" s="77">
        <v>0.5</v>
      </c>
      <c r="D116" s="77"/>
      <c r="E116" s="77">
        <v>0.5</v>
      </c>
      <c r="F116" s="77">
        <v>0.5</v>
      </c>
      <c r="G116" s="77">
        <v>0.5</v>
      </c>
      <c r="H116" s="77">
        <v>0.5</v>
      </c>
      <c r="I116" s="77">
        <v>0.5</v>
      </c>
      <c r="J116" s="77">
        <v>0.5</v>
      </c>
      <c r="K116" s="77">
        <v>0.5</v>
      </c>
    </row>
    <row r="117" spans="1:11" x14ac:dyDescent="0.35">
      <c r="A117" s="26" t="s">
        <v>29</v>
      </c>
      <c r="B117" s="77">
        <v>0.75</v>
      </c>
      <c r="C117" s="77">
        <v>0.75</v>
      </c>
      <c r="D117" s="77"/>
      <c r="E117" s="77">
        <v>0.75</v>
      </c>
      <c r="F117" s="77">
        <v>0.75</v>
      </c>
      <c r="G117" s="77">
        <v>0.75</v>
      </c>
      <c r="H117" s="77">
        <v>0.75</v>
      </c>
      <c r="I117" s="77">
        <v>0.75</v>
      </c>
      <c r="J117" s="77">
        <v>0.75</v>
      </c>
      <c r="K117" s="77">
        <v>0.75</v>
      </c>
    </row>
    <row r="118" spans="1:11" x14ac:dyDescent="0.35">
      <c r="A118" s="26" t="s">
        <v>30</v>
      </c>
      <c r="B118" s="77">
        <v>1</v>
      </c>
      <c r="C118" s="77">
        <v>1</v>
      </c>
      <c r="D118" s="77"/>
      <c r="E118" s="77">
        <v>1</v>
      </c>
      <c r="F118" s="77">
        <v>1</v>
      </c>
      <c r="G118" s="77">
        <v>1</v>
      </c>
      <c r="H118" s="77">
        <v>1</v>
      </c>
      <c r="I118" s="77">
        <v>1</v>
      </c>
      <c r="J118" s="77">
        <v>1</v>
      </c>
      <c r="K118" s="77">
        <v>1</v>
      </c>
    </row>
    <row r="119" spans="1:11" x14ac:dyDescent="0.35">
      <c r="A119" s="5" t="s">
        <v>45</v>
      </c>
      <c r="B119" s="77">
        <v>0.1</v>
      </c>
      <c r="C119" s="77">
        <v>0.1</v>
      </c>
      <c r="D119" s="77">
        <v>0.1</v>
      </c>
      <c r="E119" s="77">
        <v>0.1</v>
      </c>
      <c r="F119" s="77">
        <v>0.1</v>
      </c>
      <c r="G119" s="77">
        <v>0.1</v>
      </c>
      <c r="H119" s="77">
        <v>0.1</v>
      </c>
      <c r="I119" s="77">
        <v>0.1</v>
      </c>
      <c r="J119" s="77">
        <v>0.1</v>
      </c>
      <c r="K119" s="77">
        <v>0.1</v>
      </c>
    </row>
    <row r="120" spans="1:11" x14ac:dyDescent="0.35">
      <c r="A120" s="5" t="s">
        <v>46</v>
      </c>
      <c r="B120" s="77">
        <v>0.39</v>
      </c>
      <c r="C120" s="77">
        <v>0.39</v>
      </c>
      <c r="D120" s="77">
        <v>0.35</v>
      </c>
      <c r="E120" s="77">
        <v>0.35</v>
      </c>
      <c r="F120" s="77">
        <v>0.35</v>
      </c>
      <c r="G120" s="77">
        <v>0.35</v>
      </c>
      <c r="H120" s="77">
        <v>0.21</v>
      </c>
      <c r="I120" s="77">
        <v>0.21</v>
      </c>
      <c r="J120" s="77">
        <v>0.21</v>
      </c>
      <c r="K120" s="77">
        <v>0.21</v>
      </c>
    </row>
    <row r="121" spans="1:11" x14ac:dyDescent="0.35">
      <c r="A121" s="5" t="s">
        <v>490</v>
      </c>
      <c r="B121" s="200">
        <f t="shared" ref="B121:K121" si="31">B122/116090</f>
        <v>37.284503402532515</v>
      </c>
      <c r="C121" s="200">
        <f t="shared" si="31"/>
        <v>61.40357481264536</v>
      </c>
      <c r="D121" s="200">
        <f t="shared" si="31"/>
        <v>60.9</v>
      </c>
      <c r="E121" s="200">
        <f t="shared" si="31"/>
        <v>63.123438711344647</v>
      </c>
      <c r="F121" s="200">
        <f t="shared" si="31"/>
        <v>56.5</v>
      </c>
      <c r="G121" s="200">
        <f t="shared" si="31"/>
        <v>54.2</v>
      </c>
      <c r="H121" s="200">
        <f t="shared" si="31"/>
        <v>52</v>
      </c>
      <c r="I121" s="200">
        <f t="shared" si="31"/>
        <v>56</v>
      </c>
      <c r="J121" s="261">
        <f t="shared" si="31"/>
        <v>43.1</v>
      </c>
      <c r="K121" s="261">
        <f t="shared" si="31"/>
        <v>43.1</v>
      </c>
    </row>
    <row r="122" spans="1:11" x14ac:dyDescent="0.35">
      <c r="A122" s="5" t="s">
        <v>47</v>
      </c>
      <c r="B122" s="90">
        <f>'Supporting Calculations'!B242</f>
        <v>4328358</v>
      </c>
      <c r="C122" s="90">
        <f>'Supporting Calculations'!C242</f>
        <v>7128341</v>
      </c>
      <c r="D122" s="90">
        <f>'Supporting Calculations'!B271</f>
        <v>7069881</v>
      </c>
      <c r="E122" s="90">
        <v>7328000</v>
      </c>
      <c r="F122" s="90">
        <f>'Supporting Calculations'!B305</f>
        <v>6559085</v>
      </c>
      <c r="G122" s="90">
        <f>'Supporting Calculations'!C305</f>
        <v>6292078</v>
      </c>
      <c r="H122" s="90">
        <f>'Supporting Calculations'!B328</f>
        <v>6036680</v>
      </c>
      <c r="I122" s="90">
        <f>'Supporting Calculations'!C328</f>
        <v>6501040</v>
      </c>
      <c r="J122" s="90">
        <f>'Supporting Calculations'!B341</f>
        <v>5003479</v>
      </c>
      <c r="K122" s="90">
        <f>'Supporting Calculations'!C341</f>
        <v>5003479</v>
      </c>
    </row>
    <row r="123" spans="1:11" x14ac:dyDescent="0.35">
      <c r="A123" s="5" t="s">
        <v>659</v>
      </c>
      <c r="B123" s="89">
        <v>7884</v>
      </c>
      <c r="C123" s="89">
        <v>7884</v>
      </c>
      <c r="D123" s="89">
        <v>8410</v>
      </c>
      <c r="E123" s="89">
        <v>7884</v>
      </c>
      <c r="F123" s="89">
        <v>7884</v>
      </c>
      <c r="G123" s="89">
        <v>7884</v>
      </c>
      <c r="H123" s="89">
        <v>7884</v>
      </c>
      <c r="I123" s="89">
        <v>7884</v>
      </c>
      <c r="J123" s="89">
        <v>7884</v>
      </c>
      <c r="K123" s="89">
        <v>7884</v>
      </c>
    </row>
    <row r="124" spans="1:11" x14ac:dyDescent="0.35">
      <c r="A124" s="5" t="s">
        <v>117</v>
      </c>
      <c r="B124" s="89">
        <f t="shared" ref="B124:I124" si="32">B16</f>
        <v>2007</v>
      </c>
      <c r="C124" s="89">
        <f t="shared" si="32"/>
        <v>2007</v>
      </c>
      <c r="D124" s="89">
        <f t="shared" si="32"/>
        <v>2007</v>
      </c>
      <c r="E124" s="71">
        <f t="shared" si="32"/>
        <v>2011</v>
      </c>
      <c r="F124" s="71">
        <f t="shared" si="32"/>
        <v>2014</v>
      </c>
      <c r="G124" s="71">
        <f t="shared" si="32"/>
        <v>2014</v>
      </c>
      <c r="H124" s="71">
        <f t="shared" si="32"/>
        <v>2016</v>
      </c>
      <c r="I124" s="71">
        <f t="shared" si="32"/>
        <v>2016</v>
      </c>
      <c r="J124" s="89">
        <f>J16</f>
        <v>2016</v>
      </c>
      <c r="K124" s="89">
        <f>K16</f>
        <v>2016</v>
      </c>
    </row>
    <row r="125" spans="1:11" x14ac:dyDescent="0.35">
      <c r="A125" s="5" t="s">
        <v>218</v>
      </c>
      <c r="B125" s="91">
        <f t="shared" ref="B125:I125" si="33">B11</f>
        <v>75</v>
      </c>
      <c r="C125" s="91">
        <f t="shared" si="33"/>
        <v>75</v>
      </c>
      <c r="D125" s="91">
        <f t="shared" si="33"/>
        <v>71.97</v>
      </c>
      <c r="E125" s="91">
        <f t="shared" si="33"/>
        <v>80</v>
      </c>
      <c r="F125" s="91">
        <f t="shared" si="33"/>
        <v>84.45</v>
      </c>
      <c r="G125" s="91">
        <f t="shared" si="33"/>
        <v>84.45</v>
      </c>
      <c r="H125" s="91">
        <f t="shared" si="33"/>
        <v>87.82</v>
      </c>
      <c r="I125" s="91">
        <f t="shared" si="33"/>
        <v>70.31</v>
      </c>
      <c r="J125" s="91">
        <f>J11</f>
        <v>70.150000000000006</v>
      </c>
      <c r="K125" s="91">
        <f>K11</f>
        <v>70.150000000000006</v>
      </c>
    </row>
    <row r="126" spans="1:11" x14ac:dyDescent="0.35">
      <c r="A126" s="5" t="s">
        <v>105</v>
      </c>
      <c r="B126" s="84">
        <v>0</v>
      </c>
      <c r="C126" s="84">
        <v>0</v>
      </c>
      <c r="D126" s="84">
        <v>0</v>
      </c>
      <c r="E126" s="84">
        <v>0</v>
      </c>
      <c r="F126" s="84">
        <v>0</v>
      </c>
      <c r="G126" s="84">
        <v>0</v>
      </c>
      <c r="H126" s="84">
        <v>0</v>
      </c>
      <c r="I126" s="84">
        <v>0</v>
      </c>
      <c r="J126" s="84">
        <v>0</v>
      </c>
      <c r="K126" s="84">
        <v>0</v>
      </c>
    </row>
    <row r="127" spans="1:11" x14ac:dyDescent="0.35">
      <c r="A127" s="5" t="s">
        <v>48</v>
      </c>
      <c r="B127" s="86">
        <f>'Supporting Calculations'!B247</f>
        <v>23.994597334149457</v>
      </c>
      <c r="C127" s="86">
        <f>'Supporting Calculations'!C247</f>
        <v>16.384660315551894</v>
      </c>
      <c r="D127" s="86">
        <f>'Supporting Calculations'!B267</f>
        <v>13.782410198983548</v>
      </c>
      <c r="E127" s="86">
        <f>'Supporting Calculations'!B284</f>
        <v>28.856921354121802</v>
      </c>
      <c r="F127" s="86">
        <f>'Supporting Calculations'!B301</f>
        <v>29.115341545352742</v>
      </c>
      <c r="G127" s="86">
        <f>'Supporting Calculations'!C301</f>
        <v>30.493582565251099</v>
      </c>
      <c r="H127" s="86">
        <f>'Supporting Calculations'!B331</f>
        <v>30.149022310276511</v>
      </c>
      <c r="I127" s="86">
        <f>'Supporting Calculations'!C331</f>
        <v>25.239038676888622</v>
      </c>
      <c r="J127" s="86">
        <f>'Supporting Calculations'!B344</f>
        <v>28.684641226634508</v>
      </c>
      <c r="K127" s="86">
        <f>'Supporting Calculations'!C344</f>
        <v>26.617279696786973</v>
      </c>
    </row>
    <row r="128" spans="1:11" x14ac:dyDescent="0.35">
      <c r="A128" s="5" t="s">
        <v>69</v>
      </c>
      <c r="B128" s="86">
        <f>'Supporting Calculations'!B245</f>
        <v>2.9338194160464544</v>
      </c>
      <c r="C128" s="86">
        <f>'Supporting Calculations'!C245</f>
        <v>2.0033524167825303</v>
      </c>
      <c r="D128" s="86">
        <f>D17</f>
        <v>1.6</v>
      </c>
      <c r="E128" s="86">
        <v>3.35</v>
      </c>
      <c r="F128" s="86">
        <f t="shared" ref="F128:I128" si="34">F17</f>
        <v>3.38</v>
      </c>
      <c r="G128" s="86">
        <f t="shared" si="34"/>
        <v>3.54</v>
      </c>
      <c r="H128" s="86">
        <f t="shared" si="34"/>
        <v>3.5</v>
      </c>
      <c r="I128" s="86">
        <f t="shared" si="34"/>
        <v>2.93</v>
      </c>
      <c r="J128" s="86">
        <f t="shared" ref="J128" si="35">J17</f>
        <v>3.33</v>
      </c>
      <c r="K128" s="86">
        <f t="shared" ref="K128" si="36">K17</f>
        <v>3.09</v>
      </c>
    </row>
    <row r="129" spans="1:1" x14ac:dyDescent="0.35">
      <c r="A129" s="21"/>
    </row>
    <row r="130" spans="1:1" x14ac:dyDescent="0.35">
      <c r="A130" s="17"/>
    </row>
    <row r="131" spans="1:1" x14ac:dyDescent="0.35">
      <c r="A131" s="17"/>
    </row>
    <row r="132" spans="1:1" x14ac:dyDescent="0.35">
      <c r="A132" s="17"/>
    </row>
    <row r="133" spans="1:1" x14ac:dyDescent="0.35">
      <c r="A133" s="17"/>
    </row>
    <row r="134" spans="1:1" x14ac:dyDescent="0.35">
      <c r="A134" s="17"/>
    </row>
    <row r="135" spans="1:1" x14ac:dyDescent="0.35">
      <c r="A135" s="17"/>
    </row>
    <row r="136" spans="1:1" x14ac:dyDescent="0.35">
      <c r="A136" s="17"/>
    </row>
  </sheetData>
  <hyperlinks>
    <hyperlink ref="E6" r:id="rId1" xr:uid="{61725259-A760-4AB6-A418-6AD202DCABDF}"/>
    <hyperlink ref="H6" r:id="rId2" xr:uid="{E89056D5-5DA6-4195-BFC8-E54BC0C01267}"/>
    <hyperlink ref="D6" r:id="rId3" xr:uid="{00000000-0004-0000-0300-000001000000}"/>
    <hyperlink ref="I6" r:id="rId4" xr:uid="{6594D2B5-923D-43A0-9959-E6EC64F3E722}"/>
    <hyperlink ref="F6" r:id="rId5" xr:uid="{D763EC51-02A5-4B73-8ABC-342AF22945DD}"/>
    <hyperlink ref="G6" r:id="rId6" xr:uid="{DE8C5146-156D-4EE4-A245-BBD03570FD87}"/>
    <hyperlink ref="J6" r:id="rId7" xr:uid="{C1364761-B42A-49BC-9C03-11DE5B9F59F9}"/>
    <hyperlink ref="K6" r:id="rId8" xr:uid="{7093ED9D-C86A-49AC-BCFD-2482924389D6}"/>
    <hyperlink ref="B6" r:id="rId9" xr:uid="{9981A26A-B5DD-4493-8FF1-CE36B879104A}"/>
  </hyperlinks>
  <pageMargins left="0.7" right="0.7" top="0.75" bottom="0.75" header="0.3" footer="0.3"/>
  <pageSetup orientation="portrait" r:id="rId10"/>
  <legacyDrawing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56"/>
  <sheetViews>
    <sheetView workbookViewId="0">
      <pane xSplit="1" ySplit="7" topLeftCell="B8" activePane="bottomRight" state="frozen"/>
      <selection pane="topRight" activeCell="B1" sqref="B1"/>
      <selection pane="bottomLeft" activeCell="A8" sqref="A8"/>
      <selection pane="bottomRight" activeCell="I17" sqref="I17"/>
    </sheetView>
  </sheetViews>
  <sheetFormatPr defaultRowHeight="14.5" x14ac:dyDescent="0.35"/>
  <cols>
    <col min="1" max="1" width="52.36328125" style="1" customWidth="1"/>
    <col min="2" max="8" width="56.7265625" customWidth="1"/>
    <col min="9" max="10" width="56.7265625" style="81" customWidth="1"/>
    <col min="11" max="12" width="56.54296875" style="81" customWidth="1"/>
  </cols>
  <sheetData>
    <row r="1" spans="1:12" ht="18.5" x14ac:dyDescent="0.45">
      <c r="A1" s="170" t="s">
        <v>523</v>
      </c>
      <c r="B1" s="56"/>
      <c r="C1" s="137"/>
      <c r="D1" s="56"/>
      <c r="E1" s="56"/>
      <c r="F1" s="137"/>
      <c r="G1" s="137"/>
      <c r="H1" s="137"/>
      <c r="I1" s="223"/>
      <c r="J1" s="223"/>
      <c r="K1" s="223"/>
      <c r="L1" s="223"/>
    </row>
    <row r="2" spans="1:12" ht="91.5" customHeight="1" x14ac:dyDescent="0.35">
      <c r="A2" s="4" t="s">
        <v>0</v>
      </c>
      <c r="B2" s="13" t="s">
        <v>139</v>
      </c>
      <c r="C2" s="13" t="s">
        <v>337</v>
      </c>
      <c r="D2" s="13" t="s">
        <v>759</v>
      </c>
      <c r="E2" s="13" t="s">
        <v>758</v>
      </c>
      <c r="F2" s="13" t="s">
        <v>361</v>
      </c>
      <c r="G2" s="13" t="s">
        <v>491</v>
      </c>
      <c r="H2" s="13" t="s">
        <v>492</v>
      </c>
      <c r="I2" s="221" t="s">
        <v>615</v>
      </c>
      <c r="J2" s="207" t="s">
        <v>618</v>
      </c>
      <c r="K2" s="207" t="s">
        <v>620</v>
      </c>
      <c r="L2" s="207" t="s">
        <v>622</v>
      </c>
    </row>
    <row r="3" spans="1:12" s="11" customFormat="1" ht="48.75" customHeight="1" x14ac:dyDescent="0.35">
      <c r="A3" s="4" t="s">
        <v>1</v>
      </c>
      <c r="B3" s="13" t="s">
        <v>140</v>
      </c>
      <c r="C3" s="13" t="s">
        <v>338</v>
      </c>
      <c r="D3" s="13" t="s">
        <v>342</v>
      </c>
      <c r="E3" s="13" t="s">
        <v>342</v>
      </c>
      <c r="F3" s="13" t="s">
        <v>362</v>
      </c>
      <c r="G3" s="13" t="s">
        <v>477</v>
      </c>
      <c r="H3" s="13" t="s">
        <v>477</v>
      </c>
      <c r="I3" s="207" t="s">
        <v>575</v>
      </c>
      <c r="J3" s="207" t="s">
        <v>575</v>
      </c>
      <c r="K3" s="207" t="s">
        <v>575</v>
      </c>
      <c r="L3" s="207" t="s">
        <v>575</v>
      </c>
    </row>
    <row r="4" spans="1:12" x14ac:dyDescent="0.35">
      <c r="A4" s="3" t="s">
        <v>2</v>
      </c>
      <c r="B4" s="7">
        <v>2013</v>
      </c>
      <c r="C4" s="7">
        <v>2015</v>
      </c>
      <c r="D4" s="7">
        <v>2017</v>
      </c>
      <c r="E4" s="7">
        <v>2017</v>
      </c>
      <c r="F4" s="7">
        <v>2016</v>
      </c>
      <c r="G4" s="7">
        <v>2018</v>
      </c>
      <c r="H4" s="7">
        <v>2018</v>
      </c>
      <c r="I4" s="207">
        <v>2020</v>
      </c>
      <c r="J4" s="207">
        <v>2020</v>
      </c>
      <c r="K4" s="207">
        <v>2020</v>
      </c>
      <c r="L4" s="207">
        <v>2020</v>
      </c>
    </row>
    <row r="5" spans="1:12" ht="14.5" customHeight="1" x14ac:dyDescent="0.35">
      <c r="A5" s="3" t="s">
        <v>225</v>
      </c>
      <c r="B5" s="7" t="s">
        <v>639</v>
      </c>
      <c r="C5" s="7" t="s">
        <v>641</v>
      </c>
      <c r="D5" s="7" t="s">
        <v>344</v>
      </c>
      <c r="E5" s="7" t="s">
        <v>344</v>
      </c>
      <c r="F5" s="144" t="s">
        <v>363</v>
      </c>
      <c r="G5" s="144" t="s">
        <v>478</v>
      </c>
      <c r="H5" s="144" t="s">
        <v>478</v>
      </c>
      <c r="I5" s="207" t="s">
        <v>576</v>
      </c>
      <c r="J5" s="207" t="s">
        <v>576</v>
      </c>
      <c r="K5" s="207" t="s">
        <v>576</v>
      </c>
      <c r="L5" s="207" t="s">
        <v>576</v>
      </c>
    </row>
    <row r="6" spans="1:12" ht="14.5" customHeight="1" x14ac:dyDescent="0.35">
      <c r="A6" s="4" t="s">
        <v>3</v>
      </c>
      <c r="B6" s="8" t="s">
        <v>211</v>
      </c>
      <c r="C6" s="8" t="s">
        <v>339</v>
      </c>
      <c r="D6" s="8" t="s">
        <v>343</v>
      </c>
      <c r="E6" s="8" t="s">
        <v>343</v>
      </c>
      <c r="F6" s="8" t="s">
        <v>364</v>
      </c>
      <c r="G6" s="8" t="s">
        <v>479</v>
      </c>
      <c r="H6" s="8" t="s">
        <v>479</v>
      </c>
      <c r="I6" s="204" t="s">
        <v>577</v>
      </c>
      <c r="J6" s="204" t="s">
        <v>577</v>
      </c>
      <c r="K6" s="204" t="s">
        <v>577</v>
      </c>
      <c r="L6" s="204" t="s">
        <v>577</v>
      </c>
    </row>
    <row r="7" spans="1:12" s="11" customFormat="1" ht="29.15" customHeight="1" x14ac:dyDescent="0.35">
      <c r="A7" s="4" t="s">
        <v>195</v>
      </c>
      <c r="B7" s="80" t="s">
        <v>685</v>
      </c>
      <c r="C7" s="80" t="s">
        <v>524</v>
      </c>
      <c r="D7" s="13" t="s">
        <v>350</v>
      </c>
      <c r="E7" s="13" t="s">
        <v>359</v>
      </c>
      <c r="F7" s="80" t="s">
        <v>525</v>
      </c>
      <c r="G7" s="80" t="s">
        <v>527</v>
      </c>
      <c r="H7" s="80" t="s">
        <v>529</v>
      </c>
      <c r="I7" s="207" t="s">
        <v>616</v>
      </c>
      <c r="J7" s="207" t="s">
        <v>617</v>
      </c>
      <c r="K7" s="221" t="s">
        <v>619</v>
      </c>
      <c r="L7" s="221" t="s">
        <v>621</v>
      </c>
    </row>
    <row r="8" spans="1:12" x14ac:dyDescent="0.35">
      <c r="A8" s="36" t="s">
        <v>433</v>
      </c>
      <c r="B8" s="6"/>
      <c r="C8" s="6"/>
      <c r="D8" s="6"/>
      <c r="E8" s="6"/>
      <c r="F8" s="149"/>
      <c r="G8" s="149"/>
      <c r="H8" s="149"/>
      <c r="I8" s="149"/>
      <c r="J8" s="149"/>
      <c r="K8" s="149"/>
      <c r="L8" s="149"/>
    </row>
    <row r="9" spans="1:12" x14ac:dyDescent="0.35">
      <c r="A9" s="4" t="s">
        <v>4</v>
      </c>
      <c r="B9" s="9" t="s">
        <v>141</v>
      </c>
      <c r="C9" s="9" t="s">
        <v>336</v>
      </c>
      <c r="D9" s="9" t="s">
        <v>642</v>
      </c>
      <c r="E9" s="9" t="s">
        <v>642</v>
      </c>
      <c r="F9" s="79" t="s">
        <v>526</v>
      </c>
      <c r="G9" s="79" t="s">
        <v>528</v>
      </c>
      <c r="H9" s="79" t="s">
        <v>528</v>
      </c>
      <c r="I9" s="224" t="s">
        <v>141</v>
      </c>
      <c r="J9" s="224" t="s">
        <v>528</v>
      </c>
      <c r="K9" s="210" t="s">
        <v>141</v>
      </c>
      <c r="L9" s="210" t="s">
        <v>528</v>
      </c>
    </row>
    <row r="10" spans="1:12" ht="29" x14ac:dyDescent="0.35">
      <c r="A10" s="4" t="s">
        <v>9</v>
      </c>
      <c r="B10" s="13" t="s">
        <v>640</v>
      </c>
      <c r="C10" s="13" t="s">
        <v>640</v>
      </c>
      <c r="D10" s="13" t="s">
        <v>640</v>
      </c>
      <c r="E10" s="13" t="s">
        <v>351</v>
      </c>
      <c r="F10" s="13" t="s">
        <v>640</v>
      </c>
      <c r="G10" s="13" t="s">
        <v>700</v>
      </c>
      <c r="H10" s="13" t="s">
        <v>700</v>
      </c>
      <c r="I10" s="221" t="s">
        <v>701</v>
      </c>
      <c r="J10" s="207" t="s">
        <v>701</v>
      </c>
      <c r="K10" s="207" t="s">
        <v>701</v>
      </c>
      <c r="L10" s="207" t="s">
        <v>701</v>
      </c>
    </row>
    <row r="11" spans="1:12" x14ac:dyDescent="0.35">
      <c r="A11" s="4" t="s">
        <v>237</v>
      </c>
      <c r="B11" s="39">
        <v>80</v>
      </c>
      <c r="C11" s="39">
        <v>84.45</v>
      </c>
      <c r="D11" s="39">
        <v>84.45</v>
      </c>
      <c r="E11" s="39">
        <f>'Supporting Calculations'!C384</f>
        <v>181.1764705882353</v>
      </c>
      <c r="F11" s="39">
        <v>84.45</v>
      </c>
      <c r="G11" s="39">
        <v>71.260000000000005</v>
      </c>
      <c r="H11" s="39">
        <v>71.260000000000005</v>
      </c>
      <c r="I11" s="211">
        <v>81.37</v>
      </c>
      <c r="J11" s="211">
        <v>81.37</v>
      </c>
      <c r="K11" s="211">
        <v>81.37</v>
      </c>
      <c r="L11" s="211">
        <v>81.37</v>
      </c>
    </row>
    <row r="12" spans="1:12" x14ac:dyDescent="0.35">
      <c r="A12" s="5" t="s">
        <v>11</v>
      </c>
      <c r="B12" s="9">
        <v>2000</v>
      </c>
      <c r="C12" s="9">
        <v>2000</v>
      </c>
      <c r="D12" s="9">
        <v>2000</v>
      </c>
      <c r="E12" s="9">
        <v>2000</v>
      </c>
      <c r="F12" s="9">
        <v>2000</v>
      </c>
      <c r="G12" s="9">
        <v>2000</v>
      </c>
      <c r="H12" s="9">
        <v>2000</v>
      </c>
      <c r="I12" s="210">
        <v>2000</v>
      </c>
      <c r="J12" s="210">
        <v>2000</v>
      </c>
      <c r="K12" s="210">
        <v>2000</v>
      </c>
      <c r="L12" s="210">
        <v>2000</v>
      </c>
    </row>
    <row r="13" spans="1:12" x14ac:dyDescent="0.35">
      <c r="A13" s="5" t="s">
        <v>643</v>
      </c>
      <c r="B13" s="163">
        <v>330</v>
      </c>
      <c r="C13" s="163">
        <v>330</v>
      </c>
      <c r="D13" s="163">
        <v>330</v>
      </c>
      <c r="E13" s="163">
        <v>330</v>
      </c>
      <c r="F13" s="163">
        <v>330</v>
      </c>
      <c r="G13" s="163">
        <v>330</v>
      </c>
      <c r="H13" s="163">
        <v>330</v>
      </c>
      <c r="I13" s="163">
        <v>330</v>
      </c>
      <c r="J13" s="163">
        <v>330</v>
      </c>
      <c r="K13" s="163">
        <v>330</v>
      </c>
      <c r="L13" s="163">
        <v>330</v>
      </c>
    </row>
    <row r="14" spans="1:12" x14ac:dyDescent="0.35">
      <c r="A14" s="5" t="s">
        <v>632</v>
      </c>
      <c r="B14" s="124">
        <v>0.9</v>
      </c>
      <c r="C14" s="124">
        <v>0.9</v>
      </c>
      <c r="D14" s="124">
        <v>0.9</v>
      </c>
      <c r="E14" s="124">
        <v>0.9</v>
      </c>
      <c r="F14" s="124">
        <v>0.9</v>
      </c>
      <c r="G14" s="124">
        <v>0.9</v>
      </c>
      <c r="H14" s="124">
        <v>0.9</v>
      </c>
      <c r="I14" s="117">
        <v>0.9</v>
      </c>
      <c r="J14" s="117">
        <v>0.9</v>
      </c>
      <c r="K14" s="117">
        <v>0.9</v>
      </c>
      <c r="L14" s="117">
        <v>0.9</v>
      </c>
    </row>
    <row r="15" spans="1:12" x14ac:dyDescent="0.35">
      <c r="A15" s="5" t="s">
        <v>432</v>
      </c>
      <c r="B15" s="123">
        <v>45.4</v>
      </c>
      <c r="C15" s="123">
        <v>78.3</v>
      </c>
      <c r="D15" s="123">
        <v>49.6</v>
      </c>
      <c r="E15" s="123">
        <v>60.36</v>
      </c>
      <c r="F15" s="123">
        <v>20.7</v>
      </c>
      <c r="G15" s="123">
        <v>44.8</v>
      </c>
      <c r="H15" s="123">
        <v>43.2</v>
      </c>
      <c r="I15" s="123">
        <v>38.5</v>
      </c>
      <c r="J15" s="123">
        <v>38.5</v>
      </c>
      <c r="K15" s="123">
        <v>35.299999999999997</v>
      </c>
      <c r="L15" s="123">
        <v>35.299999999999997</v>
      </c>
    </row>
    <row r="16" spans="1:12" x14ac:dyDescent="0.35">
      <c r="A16" s="4" t="s">
        <v>20</v>
      </c>
      <c r="B16" s="13">
        <v>2011</v>
      </c>
      <c r="C16" s="13">
        <v>2014</v>
      </c>
      <c r="D16" s="13">
        <v>2014</v>
      </c>
      <c r="E16" s="13">
        <v>2014</v>
      </c>
      <c r="F16" s="13">
        <v>2014</v>
      </c>
      <c r="G16" s="13">
        <v>2016</v>
      </c>
      <c r="H16" s="13">
        <v>2016</v>
      </c>
      <c r="I16" s="207">
        <v>2016</v>
      </c>
      <c r="J16" s="207">
        <v>2016</v>
      </c>
      <c r="K16" s="207">
        <v>2016</v>
      </c>
      <c r="L16" s="207">
        <v>2016</v>
      </c>
    </row>
    <row r="17" spans="1:12" x14ac:dyDescent="0.35">
      <c r="A17" s="4" t="s">
        <v>458</v>
      </c>
      <c r="B17" s="92">
        <v>5.0999999999999996</v>
      </c>
      <c r="C17" s="92">
        <v>4.2580999999999998</v>
      </c>
      <c r="D17" s="92">
        <f>'Supporting Calculations'!B386</f>
        <v>4.9747434488127684</v>
      </c>
      <c r="E17" s="92">
        <v>4.09</v>
      </c>
      <c r="F17" s="92">
        <v>5.8106999999999998</v>
      </c>
      <c r="G17" s="92">
        <v>2.4900000000000002</v>
      </c>
      <c r="H17" s="92">
        <v>2.4700000000000002</v>
      </c>
      <c r="I17" s="92">
        <v>7.79</v>
      </c>
      <c r="J17" s="92">
        <v>10.8</v>
      </c>
      <c r="K17" s="92">
        <v>8.1999999999999993</v>
      </c>
      <c r="L17" s="92">
        <v>11.47</v>
      </c>
    </row>
    <row r="18" spans="1:12" x14ac:dyDescent="0.35">
      <c r="A18" s="4"/>
      <c r="B18" s="13"/>
      <c r="C18" s="13"/>
      <c r="D18" s="13"/>
      <c r="E18" s="13"/>
      <c r="F18" s="13"/>
      <c r="G18" s="13"/>
      <c r="H18" s="13"/>
      <c r="I18" s="207"/>
    </row>
    <row r="19" spans="1:12" x14ac:dyDescent="0.35">
      <c r="A19" s="36" t="s">
        <v>212</v>
      </c>
      <c r="B19" s="11"/>
      <c r="C19" s="11"/>
      <c r="D19" s="11"/>
      <c r="E19" s="93"/>
      <c r="F19" s="11"/>
      <c r="G19" s="11"/>
      <c r="H19" s="11"/>
      <c r="I19" s="93"/>
    </row>
    <row r="20" spans="1:12" x14ac:dyDescent="0.35">
      <c r="A20" s="17" t="s">
        <v>124</v>
      </c>
      <c r="B20" s="2" t="s">
        <v>539</v>
      </c>
      <c r="C20" s="2" t="s">
        <v>539</v>
      </c>
      <c r="D20" s="2" t="s">
        <v>539</v>
      </c>
      <c r="E20" s="2" t="s">
        <v>539</v>
      </c>
      <c r="F20" s="2" t="s">
        <v>539</v>
      </c>
      <c r="G20" s="2" t="s">
        <v>539</v>
      </c>
      <c r="H20" s="2" t="s">
        <v>539</v>
      </c>
      <c r="I20" s="148"/>
      <c r="J20" s="148"/>
      <c r="K20" s="148"/>
      <c r="L20" s="148"/>
    </row>
    <row r="21" spans="1:12" x14ac:dyDescent="0.35">
      <c r="A21" s="20" t="s">
        <v>240</v>
      </c>
      <c r="B21" s="46">
        <v>51352397</v>
      </c>
      <c r="C21" s="46">
        <v>52051039</v>
      </c>
      <c r="D21" s="46">
        <v>32804994</v>
      </c>
      <c r="E21" s="46"/>
      <c r="F21" s="46">
        <v>52051039</v>
      </c>
      <c r="G21" s="46">
        <v>48653825</v>
      </c>
      <c r="H21" s="46">
        <v>48653825</v>
      </c>
      <c r="I21" s="46">
        <v>45441175.132281631</v>
      </c>
      <c r="J21" s="46">
        <v>45441175.132281631</v>
      </c>
      <c r="K21" s="46">
        <v>45425054.444767378</v>
      </c>
      <c r="L21" s="46">
        <v>45425054.444767378</v>
      </c>
    </row>
    <row r="22" spans="1:12" x14ac:dyDescent="0.35">
      <c r="A22" s="20" t="s">
        <v>241</v>
      </c>
      <c r="B22" s="46">
        <v>2222334</v>
      </c>
      <c r="C22" s="46">
        <v>2183553</v>
      </c>
      <c r="D22" s="46">
        <v>3331612</v>
      </c>
      <c r="E22" s="46"/>
      <c r="F22" s="46">
        <v>2159925</v>
      </c>
      <c r="G22" s="46"/>
      <c r="H22" s="46"/>
      <c r="I22" s="46"/>
    </row>
    <row r="23" spans="1:12" x14ac:dyDescent="0.35">
      <c r="A23" s="188" t="s">
        <v>765</v>
      </c>
      <c r="B23" s="46">
        <v>75364567</v>
      </c>
      <c r="C23" s="46">
        <v>68720819</v>
      </c>
      <c r="E23" s="46">
        <v>5713283</v>
      </c>
      <c r="F23" s="46">
        <v>132833610</v>
      </c>
      <c r="G23" s="46">
        <v>62697299</v>
      </c>
      <c r="H23" s="46">
        <v>15441726</v>
      </c>
      <c r="I23" s="46">
        <v>20228637.481554348</v>
      </c>
      <c r="J23" s="46">
        <v>20228740.039632354</v>
      </c>
      <c r="K23" s="46">
        <v>75139451.912232131</v>
      </c>
      <c r="L23" s="46">
        <v>75139451.912232131</v>
      </c>
    </row>
    <row r="24" spans="1:12" x14ac:dyDescent="0.35">
      <c r="A24" s="20" t="s">
        <v>352</v>
      </c>
      <c r="B24" s="46"/>
      <c r="C24" s="46"/>
      <c r="D24" s="46">
        <v>34236361</v>
      </c>
      <c r="E24" s="46"/>
      <c r="F24" s="46"/>
      <c r="G24" s="46"/>
      <c r="H24" s="46"/>
      <c r="I24" s="46"/>
    </row>
    <row r="25" spans="1:12" x14ac:dyDescent="0.35">
      <c r="A25" s="20" t="s">
        <v>304</v>
      </c>
      <c r="B25" s="46"/>
      <c r="C25" s="46"/>
      <c r="E25" s="46">
        <v>20226280</v>
      </c>
      <c r="F25" s="46"/>
      <c r="G25" s="46"/>
      <c r="H25" s="46"/>
      <c r="I25" s="46"/>
    </row>
    <row r="26" spans="1:12" x14ac:dyDescent="0.35">
      <c r="A26" s="20" t="s">
        <v>125</v>
      </c>
      <c r="B26" s="46">
        <v>12409212</v>
      </c>
      <c r="C26" s="46">
        <v>12205814</v>
      </c>
      <c r="D26" s="46">
        <v>20091338</v>
      </c>
      <c r="E26" s="46"/>
      <c r="F26" s="46">
        <v>12205817</v>
      </c>
      <c r="G26" s="46">
        <v>11526084</v>
      </c>
      <c r="H26" s="46">
        <v>11526084</v>
      </c>
      <c r="I26" s="46">
        <v>13372517.705015361</v>
      </c>
      <c r="J26" s="46">
        <v>13372517.705015361</v>
      </c>
      <c r="K26" s="46">
        <v>13372517.705015361</v>
      </c>
      <c r="L26" s="46">
        <v>13372517.705015361</v>
      </c>
    </row>
    <row r="27" spans="1:12" x14ac:dyDescent="0.35">
      <c r="A27" s="20" t="s">
        <v>480</v>
      </c>
      <c r="B27" s="46"/>
      <c r="C27" s="46"/>
      <c r="D27" s="46"/>
      <c r="E27" s="46"/>
      <c r="F27" s="46"/>
      <c r="G27" s="46">
        <v>43799229</v>
      </c>
      <c r="H27" s="46">
        <v>61083902</v>
      </c>
      <c r="I27" s="46">
        <v>69555969.11498192</v>
      </c>
      <c r="J27" s="46">
        <v>69611221.528177187</v>
      </c>
      <c r="K27" s="46">
        <v>46299175.341721892</v>
      </c>
      <c r="L27" s="46">
        <v>46284117.268221967</v>
      </c>
    </row>
    <row r="28" spans="1:12" x14ac:dyDescent="0.35">
      <c r="A28" s="20" t="s">
        <v>243</v>
      </c>
      <c r="B28" s="46">
        <v>1794284</v>
      </c>
      <c r="C28" s="46"/>
      <c r="D28" s="46">
        <v>18291740</v>
      </c>
      <c r="E28" s="46">
        <v>13312189</v>
      </c>
      <c r="F28" s="46">
        <v>37173105</v>
      </c>
      <c r="G28" s="46"/>
      <c r="H28" s="46"/>
      <c r="I28" s="46"/>
    </row>
    <row r="29" spans="1:12" x14ac:dyDescent="0.35">
      <c r="A29" s="20" t="s">
        <v>345</v>
      </c>
      <c r="B29" s="46"/>
      <c r="C29" s="46"/>
      <c r="D29" s="46"/>
      <c r="E29" s="46">
        <v>41416901</v>
      </c>
      <c r="F29" s="46"/>
      <c r="G29" s="46"/>
      <c r="H29" s="46"/>
      <c r="I29" s="46"/>
    </row>
    <row r="30" spans="1:12" x14ac:dyDescent="0.35">
      <c r="A30" s="20" t="s">
        <v>242</v>
      </c>
      <c r="B30" s="46">
        <v>24850399</v>
      </c>
      <c r="C30" s="46">
        <v>82306735</v>
      </c>
      <c r="D30" s="46">
        <v>80056794</v>
      </c>
      <c r="E30" s="46">
        <v>97997954</v>
      </c>
      <c r="F30" s="46">
        <v>16510929</v>
      </c>
      <c r="G30" s="46"/>
      <c r="H30" s="46"/>
      <c r="I30" s="46"/>
    </row>
    <row r="31" spans="1:12" x14ac:dyDescent="0.35">
      <c r="A31" s="20" t="s">
        <v>481</v>
      </c>
      <c r="B31" s="46"/>
      <c r="C31" s="46"/>
      <c r="D31" s="46"/>
      <c r="E31" s="46"/>
      <c r="F31" s="46">
        <v>204986525</v>
      </c>
      <c r="G31" s="46">
        <v>127474183</v>
      </c>
      <c r="H31" s="46">
        <v>128436573</v>
      </c>
      <c r="I31" s="46">
        <v>0</v>
      </c>
      <c r="J31" s="46">
        <v>273236357.91679913</v>
      </c>
      <c r="K31" s="46">
        <v>0</v>
      </c>
      <c r="L31" s="46">
        <v>273176080.38301414</v>
      </c>
    </row>
    <row r="32" spans="1:12" x14ac:dyDescent="0.35">
      <c r="A32" s="20" t="s">
        <v>121</v>
      </c>
      <c r="B32" s="46">
        <v>60132348</v>
      </c>
      <c r="C32" s="46">
        <v>46904082</v>
      </c>
      <c r="D32" s="46">
        <v>55061255</v>
      </c>
      <c r="E32" s="46">
        <v>1072404</v>
      </c>
      <c r="F32" s="46">
        <v>90010686</v>
      </c>
      <c r="G32" s="46">
        <v>38810731</v>
      </c>
      <c r="H32" s="46">
        <v>35611508</v>
      </c>
      <c r="I32" s="46">
        <v>68340170.585999355</v>
      </c>
      <c r="J32" s="46">
        <v>60569673.07794556</v>
      </c>
      <c r="K32" s="46">
        <v>66677014.037023023</v>
      </c>
      <c r="L32" s="46">
        <v>59231230.429343186</v>
      </c>
    </row>
    <row r="33" spans="1:12" x14ac:dyDescent="0.35">
      <c r="A33" s="20" t="s">
        <v>131</v>
      </c>
      <c r="B33" s="46">
        <v>3378085</v>
      </c>
      <c r="C33" s="46">
        <v>4751248</v>
      </c>
      <c r="D33" s="46">
        <v>5251754</v>
      </c>
      <c r="E33" s="46">
        <v>3952844</v>
      </c>
      <c r="F33" s="46">
        <v>2205584</v>
      </c>
      <c r="G33" s="46">
        <v>6449506</v>
      </c>
      <c r="H33" s="46">
        <v>6323807</v>
      </c>
    </row>
    <row r="34" spans="1:12" x14ac:dyDescent="0.35">
      <c r="A34" s="20" t="s">
        <v>601</v>
      </c>
      <c r="B34" s="46"/>
      <c r="C34" s="46"/>
      <c r="D34" s="46"/>
      <c r="E34" s="46"/>
      <c r="F34" s="46"/>
      <c r="G34" s="46"/>
      <c r="H34" s="46"/>
      <c r="I34" s="46">
        <v>12320710.120894741</v>
      </c>
      <c r="J34" s="46">
        <v>14530207.302602742</v>
      </c>
      <c r="K34" s="46">
        <v>12105878</v>
      </c>
      <c r="L34" s="46">
        <v>14037781.019669823</v>
      </c>
    </row>
    <row r="35" spans="1:12" ht="16" thickBot="1" x14ac:dyDescent="0.4">
      <c r="A35" s="20" t="s">
        <v>25</v>
      </c>
      <c r="B35" s="46">
        <v>76027276</v>
      </c>
      <c r="C35" s="46">
        <v>75058984</v>
      </c>
      <c r="D35" s="46">
        <v>74621736</v>
      </c>
      <c r="E35" s="46">
        <v>3698438</v>
      </c>
      <c r="F35" s="46">
        <v>78956088</v>
      </c>
      <c r="G35" s="46">
        <v>48720730</v>
      </c>
      <c r="H35" s="46">
        <v>50985372</v>
      </c>
      <c r="I35" s="46">
        <v>66971025.455396846</v>
      </c>
      <c r="J35" s="46">
        <v>52149330.284004815</v>
      </c>
      <c r="K35" s="46">
        <v>69282934.75619553</v>
      </c>
      <c r="L35" s="226">
        <v>38413390.255314954</v>
      </c>
    </row>
    <row r="36" spans="1:12" x14ac:dyDescent="0.35">
      <c r="A36" s="20" t="s">
        <v>26</v>
      </c>
      <c r="B36" s="46">
        <v>8795804</v>
      </c>
      <c r="C36" s="46">
        <v>6864224</v>
      </c>
      <c r="D36" s="46">
        <v>7853235</v>
      </c>
      <c r="E36" s="46">
        <v>5567802</v>
      </c>
      <c r="F36" s="46">
        <v>10761559</v>
      </c>
      <c r="G36" s="46">
        <v>10746135</v>
      </c>
      <c r="H36" s="46">
        <v>9182479</v>
      </c>
      <c r="I36" s="46"/>
    </row>
    <row r="37" spans="1:12" x14ac:dyDescent="0.35">
      <c r="A37" s="47" t="s">
        <v>133</v>
      </c>
      <c r="B37" s="94">
        <f>SUM(B21:B36)</f>
        <v>316326706</v>
      </c>
      <c r="C37" s="94">
        <f>SUM(C21:C36)</f>
        <v>351046498</v>
      </c>
      <c r="D37" s="94">
        <f>SUM(D21:D36)</f>
        <v>331600819</v>
      </c>
      <c r="E37" s="94">
        <f>SUM(E20:E36)</f>
        <v>192958095</v>
      </c>
      <c r="F37" s="94">
        <f t="shared" ref="F37:L37" si="0">SUM(F21:F36)</f>
        <v>639854867</v>
      </c>
      <c r="G37" s="94">
        <f t="shared" si="0"/>
        <v>398877722</v>
      </c>
      <c r="H37" s="94">
        <f t="shared" si="0"/>
        <v>367245276</v>
      </c>
      <c r="I37" s="94">
        <f t="shared" si="0"/>
        <v>296230205.59612417</v>
      </c>
      <c r="J37" s="94">
        <f t="shared" si="0"/>
        <v>549139222.98645878</v>
      </c>
      <c r="K37" s="94">
        <f t="shared" si="0"/>
        <v>328302026.19695532</v>
      </c>
      <c r="L37" s="94">
        <f t="shared" si="0"/>
        <v>565079623.41757894</v>
      </c>
    </row>
    <row r="38" spans="1:12" x14ac:dyDescent="0.35">
      <c r="A38" s="36" t="s">
        <v>298</v>
      </c>
      <c r="B38" s="94"/>
      <c r="C38" s="94"/>
      <c r="D38" s="94"/>
      <c r="E38" s="94"/>
      <c r="F38" s="94"/>
      <c r="G38" s="94"/>
      <c r="H38" s="94"/>
      <c r="I38" s="94"/>
    </row>
    <row r="39" spans="1:12" x14ac:dyDescent="0.35">
      <c r="A39" s="20" t="s">
        <v>238</v>
      </c>
      <c r="B39" s="125">
        <v>6719728</v>
      </c>
      <c r="C39" s="125">
        <f>SUM(C21:C30)*0.04</f>
        <v>8698718.4000000004</v>
      </c>
      <c r="D39" s="125">
        <v>7552514</v>
      </c>
      <c r="E39" s="125">
        <v>2996732</v>
      </c>
      <c r="F39" s="125">
        <f t="shared" ref="F39:L39" si="1">SUM(F21:F31)*0.04</f>
        <v>18316838</v>
      </c>
      <c r="G39" s="125">
        <f t="shared" si="1"/>
        <v>11766024.800000001</v>
      </c>
      <c r="H39" s="125">
        <f t="shared" si="1"/>
        <v>10605684.4</v>
      </c>
      <c r="I39" s="125">
        <f t="shared" si="1"/>
        <v>5943931.9773533298</v>
      </c>
      <c r="J39" s="125">
        <f t="shared" si="1"/>
        <v>16875600.492876228</v>
      </c>
      <c r="K39" s="125">
        <f t="shared" si="1"/>
        <v>7209447.9761494705</v>
      </c>
      <c r="L39" s="125">
        <f t="shared" si="1"/>
        <v>18135888.868530039</v>
      </c>
    </row>
    <row r="40" spans="1:12" x14ac:dyDescent="0.35">
      <c r="A40" s="20" t="s">
        <v>164</v>
      </c>
      <c r="B40" s="125">
        <v>15119388</v>
      </c>
      <c r="C40" s="125">
        <f>SUM(C21:C30)*0.09</f>
        <v>19572116.399999999</v>
      </c>
      <c r="D40" s="125">
        <v>16993156</v>
      </c>
      <c r="E40" s="125">
        <v>17980390.960000001</v>
      </c>
      <c r="F40" s="125">
        <f t="shared" ref="F40:L40" si="2">SUM(F21:F31)*0.09</f>
        <v>41212885.5</v>
      </c>
      <c r="G40" s="125">
        <f t="shared" si="2"/>
        <v>26473555.800000001</v>
      </c>
      <c r="H40" s="125">
        <f t="shared" si="2"/>
        <v>23862789.899999999</v>
      </c>
      <c r="I40" s="125">
        <f t="shared" si="2"/>
        <v>13373846.949044991</v>
      </c>
      <c r="J40" s="125">
        <f t="shared" si="2"/>
        <v>37970101.108971506</v>
      </c>
      <c r="K40" s="125">
        <f t="shared" si="2"/>
        <v>16221257.946336308</v>
      </c>
      <c r="L40" s="125">
        <f t="shared" si="2"/>
        <v>40805749.954192586</v>
      </c>
    </row>
    <row r="41" spans="1:12" x14ac:dyDescent="0.35">
      <c r="A41" s="20" t="s">
        <v>562</v>
      </c>
      <c r="B41" s="125">
        <v>7559694</v>
      </c>
      <c r="C41" s="125">
        <f>SUM(C21:C30)*0.045</f>
        <v>9786058.1999999993</v>
      </c>
      <c r="D41" s="125">
        <v>8496578</v>
      </c>
      <c r="E41" s="125"/>
      <c r="F41" s="125">
        <f t="shared" ref="F41:L41" si="3">SUM(F21:F31)*0.045</f>
        <v>20606442.75</v>
      </c>
      <c r="G41" s="125">
        <f t="shared" si="3"/>
        <v>13236777.9</v>
      </c>
      <c r="H41" s="125">
        <f t="shared" si="3"/>
        <v>11931394.949999999</v>
      </c>
      <c r="I41" s="125">
        <f t="shared" si="3"/>
        <v>6686923.4745224956</v>
      </c>
      <c r="J41" s="125">
        <f t="shared" si="3"/>
        <v>18985050.554485753</v>
      </c>
      <c r="K41" s="125">
        <f t="shared" si="3"/>
        <v>8110628.9731681542</v>
      </c>
      <c r="L41" s="125">
        <f t="shared" si="3"/>
        <v>20402874.977096293</v>
      </c>
    </row>
    <row r="42" spans="1:12" x14ac:dyDescent="0.35">
      <c r="A42" s="47" t="s">
        <v>300</v>
      </c>
      <c r="B42" s="126">
        <f>SUM(B37:B41)</f>
        <v>345725516</v>
      </c>
      <c r="C42" s="126">
        <f t="shared" ref="C42:L42" si="4">SUM(C37:C41)</f>
        <v>389103390.99999994</v>
      </c>
      <c r="D42" s="126">
        <f t="shared" si="4"/>
        <v>364643067</v>
      </c>
      <c r="E42" s="126">
        <f t="shared" si="4"/>
        <v>213935217.96000001</v>
      </c>
      <c r="F42" s="126">
        <f t="shared" si="4"/>
        <v>719991033.25</v>
      </c>
      <c r="G42" s="126">
        <f t="shared" si="4"/>
        <v>450354080.5</v>
      </c>
      <c r="H42" s="126">
        <f t="shared" si="4"/>
        <v>413645145.24999994</v>
      </c>
      <c r="I42" s="126">
        <f t="shared" si="4"/>
        <v>322234907.99704498</v>
      </c>
      <c r="J42" s="126">
        <f t="shared" si="4"/>
        <v>622969975.14279222</v>
      </c>
      <c r="K42" s="126">
        <f t="shared" si="4"/>
        <v>359843361.09260929</v>
      </c>
      <c r="L42" s="126">
        <f t="shared" si="4"/>
        <v>644424137.21739793</v>
      </c>
    </row>
    <row r="43" spans="1:12" x14ac:dyDescent="0.35">
      <c r="A43" s="47" t="s">
        <v>296</v>
      </c>
      <c r="B43" s="125"/>
      <c r="C43" s="125"/>
      <c r="D43" s="125"/>
      <c r="E43" s="125"/>
      <c r="F43" s="125"/>
      <c r="G43" s="125"/>
      <c r="H43" s="125"/>
      <c r="I43" s="125"/>
    </row>
    <row r="44" spans="1:12" x14ac:dyDescent="0.35">
      <c r="A44" s="20" t="s">
        <v>633</v>
      </c>
      <c r="B44" s="46">
        <f>B42*0.1</f>
        <v>34572551.600000001</v>
      </c>
      <c r="C44" s="46">
        <f t="shared" ref="C44:L44" si="5">C42*0.1</f>
        <v>38910339.099999994</v>
      </c>
      <c r="D44" s="46">
        <f t="shared" si="5"/>
        <v>36464306.700000003</v>
      </c>
      <c r="E44" s="46">
        <f t="shared" si="5"/>
        <v>21393521.796000004</v>
      </c>
      <c r="F44" s="46">
        <f t="shared" si="5"/>
        <v>71999103.325000003</v>
      </c>
      <c r="G44" s="46">
        <f t="shared" si="5"/>
        <v>45035408.050000004</v>
      </c>
      <c r="H44" s="46">
        <f t="shared" si="5"/>
        <v>41364514.524999999</v>
      </c>
      <c r="I44" s="46">
        <f t="shared" si="5"/>
        <v>32223490.7997045</v>
      </c>
      <c r="J44" s="46">
        <f t="shared" si="5"/>
        <v>62296997.514279224</v>
      </c>
      <c r="K44" s="46">
        <f t="shared" si="5"/>
        <v>35984336.109260932</v>
      </c>
      <c r="L44" s="46">
        <f t="shared" si="5"/>
        <v>64442413.721739799</v>
      </c>
    </row>
    <row r="45" spans="1:12" x14ac:dyDescent="0.35">
      <c r="A45" s="20" t="s">
        <v>166</v>
      </c>
      <c r="B45" s="46">
        <f>B42*0.1</f>
        <v>34572551.600000001</v>
      </c>
      <c r="C45" s="46">
        <f t="shared" ref="C45:L45" si="6">C42*0.1</f>
        <v>38910339.099999994</v>
      </c>
      <c r="D45" s="46">
        <f t="shared" si="6"/>
        <v>36464306.700000003</v>
      </c>
      <c r="E45" s="46">
        <f t="shared" si="6"/>
        <v>21393521.796000004</v>
      </c>
      <c r="F45" s="46">
        <f t="shared" si="6"/>
        <v>71999103.325000003</v>
      </c>
      <c r="G45" s="46">
        <f t="shared" si="6"/>
        <v>45035408.050000004</v>
      </c>
      <c r="H45" s="46">
        <f t="shared" si="6"/>
        <v>41364514.524999999</v>
      </c>
      <c r="I45" s="46">
        <f t="shared" si="6"/>
        <v>32223490.7997045</v>
      </c>
      <c r="J45" s="46">
        <f t="shared" si="6"/>
        <v>62296997.514279224</v>
      </c>
      <c r="K45" s="46">
        <f t="shared" si="6"/>
        <v>35984336.109260932</v>
      </c>
      <c r="L45" s="46">
        <f t="shared" si="6"/>
        <v>64442413.721739799</v>
      </c>
    </row>
    <row r="46" spans="1:12" x14ac:dyDescent="0.35">
      <c r="A46" s="20" t="s">
        <v>431</v>
      </c>
      <c r="B46" s="46">
        <f>B42*0.2</f>
        <v>69145103.200000003</v>
      </c>
      <c r="C46" s="46">
        <f>C42*0.2</f>
        <v>77820678.199999988</v>
      </c>
      <c r="D46" s="46">
        <f>D42*0.2</f>
        <v>72928613.400000006</v>
      </c>
      <c r="E46" s="46">
        <f>E42*0.25</f>
        <v>53483804.490000002</v>
      </c>
      <c r="F46" s="46">
        <f t="shared" ref="F46:L46" si="7">F42*0.2</f>
        <v>143998206.65000001</v>
      </c>
      <c r="G46" s="46">
        <f t="shared" si="7"/>
        <v>90070816.100000009</v>
      </c>
      <c r="H46" s="46">
        <f t="shared" si="7"/>
        <v>82729029.049999997</v>
      </c>
      <c r="I46" s="46">
        <f t="shared" si="7"/>
        <v>64446981.599408999</v>
      </c>
      <c r="J46" s="46">
        <f t="shared" si="7"/>
        <v>124593995.02855845</v>
      </c>
      <c r="K46" s="46">
        <f t="shared" si="7"/>
        <v>71968672.218521863</v>
      </c>
      <c r="L46" s="46">
        <f t="shared" si="7"/>
        <v>128884827.4434796</v>
      </c>
    </row>
    <row r="47" spans="1:12" x14ac:dyDescent="0.35">
      <c r="A47" s="20" t="s">
        <v>137</v>
      </c>
      <c r="B47" s="46">
        <f>B42*0.1</f>
        <v>34572551.600000001</v>
      </c>
      <c r="C47" s="46">
        <f t="shared" ref="C47:J47" si="8">C42*0.1</f>
        <v>38910339.099999994</v>
      </c>
      <c r="D47" s="46">
        <f t="shared" si="8"/>
        <v>36464306.700000003</v>
      </c>
      <c r="E47" s="46">
        <f t="shared" si="8"/>
        <v>21393521.796000004</v>
      </c>
      <c r="F47" s="46">
        <f t="shared" si="8"/>
        <v>71999103.325000003</v>
      </c>
      <c r="G47" s="46">
        <f t="shared" si="8"/>
        <v>45035408.050000004</v>
      </c>
      <c r="H47" s="46">
        <f t="shared" si="8"/>
        <v>41364514.524999999</v>
      </c>
      <c r="I47" s="46">
        <f t="shared" si="8"/>
        <v>32223490.7997045</v>
      </c>
      <c r="J47" s="46">
        <f t="shared" si="8"/>
        <v>62296997.514279224</v>
      </c>
      <c r="K47" s="46">
        <f>K42*0.1</f>
        <v>35984336.109260932</v>
      </c>
      <c r="L47" s="46">
        <f>L42*0.1</f>
        <v>64442413.721739799</v>
      </c>
    </row>
    <row r="48" spans="1:12" x14ac:dyDescent="0.35">
      <c r="A48" s="20" t="s">
        <v>656</v>
      </c>
      <c r="B48" s="46">
        <f>B42*0.1</f>
        <v>34572551.600000001</v>
      </c>
      <c r="C48" s="46">
        <f>C42*0.1</f>
        <v>38910339.099999994</v>
      </c>
      <c r="D48" s="46">
        <f>D42*0.1</f>
        <v>36464306.700000003</v>
      </c>
      <c r="E48" s="46">
        <f>E53*0.1</f>
        <v>33159958.783800002</v>
      </c>
      <c r="F48" s="46">
        <f t="shared" ref="F48:L48" si="9">F42*0.1</f>
        <v>71999103.325000003</v>
      </c>
      <c r="G48" s="46">
        <f t="shared" si="9"/>
        <v>45035408.050000004</v>
      </c>
      <c r="H48" s="46">
        <f t="shared" si="9"/>
        <v>41364514.524999999</v>
      </c>
      <c r="I48" s="46">
        <f t="shared" si="9"/>
        <v>32223490.7997045</v>
      </c>
      <c r="J48" s="46">
        <f t="shared" si="9"/>
        <v>62296997.514279224</v>
      </c>
      <c r="K48" s="46">
        <f t="shared" si="9"/>
        <v>35984336.109260932</v>
      </c>
      <c r="L48" s="46">
        <f t="shared" si="9"/>
        <v>64442413.721739799</v>
      </c>
    </row>
    <row r="49" spans="1:12" x14ac:dyDescent="0.35">
      <c r="A49" s="47" t="s">
        <v>297</v>
      </c>
      <c r="B49" s="94">
        <f>SUM(B44:B48)</f>
        <v>207435309.59999999</v>
      </c>
      <c r="C49" s="94">
        <f>SUM(C44:C48)</f>
        <v>233462034.59999996</v>
      </c>
      <c r="D49" s="94">
        <f>SUM(D44:D48)</f>
        <v>218785840.19999999</v>
      </c>
      <c r="E49" s="94">
        <f>SUM(E44:E47)</f>
        <v>117664369.87800002</v>
      </c>
      <c r="F49" s="94">
        <f t="shared" ref="F49:L49" si="10">SUM(F44:F48)</f>
        <v>431994619.94999999</v>
      </c>
      <c r="G49" s="94">
        <f t="shared" si="10"/>
        <v>270212448.30000001</v>
      </c>
      <c r="H49" s="94">
        <f t="shared" si="10"/>
        <v>248187087.15000001</v>
      </c>
      <c r="I49" s="94">
        <f t="shared" si="10"/>
        <v>193340944.79822698</v>
      </c>
      <c r="J49" s="94">
        <f t="shared" si="10"/>
        <v>373781985.08567536</v>
      </c>
      <c r="K49" s="94">
        <f t="shared" si="10"/>
        <v>215906016.65556556</v>
      </c>
      <c r="L49" s="94">
        <f t="shared" si="10"/>
        <v>386654482.33043873</v>
      </c>
    </row>
    <row r="50" spans="1:12" x14ac:dyDescent="0.35">
      <c r="A50" s="47" t="s">
        <v>39</v>
      </c>
      <c r="B50" s="95">
        <f>SUM(B42,B49)</f>
        <v>553160825.60000002</v>
      </c>
      <c r="C50" s="95">
        <f t="shared" ref="C50:J50" si="11">SUM(C42,C49)</f>
        <v>622565425.5999999</v>
      </c>
      <c r="D50" s="95">
        <f t="shared" si="11"/>
        <v>583428907.20000005</v>
      </c>
      <c r="E50" s="95">
        <f t="shared" si="11"/>
        <v>331599587.83800006</v>
      </c>
      <c r="F50" s="95">
        <f t="shared" si="11"/>
        <v>1151985653.2</v>
      </c>
      <c r="G50" s="95">
        <f t="shared" si="11"/>
        <v>720566528.79999995</v>
      </c>
      <c r="H50" s="95">
        <f t="shared" si="11"/>
        <v>661832232.39999998</v>
      </c>
      <c r="I50" s="95">
        <f t="shared" si="11"/>
        <v>515575852.79527199</v>
      </c>
      <c r="J50" s="95">
        <f t="shared" si="11"/>
        <v>996751960.22846758</v>
      </c>
      <c r="K50" s="95">
        <f>SUM(K42,K49)</f>
        <v>575749377.74817491</v>
      </c>
      <c r="L50" s="95">
        <f>SUM(L42,L49)</f>
        <v>1031078619.5478367</v>
      </c>
    </row>
    <row r="51" spans="1:12" x14ac:dyDescent="0.35">
      <c r="A51" s="20" t="s">
        <v>190</v>
      </c>
      <c r="B51" s="46">
        <v>1800000</v>
      </c>
      <c r="C51" s="46">
        <v>1848000</v>
      </c>
      <c r="D51" s="46">
        <v>1848000</v>
      </c>
      <c r="E51" s="46"/>
      <c r="F51" s="46">
        <v>1848000</v>
      </c>
      <c r="G51" s="46">
        <v>1848000</v>
      </c>
      <c r="H51" s="46">
        <v>1848000</v>
      </c>
      <c r="I51" s="46">
        <v>1848000</v>
      </c>
      <c r="J51" s="46">
        <v>1848000</v>
      </c>
      <c r="K51" s="46">
        <v>1848000</v>
      </c>
      <c r="L51" s="46">
        <v>1848000</v>
      </c>
    </row>
    <row r="52" spans="1:12" x14ac:dyDescent="0.35">
      <c r="A52" s="20" t="s">
        <v>90</v>
      </c>
      <c r="B52" s="46">
        <f t="shared" ref="B52:J52" si="12">B121*B50</f>
        <v>27658041.280000001</v>
      </c>
      <c r="C52" s="46">
        <f t="shared" si="12"/>
        <v>31128271.279999997</v>
      </c>
      <c r="D52" s="46">
        <f t="shared" si="12"/>
        <v>29171445.360000003</v>
      </c>
      <c r="E52" s="46">
        <f t="shared" si="12"/>
        <v>16579979.391900003</v>
      </c>
      <c r="F52" s="46">
        <f t="shared" si="12"/>
        <v>57599282.660000004</v>
      </c>
      <c r="G52" s="46">
        <f t="shared" si="12"/>
        <v>36028326.439999998</v>
      </c>
      <c r="H52" s="46">
        <f t="shared" si="12"/>
        <v>33091611.620000001</v>
      </c>
      <c r="I52" s="46">
        <f>I121*I50</f>
        <v>25778792.639763601</v>
      </c>
      <c r="J52" s="46">
        <f t="shared" si="12"/>
        <v>49837598.011423379</v>
      </c>
      <c r="K52" s="46">
        <f>K121*K50</f>
        <v>28787468.887408748</v>
      </c>
      <c r="L52" s="46">
        <f>L121*L50</f>
        <v>51553930.977391839</v>
      </c>
    </row>
    <row r="53" spans="1:12" x14ac:dyDescent="0.35">
      <c r="A53" s="47" t="s">
        <v>202</v>
      </c>
      <c r="B53" s="95">
        <f>SUM(B50:B52)</f>
        <v>582618866.88</v>
      </c>
      <c r="C53" s="95">
        <f>SUM(C50:C52)</f>
        <v>655541696.87999988</v>
      </c>
      <c r="D53" s="95">
        <f>SUM(D50:D52)</f>
        <v>614448352.56000006</v>
      </c>
      <c r="E53" s="95">
        <f>SUM(E42,E44:E47)</f>
        <v>331599587.838</v>
      </c>
      <c r="F53" s="95">
        <f t="shared" ref="F53:L53" si="13">SUM(F50:F52)</f>
        <v>1211432935.8600001</v>
      </c>
      <c r="G53" s="95">
        <f t="shared" si="13"/>
        <v>758442855.24000001</v>
      </c>
      <c r="H53" s="95">
        <f t="shared" si="13"/>
        <v>696771844.01999998</v>
      </c>
      <c r="I53" s="95">
        <f t="shared" si="13"/>
        <v>543202645.43503559</v>
      </c>
      <c r="J53" s="95">
        <f t="shared" si="13"/>
        <v>1048437558.2398909</v>
      </c>
      <c r="K53" s="95">
        <f t="shared" si="13"/>
        <v>606384846.63558364</v>
      </c>
      <c r="L53" s="95">
        <f t="shared" si="13"/>
        <v>1084480550.5252285</v>
      </c>
    </row>
    <row r="54" spans="1:12" x14ac:dyDescent="0.35">
      <c r="A54" s="47" t="s">
        <v>348</v>
      </c>
      <c r="B54" s="95"/>
      <c r="C54" s="95"/>
      <c r="D54" s="95"/>
      <c r="E54" s="95">
        <f>E53+E48</f>
        <v>364759546.62180001</v>
      </c>
      <c r="F54" s="95"/>
      <c r="G54" s="95"/>
      <c r="H54" s="95"/>
      <c r="I54" s="95"/>
    </row>
    <row r="55" spans="1:12" x14ac:dyDescent="0.35">
      <c r="A55" s="35"/>
      <c r="B55" s="81"/>
      <c r="C55" s="81"/>
      <c r="D55" s="81"/>
      <c r="E55" s="81"/>
      <c r="F55" s="81"/>
      <c r="G55" s="81"/>
      <c r="H55" s="81"/>
    </row>
    <row r="56" spans="1:12" x14ac:dyDescent="0.35">
      <c r="A56" s="37" t="s">
        <v>52</v>
      </c>
      <c r="B56" s="81"/>
      <c r="C56" s="81"/>
      <c r="D56" s="81"/>
      <c r="E56" s="81"/>
      <c r="F56" s="81"/>
      <c r="G56" s="81"/>
      <c r="H56" s="81"/>
    </row>
    <row r="57" spans="1:12" x14ac:dyDescent="0.35">
      <c r="A57" s="35" t="s">
        <v>116</v>
      </c>
      <c r="B57" s="81"/>
      <c r="C57" s="81"/>
      <c r="D57" s="81"/>
      <c r="E57" s="81"/>
      <c r="F57" s="81"/>
      <c r="G57" s="81"/>
      <c r="H57" s="81"/>
    </row>
    <row r="58" spans="1:12" x14ac:dyDescent="0.35">
      <c r="A58" s="20" t="s">
        <v>168</v>
      </c>
      <c r="B58" s="45">
        <f>57900000/B14</f>
        <v>64333333.333333328</v>
      </c>
      <c r="C58" s="45">
        <f>61170724/$C$14</f>
        <v>67967471.111111104</v>
      </c>
      <c r="D58" s="45">
        <f>61170724/D14</f>
        <v>67967471.111111104</v>
      </c>
      <c r="E58" s="45">
        <f>131241000/E14</f>
        <v>145823333.33333334</v>
      </c>
      <c r="F58" s="45">
        <f>61170000/F14</f>
        <v>67966666.666666672</v>
      </c>
      <c r="G58" s="45">
        <f>51620000/G14</f>
        <v>57355555.555555552</v>
      </c>
      <c r="H58" s="45">
        <f>51620000/H14</f>
        <v>57355555.555555552</v>
      </c>
      <c r="I58" s="45">
        <f t="shared" ref="I58:L58" si="14">58940000/I14</f>
        <v>65488888.888888888</v>
      </c>
      <c r="J58" s="222">
        <f t="shared" si="14"/>
        <v>65488888.888888888</v>
      </c>
      <c r="K58" s="45">
        <f t="shared" si="14"/>
        <v>65488888.888888888</v>
      </c>
      <c r="L58" s="45">
        <f t="shared" si="14"/>
        <v>65488888.888888888</v>
      </c>
    </row>
    <row r="59" spans="1:12" x14ac:dyDescent="0.35">
      <c r="A59" s="20" t="s">
        <v>62</v>
      </c>
      <c r="B59" s="46"/>
      <c r="C59" s="46"/>
      <c r="D59" s="46"/>
      <c r="E59" s="46">
        <f>10497000/E14</f>
        <v>11663333.333333334</v>
      </c>
      <c r="F59" s="46"/>
      <c r="G59" s="46"/>
      <c r="H59" s="46"/>
      <c r="I59" s="46"/>
      <c r="J59" s="46"/>
    </row>
    <row r="60" spans="1:12" x14ac:dyDescent="0.35">
      <c r="A60" s="20" t="s">
        <v>64</v>
      </c>
      <c r="B60" s="46"/>
      <c r="C60" s="46">
        <f>6971614/C14</f>
        <v>7746237.777777778</v>
      </c>
      <c r="D60" s="46"/>
      <c r="E60" s="46"/>
      <c r="F60" s="46"/>
      <c r="G60" s="46"/>
      <c r="H60" s="46"/>
      <c r="I60" s="46">
        <f>111027673.7/30/I14</f>
        <v>4112136.0629629628</v>
      </c>
      <c r="J60" s="46">
        <f>117249641.28/30/J14</f>
        <v>4342579.3066666666</v>
      </c>
      <c r="K60" s="46">
        <f>17997476.14/30/K14</f>
        <v>666573.19037037028</v>
      </c>
      <c r="L60" s="46">
        <f>24503894.9/30/L14</f>
        <v>907551.66296296287</v>
      </c>
    </row>
    <row r="61" spans="1:12" x14ac:dyDescent="0.35">
      <c r="A61" s="20" t="s">
        <v>126</v>
      </c>
      <c r="B61" s="46">
        <f>1940000/B14</f>
        <v>2155555.5555555555</v>
      </c>
      <c r="C61" s="46">
        <f>2207341/C14</f>
        <v>2452601.111111111</v>
      </c>
      <c r="D61" s="46">
        <f>1856261/D14</f>
        <v>2062512.2222222222</v>
      </c>
      <c r="E61" s="46">
        <f>182000/E14</f>
        <v>202222.22222222222</v>
      </c>
      <c r="F61" s="46">
        <f>210000/F14</f>
        <v>233333.33333333331</v>
      </c>
      <c r="G61" s="46">
        <f>7870000/G14</f>
        <v>8744444.444444444</v>
      </c>
      <c r="H61" s="46">
        <f>8100000/H14</f>
        <v>9000000</v>
      </c>
      <c r="I61" s="46">
        <f>0/I14</f>
        <v>0</v>
      </c>
      <c r="J61" s="46">
        <f>9730000/J14</f>
        <v>10811111.11111111</v>
      </c>
      <c r="K61" s="46">
        <f>0/K14</f>
        <v>0</v>
      </c>
      <c r="L61" s="46">
        <f>10390000/L14</f>
        <v>11544444.444444444</v>
      </c>
    </row>
    <row r="62" spans="1:12" x14ac:dyDescent="0.35">
      <c r="A62" s="20" t="s">
        <v>515</v>
      </c>
      <c r="B62" s="46">
        <f>1130000/B14</f>
        <v>1255555.5555555555</v>
      </c>
      <c r="C62" s="46">
        <f>1526492/C14</f>
        <v>1696102.2222222222</v>
      </c>
      <c r="D62" s="46">
        <f>4924213/D14</f>
        <v>5471347.777777778</v>
      </c>
      <c r="E62" s="46"/>
      <c r="F62" s="46">
        <f>1220000/F14</f>
        <v>1355555.5555555555</v>
      </c>
      <c r="G62" s="55">
        <f>210000/G14+270000/G14</f>
        <v>533333.33333333326</v>
      </c>
      <c r="H62" s="55">
        <f>210000/H14+280000/H14</f>
        <v>544444.4444444445</v>
      </c>
      <c r="I62" s="82"/>
      <c r="J62" s="46"/>
    </row>
    <row r="63" spans="1:12" x14ac:dyDescent="0.35">
      <c r="A63" s="20" t="s">
        <v>516</v>
      </c>
      <c r="B63" s="46">
        <f>2030000/B14</f>
        <v>2255555.5555555555</v>
      </c>
      <c r="C63" s="46">
        <f>2309383/C14</f>
        <v>2565981.111111111</v>
      </c>
      <c r="D63" s="46">
        <f>3520381/D14</f>
        <v>3911534.4444444445</v>
      </c>
      <c r="E63" s="46">
        <f>382000/E14</f>
        <v>424444.44444444444</v>
      </c>
      <c r="F63" s="46">
        <f>2200000/F14</f>
        <v>2444444.4444444445</v>
      </c>
      <c r="G63" s="46">
        <f>24170000/G14+1590000/G14+8360000/G14</f>
        <v>37911111.111111112</v>
      </c>
      <c r="H63" s="46">
        <f>24170000/H14+2440000/H14+8590000/H14</f>
        <v>39111111.111111112</v>
      </c>
      <c r="I63" s="46">
        <f>27630000/I14</f>
        <v>30700000</v>
      </c>
      <c r="J63" s="46">
        <f>41120000/J14</f>
        <v>45688888.888888888</v>
      </c>
      <c r="K63" s="46">
        <f>27630000/K14</f>
        <v>30700000</v>
      </c>
      <c r="L63" s="46">
        <f>43870000/L14</f>
        <v>48744444.44444444</v>
      </c>
    </row>
    <row r="64" spans="1:12" x14ac:dyDescent="0.35">
      <c r="A64" s="20" t="s">
        <v>517</v>
      </c>
      <c r="B64" s="46">
        <f>770000</f>
        <v>770000</v>
      </c>
      <c r="C64" s="46"/>
      <c r="D64" s="46">
        <f>688135/$D$14</f>
        <v>764594.44444444438</v>
      </c>
      <c r="E64" s="46"/>
      <c r="F64" s="46">
        <f>220000/F14</f>
        <v>244444.44444444444</v>
      </c>
      <c r="G64" s="46">
        <f>50000/G14+77000/G14+50000/G14</f>
        <v>196666.66666666666</v>
      </c>
      <c r="H64" s="46">
        <f>50000/H14+360000/H14</f>
        <v>455555.55555555556</v>
      </c>
      <c r="I64" s="46"/>
      <c r="J64" s="46"/>
    </row>
    <row r="65" spans="1:12" x14ac:dyDescent="0.35">
      <c r="A65" s="20" t="s">
        <v>122</v>
      </c>
      <c r="B65" s="46">
        <f>2630000/B14</f>
        <v>2922222.222222222</v>
      </c>
      <c r="C65" s="46">
        <f>51359111/C14</f>
        <v>57065678.888888888</v>
      </c>
      <c r="D65" s="46">
        <f>3395506/D14</f>
        <v>3772784.4444444445</v>
      </c>
      <c r="E65" s="46">
        <f>4890000/E14</f>
        <v>5433333.333333333</v>
      </c>
      <c r="F65" s="46">
        <f>1510000/F14</f>
        <v>1677777.7777777778</v>
      </c>
      <c r="G65" s="46"/>
      <c r="H65" s="46">
        <f>1870000/H14+3340000/H14+5160000/H14</f>
        <v>11522222.222222222</v>
      </c>
      <c r="I65" s="46">
        <f>10020000/I14</f>
        <v>11133333.333333334</v>
      </c>
      <c r="J65" s="46">
        <f>11890000/J14</f>
        <v>13211111.11111111</v>
      </c>
      <c r="K65" s="46">
        <f>0/K14</f>
        <v>0</v>
      </c>
      <c r="L65" s="46">
        <f>0/L14</f>
        <v>0</v>
      </c>
    </row>
    <row r="66" spans="1:12" x14ac:dyDescent="0.35">
      <c r="A66" s="20" t="s">
        <v>346</v>
      </c>
      <c r="B66" s="46"/>
      <c r="C66" s="46"/>
      <c r="D66" s="46"/>
      <c r="E66" s="46">
        <f>4082000/E14</f>
        <v>4535555.555555555</v>
      </c>
      <c r="F66" s="46"/>
      <c r="G66" s="46"/>
      <c r="H66" s="46"/>
      <c r="I66" s="46"/>
      <c r="J66" s="46"/>
    </row>
    <row r="67" spans="1:12" x14ac:dyDescent="0.35">
      <c r="A67" s="20" t="s">
        <v>518</v>
      </c>
      <c r="B67" s="46">
        <f>1290000</f>
        <v>1290000</v>
      </c>
      <c r="C67" s="46"/>
      <c r="D67" s="46"/>
      <c r="E67" s="46"/>
      <c r="F67" s="46"/>
      <c r="G67" s="46">
        <f>80000/G14</f>
        <v>88888.888888888891</v>
      </c>
      <c r="H67" s="46">
        <f>80000/H14</f>
        <v>88888.888888888891</v>
      </c>
      <c r="I67" s="46"/>
      <c r="J67" s="46"/>
    </row>
    <row r="68" spans="1:12" x14ac:dyDescent="0.35">
      <c r="A68" s="20" t="s">
        <v>519</v>
      </c>
      <c r="B68" s="46"/>
      <c r="C68" s="46"/>
      <c r="D68" s="46"/>
      <c r="E68" s="46"/>
      <c r="F68" s="46"/>
      <c r="G68" s="46">
        <f>30000/G14</f>
        <v>33333.333333333336</v>
      </c>
      <c r="H68" s="46">
        <f>30000/H14</f>
        <v>33333.333333333336</v>
      </c>
      <c r="I68" s="46"/>
      <c r="J68" s="46"/>
    </row>
    <row r="69" spans="1:12" x14ac:dyDescent="0.35">
      <c r="A69" s="20" t="s">
        <v>520</v>
      </c>
      <c r="B69" s="46">
        <f>1210000</f>
        <v>1210000</v>
      </c>
      <c r="C69" s="46"/>
      <c r="D69" s="46">
        <f>1466827/$D$14</f>
        <v>1629807.7777777778</v>
      </c>
      <c r="E69" s="46"/>
      <c r="F69" s="46">
        <f>1150000/F14</f>
        <v>1277777.7777777778</v>
      </c>
      <c r="G69" s="46">
        <f>54000/G14+1500000/G14</f>
        <v>1726666.6666666665</v>
      </c>
      <c r="H69" s="46">
        <f>20000/H14+1590000/H14</f>
        <v>1788888.8888888888</v>
      </c>
      <c r="I69" s="46"/>
      <c r="J69" s="46"/>
    </row>
    <row r="70" spans="1:12" x14ac:dyDescent="0.35">
      <c r="A70" s="20" t="s">
        <v>657</v>
      </c>
      <c r="B70" s="46">
        <f>6810000/B14</f>
        <v>7566666.666666666</v>
      </c>
      <c r="C70" s="46">
        <f>7731776/C14</f>
        <v>8590862.222222222</v>
      </c>
      <c r="D70" s="46">
        <f>14659511/D14</f>
        <v>16288345.555555556</v>
      </c>
      <c r="E70" s="46"/>
      <c r="F70" s="46">
        <f>7350000/F14</f>
        <v>8166666.666666666</v>
      </c>
      <c r="G70" s="46">
        <f>8450000/G14</f>
        <v>9388888.8888888881</v>
      </c>
      <c r="H70" s="46">
        <f>8450000/H14</f>
        <v>9388888.8888888881</v>
      </c>
      <c r="I70" s="46">
        <f t="shared" ref="I70:L70" si="15">10140000/I14</f>
        <v>11266666.666666666</v>
      </c>
      <c r="J70" s="46">
        <f t="shared" si="15"/>
        <v>11266666.666666666</v>
      </c>
      <c r="K70" s="46">
        <f t="shared" si="15"/>
        <v>11266666.666666666</v>
      </c>
      <c r="L70" s="46">
        <f t="shared" si="15"/>
        <v>11266666.666666666</v>
      </c>
    </row>
    <row r="71" spans="1:12" x14ac:dyDescent="0.35">
      <c r="A71" s="20" t="s">
        <v>634</v>
      </c>
      <c r="B71" s="46"/>
      <c r="C71" s="46"/>
      <c r="D71" s="46"/>
      <c r="E71" s="46"/>
      <c r="F71" s="46"/>
      <c r="G71" s="46">
        <f>310000/G14</f>
        <v>344444.44444444444</v>
      </c>
      <c r="H71" s="46">
        <f>310000/H14</f>
        <v>344444.44444444444</v>
      </c>
      <c r="I71" s="46"/>
      <c r="J71" s="46"/>
    </row>
    <row r="72" spans="1:12" x14ac:dyDescent="0.35">
      <c r="A72" s="20" t="s">
        <v>635</v>
      </c>
      <c r="B72" s="46">
        <f>20000</f>
        <v>20000</v>
      </c>
      <c r="C72" s="46"/>
      <c r="D72" s="46">
        <f>522124/$D$14</f>
        <v>580137.77777777775</v>
      </c>
      <c r="E72" s="46"/>
      <c r="F72" s="46">
        <v>0</v>
      </c>
      <c r="G72" s="46"/>
      <c r="H72" s="46"/>
      <c r="I72" s="46"/>
      <c r="J72" s="46"/>
    </row>
    <row r="73" spans="1:12" x14ac:dyDescent="0.35">
      <c r="A73" s="20" t="s">
        <v>521</v>
      </c>
      <c r="B73" s="46">
        <f>660000</f>
        <v>660000</v>
      </c>
      <c r="C73" s="46">
        <f>774739/$C$14</f>
        <v>860821.11111111112</v>
      </c>
      <c r="D73" s="46">
        <f>1266257/$D$14</f>
        <v>1406952.2222222222</v>
      </c>
      <c r="E73" s="46"/>
      <c r="F73" s="46">
        <f>710000/F14</f>
        <v>788888.88888888888</v>
      </c>
      <c r="G73" s="46"/>
      <c r="H73" s="46"/>
      <c r="I73" s="46"/>
      <c r="J73" s="46"/>
    </row>
    <row r="74" spans="1:12" x14ac:dyDescent="0.35">
      <c r="A74" s="20" t="s">
        <v>522</v>
      </c>
      <c r="B74" s="46"/>
      <c r="C74" s="46"/>
      <c r="D74" s="46"/>
      <c r="E74" s="46"/>
      <c r="F74" s="46"/>
      <c r="G74" s="46">
        <f>210000/G14</f>
        <v>233333.33333333331</v>
      </c>
      <c r="H74" s="46">
        <f>220000/H14</f>
        <v>244444.44444444444</v>
      </c>
      <c r="I74" s="46"/>
      <c r="J74" s="46"/>
    </row>
    <row r="75" spans="1:12" x14ac:dyDescent="0.35">
      <c r="A75" s="20" t="s">
        <v>280</v>
      </c>
      <c r="B75" s="46"/>
      <c r="C75" s="46"/>
      <c r="D75" s="46"/>
      <c r="E75" s="46"/>
      <c r="F75" s="46">
        <f>2860000/F14</f>
        <v>3177777.7777777775</v>
      </c>
      <c r="G75" s="46"/>
      <c r="H75" s="46"/>
      <c r="I75" s="46"/>
      <c r="J75" s="46"/>
    </row>
    <row r="76" spans="1:12" x14ac:dyDescent="0.35">
      <c r="A76" s="20" t="s">
        <v>335</v>
      </c>
      <c r="B76" s="46"/>
      <c r="D76" s="46"/>
      <c r="E76" s="46"/>
      <c r="F76" s="46"/>
      <c r="G76" s="46"/>
      <c r="H76" s="46"/>
      <c r="I76" s="46"/>
      <c r="J76" s="46"/>
    </row>
    <row r="77" spans="1:12" x14ac:dyDescent="0.35">
      <c r="A77" s="20" t="s">
        <v>356</v>
      </c>
      <c r="B77" s="46"/>
      <c r="D77" s="46"/>
      <c r="E77" s="46"/>
      <c r="F77" s="46">
        <f>57650000/F14</f>
        <v>64055555.555555552</v>
      </c>
      <c r="G77" s="46"/>
      <c r="H77" s="46"/>
      <c r="I77" s="46"/>
      <c r="J77" s="46"/>
    </row>
    <row r="78" spans="1:12" x14ac:dyDescent="0.35">
      <c r="A78" s="20" t="s">
        <v>482</v>
      </c>
      <c r="B78" s="46"/>
      <c r="C78" s="46"/>
      <c r="D78" s="46"/>
      <c r="E78" s="46"/>
      <c r="F78" s="46"/>
      <c r="G78" s="46">
        <f>250000/G14</f>
        <v>277777.77777777775</v>
      </c>
      <c r="H78" s="46"/>
      <c r="I78" s="46"/>
      <c r="J78" s="46"/>
    </row>
    <row r="79" spans="1:12" x14ac:dyDescent="0.35">
      <c r="A79" s="20" t="s">
        <v>483</v>
      </c>
      <c r="B79" s="46"/>
      <c r="C79" s="46"/>
      <c r="D79" s="46"/>
      <c r="E79" s="46"/>
      <c r="F79" s="46"/>
      <c r="G79" s="46">
        <f>300000/G14+140000/G14</f>
        <v>488888.88888888888</v>
      </c>
      <c r="H79" s="46">
        <f>140000/H14</f>
        <v>155555.55555555556</v>
      </c>
      <c r="I79" s="46"/>
      <c r="J79" s="46"/>
    </row>
    <row r="80" spans="1:12" x14ac:dyDescent="0.35">
      <c r="A80" s="20" t="s">
        <v>484</v>
      </c>
      <c r="B80" s="46"/>
      <c r="C80" s="46"/>
      <c r="D80" s="46"/>
      <c r="E80" s="46"/>
      <c r="F80" s="46"/>
      <c r="G80" s="46">
        <f>1560000/G14</f>
        <v>1733333.3333333333</v>
      </c>
      <c r="H80" s="46"/>
      <c r="I80" s="46"/>
      <c r="J80" s="46"/>
    </row>
    <row r="81" spans="1:12" x14ac:dyDescent="0.35">
      <c r="A81" s="20" t="s">
        <v>485</v>
      </c>
      <c r="B81" s="46"/>
      <c r="C81" s="46"/>
      <c r="D81" s="46"/>
      <c r="E81" s="46"/>
      <c r="F81" s="46"/>
      <c r="G81" s="46">
        <f>52000/G14</f>
        <v>57777.777777777774</v>
      </c>
      <c r="H81" s="46"/>
      <c r="I81" s="46"/>
      <c r="J81" s="46"/>
    </row>
    <row r="82" spans="1:12" x14ac:dyDescent="0.35">
      <c r="A82" s="20" t="s">
        <v>658</v>
      </c>
      <c r="B82" s="46"/>
      <c r="C82" s="46"/>
      <c r="D82" s="46">
        <f>6616147/$D$14</f>
        <v>7351274.444444444</v>
      </c>
      <c r="E82" s="46">
        <f>9019000/$E$14</f>
        <v>10021111.11111111</v>
      </c>
      <c r="F82" s="46">
        <f>5380000/F14</f>
        <v>5977777.777777778</v>
      </c>
      <c r="G82" s="46"/>
      <c r="H82" s="46"/>
      <c r="I82" s="46"/>
      <c r="J82" s="46"/>
    </row>
    <row r="83" spans="1:12" x14ac:dyDescent="0.35">
      <c r="A83" s="20" t="s">
        <v>655</v>
      </c>
      <c r="B83" s="46">
        <v>1324823</v>
      </c>
      <c r="C83" s="46">
        <v>932463</v>
      </c>
      <c r="D83" s="46">
        <v>1134543</v>
      </c>
      <c r="E83" s="46">
        <v>994732</v>
      </c>
      <c r="F83" s="84">
        <v>1435827</v>
      </c>
      <c r="G83" s="70">
        <v>1652557</v>
      </c>
      <c r="H83" s="46">
        <v>2940532</v>
      </c>
      <c r="I83" s="46"/>
      <c r="J83" s="46"/>
    </row>
    <row r="84" spans="1:12" x14ac:dyDescent="0.35">
      <c r="A84" s="20" t="s">
        <v>239</v>
      </c>
      <c r="B84" s="46"/>
      <c r="C84" s="46"/>
      <c r="D84" s="46"/>
      <c r="E84" s="46"/>
      <c r="F84" s="46"/>
      <c r="G84" s="46"/>
      <c r="H84" s="46"/>
      <c r="I84" s="46"/>
      <c r="J84" s="46"/>
    </row>
    <row r="85" spans="1:12" x14ac:dyDescent="0.35">
      <c r="A85" s="20" t="s">
        <v>66</v>
      </c>
      <c r="B85" s="46"/>
      <c r="C85" s="46"/>
      <c r="D85" s="46"/>
      <c r="E85" s="46">
        <f>1286000/E14</f>
        <v>1428888.8888888888</v>
      </c>
      <c r="F85" s="46"/>
      <c r="G85" s="46"/>
      <c r="H85" s="46"/>
      <c r="I85" s="46">
        <f>22350000/I14</f>
        <v>24833333.333333332</v>
      </c>
      <c r="J85" s="46">
        <f>27020000/J14</f>
        <v>30022222.22222222</v>
      </c>
      <c r="K85" s="46">
        <f>25100000/K14</f>
        <v>27888888.888888888</v>
      </c>
      <c r="L85" s="46">
        <f>20020000/L14</f>
        <v>22244444.444444444</v>
      </c>
    </row>
    <row r="86" spans="1:12" x14ac:dyDescent="0.35">
      <c r="A86" s="20" t="s">
        <v>127</v>
      </c>
      <c r="B86" s="46">
        <f>870000</f>
        <v>870000</v>
      </c>
      <c r="C86" s="46">
        <f>633891/$C$14</f>
        <v>704323.33333333337</v>
      </c>
      <c r="D86" s="46"/>
      <c r="E86" s="46"/>
      <c r="F86" s="46">
        <f>43000/F14</f>
        <v>47777.777777777774</v>
      </c>
      <c r="G86" s="46"/>
      <c r="H86" s="46"/>
      <c r="I86" s="46"/>
      <c r="J86" s="46"/>
    </row>
    <row r="87" spans="1:12" x14ac:dyDescent="0.35">
      <c r="A87" s="20" t="s">
        <v>54</v>
      </c>
      <c r="B87" s="46">
        <f>380000</f>
        <v>380000</v>
      </c>
      <c r="C87" s="46">
        <f>406834/$C$14</f>
        <v>452037.77777777775</v>
      </c>
      <c r="D87" s="46">
        <f>1857137/$D$14</f>
        <v>2063485.5555555555</v>
      </c>
      <c r="E87" s="46"/>
      <c r="F87" s="46">
        <f>41000/F14</f>
        <v>45555.555555555555</v>
      </c>
      <c r="G87" s="46">
        <f>4220000/G14</f>
        <v>4688888.888888889</v>
      </c>
      <c r="H87" s="46"/>
      <c r="I87" s="46"/>
      <c r="J87" s="46"/>
    </row>
    <row r="88" spans="1:12" x14ac:dyDescent="0.35">
      <c r="A88" s="20" t="s">
        <v>55</v>
      </c>
      <c r="B88" s="46">
        <f>90000</f>
        <v>90000</v>
      </c>
      <c r="C88" s="46">
        <f>90328/$C$14</f>
        <v>100364.44444444444</v>
      </c>
      <c r="D88" s="46">
        <f>84501/$D$14</f>
        <v>93890</v>
      </c>
      <c r="E88" s="46"/>
      <c r="F88" s="46">
        <f>140000/F14</f>
        <v>155555.55555555556</v>
      </c>
      <c r="G88" s="46">
        <f>100000/G14</f>
        <v>111111.11111111111</v>
      </c>
      <c r="H88" s="46"/>
      <c r="I88" s="46"/>
      <c r="J88" s="46"/>
    </row>
    <row r="89" spans="1:12" x14ac:dyDescent="0.35">
      <c r="A89" s="20" t="s">
        <v>128</v>
      </c>
      <c r="B89" s="46">
        <f>540000</f>
        <v>540000</v>
      </c>
      <c r="C89" s="46">
        <f>452105/$C$14</f>
        <v>502338.88888888888</v>
      </c>
      <c r="D89" s="46">
        <f>430235/$D$14</f>
        <v>478038.88888888888</v>
      </c>
      <c r="E89" s="46">
        <f>122000/E14</f>
        <v>135555.55555555556</v>
      </c>
      <c r="F89" s="46">
        <f>550000/F14</f>
        <v>611111.11111111112</v>
      </c>
      <c r="G89" s="46">
        <f>560000/G14</f>
        <v>622222.22222222225</v>
      </c>
      <c r="H89" s="46"/>
      <c r="I89" s="46"/>
      <c r="J89" s="46"/>
    </row>
    <row r="90" spans="1:12" x14ac:dyDescent="0.35">
      <c r="A90" s="20" t="s">
        <v>67</v>
      </c>
      <c r="B90" s="46">
        <f>1400000/B14</f>
        <v>1555555.5555555555</v>
      </c>
      <c r="C90" s="46">
        <f>1573773/C14</f>
        <v>1748636.6666666665</v>
      </c>
      <c r="D90" s="46">
        <f>1896482/D14</f>
        <v>2107202.222222222</v>
      </c>
      <c r="E90" s="46"/>
      <c r="F90" s="46">
        <f>1510000/F14</f>
        <v>1677777.7777777778</v>
      </c>
      <c r="G90" s="46">
        <f>1110000/G14</f>
        <v>1233333.3333333333</v>
      </c>
      <c r="H90" s="46">
        <f>1410000/H14</f>
        <v>1566666.6666666667</v>
      </c>
      <c r="I90" s="46">
        <f>1420000/I14</f>
        <v>1577777.7777777778</v>
      </c>
      <c r="J90" s="46">
        <f>1460000/J14</f>
        <v>1622222.2222222222</v>
      </c>
      <c r="K90" s="46">
        <f>1420000/K14</f>
        <v>1577777.7777777778</v>
      </c>
      <c r="L90" s="46">
        <f>1470000/L14</f>
        <v>1633333.3333333333</v>
      </c>
    </row>
    <row r="91" spans="1:12" x14ac:dyDescent="0.35">
      <c r="A91" s="20" t="s">
        <v>347</v>
      </c>
      <c r="B91" s="46"/>
      <c r="C91" s="46"/>
      <c r="D91" s="46"/>
      <c r="E91" s="46">
        <f>750000/E14</f>
        <v>833333.33333333326</v>
      </c>
      <c r="F91" s="46"/>
      <c r="G91" s="46"/>
      <c r="H91" s="46"/>
      <c r="I91" s="46"/>
      <c r="J91" s="46"/>
    </row>
    <row r="92" spans="1:12" x14ac:dyDescent="0.35">
      <c r="A92" s="20" t="s">
        <v>486</v>
      </c>
      <c r="B92" s="46"/>
      <c r="C92" s="46"/>
      <c r="D92" s="46"/>
      <c r="E92" s="46">
        <f>8275000/E14</f>
        <v>9194444.444444444</v>
      </c>
      <c r="F92" s="46">
        <f>(6590000-460000)/F14</f>
        <v>6811111.111111111</v>
      </c>
      <c r="G92" s="46">
        <f>24130000/G14</f>
        <v>26811111.111111112</v>
      </c>
      <c r="H92" s="46">
        <f>22800000/H14</f>
        <v>25333333.333333332</v>
      </c>
      <c r="I92" s="46">
        <f>10400000/I14</f>
        <v>11555555.555555556</v>
      </c>
      <c r="J92" s="46">
        <f>23240000/J14</f>
        <v>25822222.22222222</v>
      </c>
      <c r="K92" s="46">
        <f>4370000/K14</f>
        <v>4855555.555555555</v>
      </c>
      <c r="L92" s="46">
        <f>29950000/L14</f>
        <v>33277777.777777776</v>
      </c>
    </row>
    <row r="93" spans="1:12" x14ac:dyDescent="0.35">
      <c r="A93" s="20" t="s">
        <v>629</v>
      </c>
      <c r="B93" s="46"/>
      <c r="C93" s="46"/>
      <c r="D93" s="46"/>
      <c r="E93" s="46"/>
      <c r="F93" s="46"/>
      <c r="G93" s="46"/>
      <c r="H93" s="46"/>
      <c r="I93" s="46"/>
      <c r="J93" s="46"/>
      <c r="L93" s="227"/>
    </row>
    <row r="94" spans="1:12" x14ac:dyDescent="0.35">
      <c r="A94" s="38" t="s">
        <v>487</v>
      </c>
      <c r="B94" s="46"/>
      <c r="C94" s="46"/>
      <c r="D94" s="46"/>
      <c r="E94" s="46"/>
      <c r="F94" s="46"/>
      <c r="G94" s="46">
        <f>-17030000/G14</f>
        <v>-18922222.22222222</v>
      </c>
      <c r="H94" s="46">
        <f>-17390000/H14</f>
        <v>-19322222.22222222</v>
      </c>
      <c r="I94" s="46">
        <f>-11690000/I14</f>
        <v>-12988888.888888888</v>
      </c>
      <c r="J94" s="46">
        <f>-19860000/J14</f>
        <v>-22066666.666666668</v>
      </c>
      <c r="K94" s="46">
        <f>-11320000/K14</f>
        <v>-12577777.777777778</v>
      </c>
      <c r="L94" s="46">
        <f>-20930000/L14</f>
        <v>-23255555.555555556</v>
      </c>
    </row>
    <row r="95" spans="1:12" x14ac:dyDescent="0.35">
      <c r="A95" s="38" t="s">
        <v>654</v>
      </c>
      <c r="B95" s="46"/>
      <c r="C95" s="46"/>
      <c r="D95" s="46"/>
      <c r="E95" s="46"/>
      <c r="F95" s="46"/>
      <c r="G95" s="46">
        <f>-160150000/G14</f>
        <v>-177944444.44444445</v>
      </c>
      <c r="H95" s="46">
        <f>-164940000/H14</f>
        <v>-183266666.66666666</v>
      </c>
      <c r="I95" s="46">
        <f>0/I14</f>
        <v>0</v>
      </c>
      <c r="J95" s="46">
        <f>-25820000/J14</f>
        <v>-28688888.888888888</v>
      </c>
      <c r="K95" s="46">
        <f>0/K14</f>
        <v>0</v>
      </c>
      <c r="L95" s="46">
        <f>-26170000/L14</f>
        <v>-29077777.777777776</v>
      </c>
    </row>
    <row r="96" spans="1:12" x14ac:dyDescent="0.35">
      <c r="A96" s="20" t="s">
        <v>636</v>
      </c>
      <c r="B96" s="45">
        <f>-5120000/B14</f>
        <v>-5688888.888888889</v>
      </c>
      <c r="C96" s="45">
        <f>-5365608/C14</f>
        <v>-5961786.666666667</v>
      </c>
      <c r="D96" s="45">
        <f>-5193417/D14</f>
        <v>-5770463.333333333</v>
      </c>
      <c r="E96" s="45"/>
      <c r="F96" s="45"/>
      <c r="G96" s="45">
        <f>-460000/G14</f>
        <v>-511111.11111111112</v>
      </c>
      <c r="H96" s="45">
        <f>-460000/H14</f>
        <v>-511111.11111111112</v>
      </c>
      <c r="I96" s="45"/>
      <c r="J96" s="46"/>
      <c r="L96" s="227"/>
    </row>
    <row r="97" spans="1:12" x14ac:dyDescent="0.35">
      <c r="A97" s="20" t="s">
        <v>507</v>
      </c>
      <c r="B97" s="45"/>
      <c r="C97" s="45"/>
      <c r="D97" s="45"/>
      <c r="E97" s="45"/>
      <c r="F97" s="46">
        <f>-24701000/F14</f>
        <v>-27445555.555555556</v>
      </c>
      <c r="G97" s="45"/>
      <c r="H97" s="45"/>
      <c r="I97" s="45"/>
      <c r="J97" s="46"/>
    </row>
    <row r="98" spans="1:12" x14ac:dyDescent="0.35">
      <c r="A98" s="38" t="s">
        <v>508</v>
      </c>
      <c r="B98" s="45"/>
      <c r="C98" s="45"/>
      <c r="D98" s="45"/>
      <c r="E98" s="46">
        <f>-26300000/E14</f>
        <v>-29222222.22222222</v>
      </c>
      <c r="F98" s="45"/>
      <c r="G98" s="45"/>
      <c r="H98" s="45"/>
      <c r="I98" s="45"/>
      <c r="J98" s="46"/>
    </row>
    <row r="99" spans="1:12" x14ac:dyDescent="0.35">
      <c r="A99" s="38" t="s">
        <v>509</v>
      </c>
      <c r="B99" s="45"/>
      <c r="C99" s="45"/>
      <c r="D99" s="45"/>
      <c r="E99" s="45"/>
      <c r="F99" s="45"/>
      <c r="G99" s="45"/>
      <c r="H99" s="45"/>
      <c r="I99" s="45"/>
      <c r="J99" s="46"/>
    </row>
    <row r="100" spans="1:12" x14ac:dyDescent="0.35">
      <c r="A100" s="35" t="s">
        <v>51</v>
      </c>
      <c r="B100" s="142"/>
      <c r="C100" s="142"/>
      <c r="D100" s="142"/>
      <c r="E100" s="142"/>
      <c r="F100" s="142"/>
      <c r="G100" s="142"/>
      <c r="H100" s="142"/>
      <c r="I100" s="142"/>
      <c r="J100" s="142"/>
      <c r="K100" s="142"/>
      <c r="L100" s="228"/>
    </row>
    <row r="101" spans="1:12" x14ac:dyDescent="0.35">
      <c r="A101" s="20" t="s">
        <v>68</v>
      </c>
      <c r="B101" s="46">
        <v>2718971</v>
      </c>
      <c r="C101" s="46">
        <v>2830874</v>
      </c>
      <c r="D101" s="46">
        <v>2722772</v>
      </c>
      <c r="E101" s="46">
        <v>6016920</v>
      </c>
      <c r="F101" s="46">
        <v>2722772</v>
      </c>
      <c r="G101" s="46">
        <v>3210000</v>
      </c>
      <c r="H101" s="46">
        <v>3210000</v>
      </c>
      <c r="I101" s="46">
        <v>3212961.5763546797</v>
      </c>
      <c r="J101" s="46">
        <v>3212961.5763546797</v>
      </c>
      <c r="K101" s="46">
        <v>3212961.5763546797</v>
      </c>
      <c r="L101" s="46">
        <v>3212961.5763546797</v>
      </c>
    </row>
    <row r="102" spans="1:12" x14ac:dyDescent="0.35">
      <c r="A102" s="20" t="s">
        <v>353</v>
      </c>
      <c r="B102" s="46">
        <f>B101*0.9</f>
        <v>2447073.9</v>
      </c>
      <c r="C102" s="46">
        <f>C101*0.9</f>
        <v>2547786.6</v>
      </c>
      <c r="D102" s="46">
        <f>D101*0.9</f>
        <v>2450494.8000000003</v>
      </c>
      <c r="E102" s="81"/>
      <c r="F102" s="46">
        <f t="shared" ref="F102:L102" si="16">F101*0.9</f>
        <v>2450494.8000000003</v>
      </c>
      <c r="G102" s="46">
        <f t="shared" si="16"/>
        <v>2889000</v>
      </c>
      <c r="H102" s="46">
        <f t="shared" si="16"/>
        <v>2889000</v>
      </c>
      <c r="I102" s="46">
        <f t="shared" si="16"/>
        <v>2891665.4187192116</v>
      </c>
      <c r="J102" s="46">
        <f t="shared" si="16"/>
        <v>2891665.4187192116</v>
      </c>
      <c r="K102" s="46">
        <f t="shared" si="16"/>
        <v>2891665.4187192116</v>
      </c>
      <c r="L102" s="46">
        <f t="shared" si="16"/>
        <v>2891665.4187192116</v>
      </c>
    </row>
    <row r="103" spans="1:12" x14ac:dyDescent="0.35">
      <c r="A103" s="20" t="s">
        <v>360</v>
      </c>
      <c r="B103" s="138">
        <v>5039795.8372626035</v>
      </c>
      <c r="C103" s="138">
        <f>SUM(C21:C30)*0.03</f>
        <v>6524038.7999999998</v>
      </c>
      <c r="D103" s="138">
        <f>SUM(D21:D30)*0.03</f>
        <v>5664385.1699999999</v>
      </c>
      <c r="E103" s="46">
        <f>0.0175*E37</f>
        <v>3376766.6625000001</v>
      </c>
      <c r="F103" s="138">
        <f t="shared" ref="F103:L103" si="17">SUM(F21:F31)*0.03</f>
        <v>13737628.5</v>
      </c>
      <c r="G103" s="138">
        <f t="shared" si="17"/>
        <v>8824518.5999999996</v>
      </c>
      <c r="H103" s="138">
        <f t="shared" si="17"/>
        <v>7954263.2999999998</v>
      </c>
      <c r="I103" s="138">
        <f t="shared" si="17"/>
        <v>4457948.9830149971</v>
      </c>
      <c r="J103" s="138">
        <f t="shared" si="17"/>
        <v>12656700.36965717</v>
      </c>
      <c r="K103" s="138">
        <f t="shared" si="17"/>
        <v>5407085.9821121031</v>
      </c>
      <c r="L103" s="138">
        <f t="shared" si="17"/>
        <v>13601916.65139753</v>
      </c>
    </row>
    <row r="104" spans="1:12" x14ac:dyDescent="0.35">
      <c r="A104" s="20" t="s">
        <v>217</v>
      </c>
      <c r="B104" s="138">
        <f>B50*0.007</f>
        <v>3872125.7792000002</v>
      </c>
      <c r="C104" s="138">
        <f>C50*0.007</f>
        <v>4357957.979199999</v>
      </c>
      <c r="D104" s="138">
        <f>D50*0.007</f>
        <v>4084002.3504000003</v>
      </c>
      <c r="E104" s="138">
        <f>E37*0.008</f>
        <v>1543664.76</v>
      </c>
      <c r="F104" s="138">
        <f t="shared" ref="F104:L104" si="18">F50*0.007</f>
        <v>8063899.5724000009</v>
      </c>
      <c r="G104" s="138">
        <f t="shared" si="18"/>
        <v>5043965.7015999993</v>
      </c>
      <c r="H104" s="138">
        <f t="shared" si="18"/>
        <v>4632825.6267999997</v>
      </c>
      <c r="I104" s="138">
        <f t="shared" si="18"/>
        <v>3609030.969566904</v>
      </c>
      <c r="J104" s="138">
        <f t="shared" si="18"/>
        <v>6977263.7215992734</v>
      </c>
      <c r="K104" s="138">
        <f t="shared" si="18"/>
        <v>4030245.6442372245</v>
      </c>
      <c r="L104" s="138">
        <f t="shared" si="18"/>
        <v>7217550.3368348572</v>
      </c>
    </row>
    <row r="105" spans="1:12" x14ac:dyDescent="0.35">
      <c r="A105" s="35" t="s">
        <v>155</v>
      </c>
      <c r="B105" s="138">
        <v>18400000</v>
      </c>
      <c r="C105" s="138">
        <v>20800000</v>
      </c>
      <c r="D105" s="138">
        <f>D50/30</f>
        <v>19447630.240000002</v>
      </c>
      <c r="E105" s="138">
        <v>19980000</v>
      </c>
      <c r="F105" s="138">
        <v>38400000</v>
      </c>
      <c r="G105" s="138">
        <v>24018884</v>
      </c>
      <c r="H105" s="138">
        <v>22061074</v>
      </c>
      <c r="I105" s="138">
        <v>17200000</v>
      </c>
      <c r="J105" s="138">
        <v>33200000</v>
      </c>
      <c r="K105" s="138">
        <v>19200000</v>
      </c>
      <c r="L105" s="138">
        <v>34400000</v>
      </c>
    </row>
    <row r="106" spans="1:12" x14ac:dyDescent="0.35">
      <c r="A106" s="35" t="s">
        <v>156</v>
      </c>
      <c r="B106" s="138">
        <v>10700000</v>
      </c>
      <c r="C106" s="138">
        <v>12200000</v>
      </c>
      <c r="D106" s="138">
        <v>11300000</v>
      </c>
      <c r="E106" s="138">
        <v>8790000</v>
      </c>
      <c r="F106" s="138">
        <v>21900000</v>
      </c>
      <c r="G106" s="138">
        <v>7363617</v>
      </c>
      <c r="H106" s="138">
        <v>6807417</v>
      </c>
      <c r="I106" s="138">
        <v>5300000</v>
      </c>
      <c r="J106" s="138">
        <v>10000000</v>
      </c>
      <c r="K106" s="138">
        <v>5900000</v>
      </c>
      <c r="L106" s="138">
        <v>10300000</v>
      </c>
    </row>
    <row r="107" spans="1:12" x14ac:dyDescent="0.35">
      <c r="A107" s="35" t="s">
        <v>157</v>
      </c>
      <c r="B107" s="138">
        <v>49600000</v>
      </c>
      <c r="C107" s="138">
        <v>57300000</v>
      </c>
      <c r="D107" s="138">
        <v>56300000</v>
      </c>
      <c r="E107" s="138">
        <v>39266000</v>
      </c>
      <c r="F107" s="138">
        <v>103400000</v>
      </c>
      <c r="G107" s="138">
        <v>66219097</v>
      </c>
      <c r="H107" s="138">
        <v>61135656</v>
      </c>
      <c r="I107" s="138">
        <v>47300000</v>
      </c>
      <c r="J107" s="138">
        <v>90600000</v>
      </c>
      <c r="K107" s="138">
        <v>52300000</v>
      </c>
      <c r="L107" s="138">
        <v>93300000</v>
      </c>
    </row>
    <row r="108" spans="1:12" x14ac:dyDescent="0.35">
      <c r="A108" s="35"/>
      <c r="B108" s="81"/>
      <c r="C108" s="81"/>
      <c r="D108" s="81"/>
      <c r="E108" s="81"/>
      <c r="F108" s="81"/>
      <c r="G108" s="81"/>
      <c r="H108" s="81"/>
    </row>
    <row r="109" spans="1:12" x14ac:dyDescent="0.35">
      <c r="A109" s="20"/>
      <c r="B109" s="81"/>
      <c r="C109" s="81"/>
      <c r="D109" s="81"/>
      <c r="E109" s="81"/>
      <c r="F109" s="81"/>
      <c r="G109" s="81"/>
      <c r="H109" s="81"/>
    </row>
    <row r="110" spans="1:12" x14ac:dyDescent="0.35">
      <c r="A110" s="20"/>
      <c r="B110" s="81"/>
      <c r="C110" s="81"/>
      <c r="D110" s="81"/>
      <c r="E110" s="81"/>
      <c r="F110" s="81"/>
      <c r="G110" s="81"/>
      <c r="H110" s="81"/>
    </row>
    <row r="111" spans="1:12" x14ac:dyDescent="0.35">
      <c r="A111" s="35"/>
      <c r="B111" s="81"/>
      <c r="C111" s="81"/>
      <c r="D111" s="81"/>
      <c r="E111" s="81"/>
      <c r="F111" s="81"/>
      <c r="G111" s="81"/>
      <c r="H111" s="81"/>
      <c r="I111" s="91"/>
    </row>
    <row r="112" spans="1:12" x14ac:dyDescent="0.35">
      <c r="A112" s="37" t="s">
        <v>50</v>
      </c>
      <c r="B112" s="81"/>
      <c r="C112" s="81"/>
      <c r="D112" s="81"/>
      <c r="E112" s="81"/>
      <c r="F112" s="81"/>
      <c r="G112" s="81"/>
      <c r="H112" s="81"/>
    </row>
    <row r="113" spans="1:12" x14ac:dyDescent="0.35">
      <c r="A113" s="252" t="s">
        <v>39</v>
      </c>
      <c r="B113" s="45">
        <f>B50</f>
        <v>553160825.60000002</v>
      </c>
      <c r="C113" s="45">
        <f>C50</f>
        <v>622565425.5999999</v>
      </c>
      <c r="D113" s="45">
        <f>D50</f>
        <v>583428907.20000005</v>
      </c>
      <c r="E113" s="45">
        <f>E54</f>
        <v>364759546.62180001</v>
      </c>
      <c r="F113" s="45">
        <f t="shared" ref="F113:L113" si="19">F50</f>
        <v>1151985653.2</v>
      </c>
      <c r="G113" s="45">
        <f t="shared" si="19"/>
        <v>720566528.79999995</v>
      </c>
      <c r="H113" s="45">
        <f t="shared" si="19"/>
        <v>661832232.39999998</v>
      </c>
      <c r="I113" s="45">
        <f t="shared" si="19"/>
        <v>515575852.79527199</v>
      </c>
      <c r="J113" s="45">
        <f t="shared" si="19"/>
        <v>996751960.22846758</v>
      </c>
      <c r="K113" s="45">
        <f t="shared" si="19"/>
        <v>575749377.74817491</v>
      </c>
      <c r="L113" s="45">
        <f t="shared" si="19"/>
        <v>1031078619.5478367</v>
      </c>
    </row>
    <row r="114" spans="1:12" x14ac:dyDescent="0.35">
      <c r="A114" s="27" t="s">
        <v>34</v>
      </c>
      <c r="B114" s="118">
        <v>0.4</v>
      </c>
      <c r="C114" s="118">
        <v>0.4</v>
      </c>
      <c r="D114" s="118">
        <v>0.4</v>
      </c>
      <c r="E114" s="118">
        <v>0.4</v>
      </c>
      <c r="F114" s="118">
        <v>0.4</v>
      </c>
      <c r="G114" s="118">
        <v>0.4</v>
      </c>
      <c r="H114" s="118">
        <v>0.4</v>
      </c>
      <c r="I114" s="118">
        <v>0.4</v>
      </c>
      <c r="J114" s="118">
        <v>0.4</v>
      </c>
      <c r="K114" s="118">
        <v>0.4</v>
      </c>
      <c r="L114" s="118">
        <v>0.4</v>
      </c>
    </row>
    <row r="115" spans="1:12" x14ac:dyDescent="0.35">
      <c r="A115" s="26" t="s">
        <v>35</v>
      </c>
      <c r="B115" s="118">
        <v>0.08</v>
      </c>
      <c r="C115" s="118">
        <v>0.08</v>
      </c>
      <c r="D115" s="118">
        <v>0.08</v>
      </c>
      <c r="E115" s="118">
        <v>0.08</v>
      </c>
      <c r="F115" s="118">
        <v>0.08</v>
      </c>
      <c r="G115" s="118">
        <v>0.08</v>
      </c>
      <c r="H115" s="118">
        <v>0.08</v>
      </c>
      <c r="I115" s="118">
        <v>0.08</v>
      </c>
      <c r="J115" s="118">
        <v>0.08</v>
      </c>
      <c r="K115" s="118">
        <v>0.08</v>
      </c>
      <c r="L115" s="118">
        <v>0.08</v>
      </c>
    </row>
    <row r="116" spans="1:12" x14ac:dyDescent="0.35">
      <c r="A116" s="26" t="s">
        <v>36</v>
      </c>
      <c r="B116" s="136">
        <v>10</v>
      </c>
      <c r="C116" s="136">
        <v>10</v>
      </c>
      <c r="D116" s="136">
        <v>10</v>
      </c>
      <c r="E116" s="136">
        <v>10</v>
      </c>
      <c r="F116" s="136">
        <v>10</v>
      </c>
      <c r="G116" s="136">
        <v>10</v>
      </c>
      <c r="H116" s="136">
        <v>10</v>
      </c>
      <c r="I116" s="136">
        <v>10</v>
      </c>
      <c r="J116" s="136">
        <v>10</v>
      </c>
      <c r="K116" s="136">
        <v>10</v>
      </c>
      <c r="L116" s="136">
        <v>10</v>
      </c>
    </row>
    <row r="117" spans="1:12" x14ac:dyDescent="0.35">
      <c r="A117" s="26" t="s">
        <v>37</v>
      </c>
      <c r="B117" s="45">
        <f>-PMT(B115,B116,B113*(1-B114))</f>
        <v>49462365.003852062</v>
      </c>
      <c r="C117" s="45">
        <v>55668365</v>
      </c>
      <c r="D117" s="45">
        <v>52168867</v>
      </c>
      <c r="E117" s="45">
        <v>33656329</v>
      </c>
      <c r="F117" s="45">
        <v>78956088</v>
      </c>
      <c r="G117" s="45">
        <f t="shared" ref="G117:L117" si="20">-PMT(G115,G116,G113*(1-G114))</f>
        <v>64431396.815574273</v>
      </c>
      <c r="H117" s="45">
        <f t="shared" si="20"/>
        <v>59179511.518689595</v>
      </c>
      <c r="I117" s="222">
        <f>-PMT(I115,I116,I113*(1-I114))</f>
        <v>46101603.435982801</v>
      </c>
      <c r="J117" s="222">
        <f t="shared" si="20"/>
        <v>89127260.994393691</v>
      </c>
      <c r="K117" s="222">
        <f t="shared" si="20"/>
        <v>51482181.230081894</v>
      </c>
      <c r="L117" s="222">
        <f t="shared" si="20"/>
        <v>92196671.68662025</v>
      </c>
    </row>
    <row r="118" spans="1:12" x14ac:dyDescent="0.35">
      <c r="A118" s="5" t="s">
        <v>665</v>
      </c>
      <c r="B118" s="136">
        <v>30</v>
      </c>
      <c r="C118" s="136">
        <v>30</v>
      </c>
      <c r="D118" s="136">
        <v>30</v>
      </c>
      <c r="E118" s="136">
        <v>30</v>
      </c>
      <c r="F118" s="136">
        <v>30</v>
      </c>
      <c r="G118" s="136">
        <v>30</v>
      </c>
      <c r="H118" s="136">
        <v>30</v>
      </c>
      <c r="I118" s="136">
        <v>30</v>
      </c>
      <c r="J118" s="136">
        <v>30</v>
      </c>
      <c r="K118" s="136">
        <v>30</v>
      </c>
      <c r="L118" s="136">
        <v>30</v>
      </c>
    </row>
    <row r="119" spans="1:12" x14ac:dyDescent="0.35">
      <c r="A119" s="5" t="s">
        <v>357</v>
      </c>
      <c r="B119" s="136"/>
      <c r="C119" s="136"/>
      <c r="D119" s="136"/>
      <c r="E119" s="136"/>
      <c r="F119" s="136"/>
      <c r="G119" s="136"/>
      <c r="H119" s="136"/>
      <c r="I119" s="136"/>
    </row>
    <row r="120" spans="1:12" x14ac:dyDescent="0.35">
      <c r="A120" s="17" t="s">
        <v>358</v>
      </c>
      <c r="B120" s="136"/>
      <c r="C120" s="136"/>
      <c r="D120" s="136"/>
      <c r="E120" s="136"/>
      <c r="F120" s="136"/>
      <c r="G120" s="136"/>
      <c r="H120" s="136"/>
      <c r="I120" s="136"/>
    </row>
    <row r="121" spans="1:12" x14ac:dyDescent="0.35">
      <c r="A121" s="5" t="s">
        <v>38</v>
      </c>
      <c r="B121" s="111">
        <v>0.05</v>
      </c>
      <c r="C121" s="111">
        <v>0.05</v>
      </c>
      <c r="D121" s="111">
        <v>0.05</v>
      </c>
      <c r="E121" s="111">
        <v>0.05</v>
      </c>
      <c r="F121" s="111">
        <v>0.05</v>
      </c>
      <c r="G121" s="111">
        <v>0.05</v>
      </c>
      <c r="H121" s="111">
        <v>0.05</v>
      </c>
      <c r="I121" s="111">
        <v>0.05</v>
      </c>
      <c r="J121" s="111">
        <v>0.05</v>
      </c>
      <c r="K121" s="111">
        <v>0.05</v>
      </c>
      <c r="L121" s="111">
        <v>0.05</v>
      </c>
    </row>
    <row r="122" spans="1:12" x14ac:dyDescent="0.35">
      <c r="A122" s="5" t="s">
        <v>40</v>
      </c>
      <c r="B122" s="128"/>
      <c r="C122" s="128"/>
      <c r="D122" s="128"/>
      <c r="E122" s="128"/>
      <c r="F122" s="128"/>
      <c r="G122" s="128"/>
      <c r="H122" s="128"/>
      <c r="I122" s="128"/>
    </row>
    <row r="123" spans="1:12" x14ac:dyDescent="0.35">
      <c r="A123" s="17" t="s">
        <v>41</v>
      </c>
      <c r="B123" s="46">
        <v>0</v>
      </c>
      <c r="C123" s="46">
        <v>0</v>
      </c>
      <c r="D123" s="46">
        <v>0</v>
      </c>
      <c r="E123" s="46">
        <v>0</v>
      </c>
      <c r="F123" s="46">
        <v>0</v>
      </c>
      <c r="G123" s="46">
        <v>0</v>
      </c>
      <c r="H123" s="46">
        <v>0</v>
      </c>
      <c r="I123" s="46">
        <v>0</v>
      </c>
      <c r="J123" s="46">
        <v>0</v>
      </c>
    </row>
    <row r="124" spans="1:12" x14ac:dyDescent="0.35">
      <c r="A124" s="17" t="s">
        <v>42</v>
      </c>
      <c r="B124" s="46">
        <v>0</v>
      </c>
      <c r="C124" s="46">
        <v>0</v>
      </c>
      <c r="D124" s="46">
        <v>0</v>
      </c>
      <c r="E124" s="46">
        <v>0</v>
      </c>
      <c r="F124" s="46">
        <v>0</v>
      </c>
      <c r="G124" s="46">
        <v>0</v>
      </c>
      <c r="H124" s="46">
        <v>0</v>
      </c>
      <c r="I124" s="46">
        <v>0</v>
      </c>
      <c r="J124" s="46">
        <v>0</v>
      </c>
    </row>
    <row r="125" spans="1:12" x14ac:dyDescent="0.35">
      <c r="A125" s="5" t="s">
        <v>43</v>
      </c>
      <c r="B125" s="134" t="s">
        <v>222</v>
      </c>
      <c r="C125" s="134" t="s">
        <v>222</v>
      </c>
      <c r="D125" s="134" t="s">
        <v>222</v>
      </c>
      <c r="E125" s="134" t="s">
        <v>221</v>
      </c>
      <c r="F125" s="134" t="s">
        <v>222</v>
      </c>
      <c r="G125" s="134" t="s">
        <v>222</v>
      </c>
      <c r="H125" s="134" t="s">
        <v>222</v>
      </c>
      <c r="I125" s="134" t="s">
        <v>222</v>
      </c>
      <c r="J125" s="134" t="s">
        <v>222</v>
      </c>
      <c r="K125" s="134" t="s">
        <v>222</v>
      </c>
      <c r="L125" s="134" t="s">
        <v>222</v>
      </c>
    </row>
    <row r="126" spans="1:12" x14ac:dyDescent="0.35">
      <c r="A126" s="17" t="s">
        <v>637</v>
      </c>
      <c r="B126" s="119"/>
      <c r="C126" s="119"/>
      <c r="D126" s="119"/>
      <c r="E126" s="119"/>
      <c r="F126" s="119"/>
      <c r="G126" s="119"/>
      <c r="H126" s="119"/>
      <c r="I126" s="119"/>
    </row>
    <row r="127" spans="1:12" x14ac:dyDescent="0.35">
      <c r="A127" s="17" t="s">
        <v>693</v>
      </c>
      <c r="B127" s="119"/>
      <c r="C127" s="119"/>
      <c r="D127" s="119"/>
      <c r="E127" s="119"/>
      <c r="F127" s="119"/>
      <c r="G127" s="119"/>
      <c r="H127" s="119"/>
      <c r="I127" s="119"/>
    </row>
    <row r="128" spans="1:12" x14ac:dyDescent="0.35">
      <c r="A128" s="5" t="s">
        <v>44</v>
      </c>
      <c r="B128" s="119"/>
      <c r="C128" s="119"/>
      <c r="D128" s="119"/>
      <c r="E128" s="119"/>
      <c r="F128" s="119"/>
      <c r="G128" s="119"/>
      <c r="H128" s="119"/>
      <c r="I128" s="119"/>
    </row>
    <row r="129" spans="1:12" x14ac:dyDescent="0.35">
      <c r="A129" s="17" t="s">
        <v>41</v>
      </c>
      <c r="B129" s="107">
        <v>7</v>
      </c>
      <c r="C129" s="107">
        <v>7</v>
      </c>
      <c r="D129" s="107">
        <v>7</v>
      </c>
      <c r="E129" s="107">
        <v>7</v>
      </c>
      <c r="F129" s="107">
        <v>7</v>
      </c>
      <c r="G129" s="107">
        <v>7</v>
      </c>
      <c r="H129" s="107">
        <v>7</v>
      </c>
      <c r="I129" s="107">
        <v>7</v>
      </c>
      <c r="J129" s="107">
        <v>7</v>
      </c>
      <c r="K129" s="107">
        <v>7</v>
      </c>
      <c r="L129" s="107">
        <v>7</v>
      </c>
    </row>
    <row r="130" spans="1:12" x14ac:dyDescent="0.35">
      <c r="A130" s="17" t="s">
        <v>42</v>
      </c>
      <c r="B130" s="136">
        <v>20</v>
      </c>
      <c r="C130" s="136">
        <v>20</v>
      </c>
      <c r="D130" s="136">
        <v>20</v>
      </c>
      <c r="E130" s="136">
        <v>20</v>
      </c>
      <c r="F130" s="136">
        <v>20</v>
      </c>
      <c r="G130" s="136">
        <v>20</v>
      </c>
      <c r="H130" s="136">
        <v>20</v>
      </c>
      <c r="I130" s="136">
        <v>20</v>
      </c>
      <c r="J130" s="136">
        <v>20</v>
      </c>
      <c r="K130" s="136">
        <v>20</v>
      </c>
      <c r="L130" s="136">
        <v>20</v>
      </c>
    </row>
    <row r="131" spans="1:12" x14ac:dyDescent="0.35">
      <c r="A131" s="5" t="s">
        <v>638</v>
      </c>
      <c r="B131" s="108">
        <v>3</v>
      </c>
      <c r="C131" s="108">
        <v>3</v>
      </c>
      <c r="D131" s="108">
        <v>3</v>
      </c>
      <c r="E131" s="108">
        <v>3</v>
      </c>
      <c r="F131" s="108">
        <v>3</v>
      </c>
      <c r="G131" s="108">
        <v>3</v>
      </c>
      <c r="H131" s="108">
        <v>3</v>
      </c>
      <c r="I131" s="108">
        <v>3</v>
      </c>
      <c r="J131" s="108">
        <v>3</v>
      </c>
      <c r="K131" s="108">
        <v>3</v>
      </c>
      <c r="L131" s="108">
        <v>3</v>
      </c>
    </row>
    <row r="132" spans="1:12" x14ac:dyDescent="0.35">
      <c r="A132" s="26" t="s">
        <v>31</v>
      </c>
      <c r="B132" s="109">
        <v>0.08</v>
      </c>
      <c r="C132" s="109">
        <v>0.08</v>
      </c>
      <c r="D132" s="109">
        <v>0.08</v>
      </c>
      <c r="E132" s="109">
        <v>0.08</v>
      </c>
      <c r="F132" s="109">
        <v>0.08</v>
      </c>
      <c r="G132" s="109">
        <v>0.08</v>
      </c>
      <c r="H132" s="109">
        <v>0.08</v>
      </c>
      <c r="I132" s="109">
        <v>0.08</v>
      </c>
      <c r="J132" s="109">
        <v>0.08</v>
      </c>
      <c r="K132" s="109">
        <v>0.08</v>
      </c>
      <c r="L132" s="109">
        <v>0.08</v>
      </c>
    </row>
    <row r="133" spans="1:12" x14ac:dyDescent="0.35">
      <c r="A133" s="26" t="s">
        <v>32</v>
      </c>
      <c r="B133" s="109">
        <v>0.6</v>
      </c>
      <c r="C133" s="109">
        <v>0.6</v>
      </c>
      <c r="D133" s="109">
        <v>0.6</v>
      </c>
      <c r="E133" s="109">
        <v>0.6</v>
      </c>
      <c r="F133" s="109">
        <v>0.6</v>
      </c>
      <c r="G133" s="109">
        <v>0.6</v>
      </c>
      <c r="H133" s="109">
        <v>0.6</v>
      </c>
      <c r="I133" s="109">
        <v>0.6</v>
      </c>
      <c r="J133" s="109">
        <v>0.6</v>
      </c>
      <c r="K133" s="109">
        <v>0.6</v>
      </c>
      <c r="L133" s="109">
        <v>0.6</v>
      </c>
    </row>
    <row r="134" spans="1:12" x14ac:dyDescent="0.35">
      <c r="A134" s="26" t="s">
        <v>33</v>
      </c>
      <c r="B134" s="109">
        <v>0.32</v>
      </c>
      <c r="C134" s="109">
        <v>0.32</v>
      </c>
      <c r="D134" s="109">
        <v>0.32</v>
      </c>
      <c r="E134" s="109">
        <v>0.32</v>
      </c>
      <c r="F134" s="109">
        <v>0.32</v>
      </c>
      <c r="G134" s="109">
        <v>0.32</v>
      </c>
      <c r="H134" s="109">
        <v>0.32</v>
      </c>
      <c r="I134" s="109">
        <v>0.32</v>
      </c>
      <c r="J134" s="109">
        <v>0.32</v>
      </c>
      <c r="K134" s="109">
        <v>0.32</v>
      </c>
      <c r="L134" s="109">
        <v>0.32</v>
      </c>
    </row>
    <row r="135" spans="1:12" x14ac:dyDescent="0.35">
      <c r="A135" s="27" t="s">
        <v>666</v>
      </c>
      <c r="B135" s="108">
        <v>0.5</v>
      </c>
      <c r="C135" s="108">
        <v>0.5</v>
      </c>
      <c r="D135" s="108">
        <v>0.5</v>
      </c>
      <c r="E135" s="108">
        <v>0.5</v>
      </c>
      <c r="F135" s="108">
        <v>0.5</v>
      </c>
      <c r="G135" s="108">
        <v>0.5</v>
      </c>
      <c r="H135" s="108">
        <v>0.5</v>
      </c>
      <c r="I135" s="108">
        <v>0.5</v>
      </c>
      <c r="J135" s="108">
        <v>0.5</v>
      </c>
      <c r="K135" s="108">
        <v>0.5</v>
      </c>
      <c r="L135" s="108">
        <v>0.5</v>
      </c>
    </row>
    <row r="136" spans="1:12" x14ac:dyDescent="0.35">
      <c r="A136" s="26" t="s">
        <v>28</v>
      </c>
      <c r="B136" s="109">
        <v>0.5</v>
      </c>
      <c r="C136" s="109">
        <v>0.5</v>
      </c>
      <c r="D136" s="109">
        <v>0.5</v>
      </c>
      <c r="E136" s="109">
        <v>0.5</v>
      </c>
      <c r="F136" s="109">
        <v>0.5</v>
      </c>
      <c r="G136" s="109">
        <v>0.5</v>
      </c>
      <c r="H136" s="109">
        <v>0.5</v>
      </c>
      <c r="I136" s="109">
        <v>0.5</v>
      </c>
      <c r="J136" s="225">
        <v>0.5</v>
      </c>
      <c r="K136" s="225">
        <v>0.5</v>
      </c>
      <c r="L136" s="225">
        <v>0.5</v>
      </c>
    </row>
    <row r="137" spans="1:12" x14ac:dyDescent="0.35">
      <c r="A137" s="26" t="s">
        <v>29</v>
      </c>
      <c r="B137" s="109">
        <v>0.75</v>
      </c>
      <c r="C137" s="109">
        <v>0.75</v>
      </c>
      <c r="D137" s="109">
        <v>0.75</v>
      </c>
      <c r="E137" s="109">
        <v>0.75</v>
      </c>
      <c r="F137" s="109">
        <v>0.75</v>
      </c>
      <c r="G137" s="109">
        <v>0.75</v>
      </c>
      <c r="H137" s="109">
        <v>0.75</v>
      </c>
      <c r="I137" s="109">
        <v>0.75</v>
      </c>
      <c r="J137" s="225">
        <v>0.75</v>
      </c>
      <c r="K137" s="225">
        <v>0.75</v>
      </c>
      <c r="L137" s="225">
        <v>0.75</v>
      </c>
    </row>
    <row r="138" spans="1:12" x14ac:dyDescent="0.35">
      <c r="A138" s="26" t="s">
        <v>30</v>
      </c>
      <c r="B138" s="109">
        <v>1</v>
      </c>
      <c r="C138" s="109">
        <v>1</v>
      </c>
      <c r="D138" s="109">
        <v>1</v>
      </c>
      <c r="E138" s="109">
        <v>1</v>
      </c>
      <c r="F138" s="109">
        <v>1</v>
      </c>
      <c r="G138" s="109">
        <v>1</v>
      </c>
      <c r="H138" s="109">
        <v>1</v>
      </c>
      <c r="I138" s="109">
        <v>1</v>
      </c>
      <c r="J138" s="225">
        <v>1</v>
      </c>
      <c r="K138" s="225">
        <v>1</v>
      </c>
      <c r="L138" s="225">
        <v>1</v>
      </c>
    </row>
    <row r="139" spans="1:12" x14ac:dyDescent="0.35">
      <c r="A139" s="5" t="s">
        <v>45</v>
      </c>
      <c r="B139" s="119">
        <v>0.1</v>
      </c>
      <c r="C139" s="119">
        <v>0.1</v>
      </c>
      <c r="D139" s="119">
        <v>0.1</v>
      </c>
      <c r="E139" s="119">
        <v>0.1</v>
      </c>
      <c r="F139" s="119">
        <v>0.1</v>
      </c>
      <c r="G139" s="119">
        <v>0.1</v>
      </c>
      <c r="H139" s="119">
        <v>0.1</v>
      </c>
      <c r="I139" s="119">
        <v>0.1</v>
      </c>
      <c r="J139" s="225">
        <v>0.1</v>
      </c>
      <c r="K139" s="225">
        <v>0.1</v>
      </c>
      <c r="L139" s="225">
        <v>0.1</v>
      </c>
    </row>
    <row r="140" spans="1:12" x14ac:dyDescent="0.35">
      <c r="A140" s="5" t="s">
        <v>46</v>
      </c>
      <c r="B140" s="119">
        <v>0.35</v>
      </c>
      <c r="C140" s="119">
        <v>0.35</v>
      </c>
      <c r="D140" s="119">
        <v>0.35</v>
      </c>
      <c r="E140" s="119">
        <v>0.35</v>
      </c>
      <c r="F140" s="119">
        <v>0.35</v>
      </c>
      <c r="G140" s="119">
        <v>0.21</v>
      </c>
      <c r="H140" s="119">
        <v>0.21</v>
      </c>
      <c r="I140" s="119">
        <v>0.21</v>
      </c>
      <c r="J140" s="225">
        <v>0.21</v>
      </c>
      <c r="K140" s="225">
        <v>0.21</v>
      </c>
      <c r="L140" s="225">
        <v>0.21</v>
      </c>
    </row>
    <row r="141" spans="1:12" x14ac:dyDescent="0.35">
      <c r="A141" s="5" t="s">
        <v>490</v>
      </c>
      <c r="B141" s="107">
        <v>32.9</v>
      </c>
      <c r="C141" s="107">
        <v>56.7</v>
      </c>
      <c r="D141" s="198">
        <f>D142/116090</f>
        <v>39.73330605564648</v>
      </c>
      <c r="E141" s="198">
        <f>E142/116090</f>
        <v>51.431753999999998</v>
      </c>
      <c r="F141" s="198">
        <f>F142/116090</f>
        <v>15</v>
      </c>
      <c r="G141" s="198">
        <v>32.479999999999997</v>
      </c>
      <c r="H141" s="198">
        <v>31.29</v>
      </c>
      <c r="I141" s="198">
        <v>27.854299999999999</v>
      </c>
      <c r="J141" s="198">
        <v>27.903600000000001</v>
      </c>
      <c r="K141" s="198">
        <v>25.5748</v>
      </c>
      <c r="L141" s="198">
        <v>25.575099999999999</v>
      </c>
    </row>
    <row r="142" spans="1:12" x14ac:dyDescent="0.35">
      <c r="A142" s="5" t="s">
        <v>47</v>
      </c>
      <c r="B142" s="114">
        <f>B141*116090</f>
        <v>3819361</v>
      </c>
      <c r="C142" s="114">
        <f>C141*116090</f>
        <v>6582303</v>
      </c>
      <c r="D142" s="114">
        <f>'Supporting Calculations'!B396</f>
        <v>4612639.5</v>
      </c>
      <c r="E142" s="114">
        <f>'Supporting Calculations'!C396</f>
        <v>5970712.3218599996</v>
      </c>
      <c r="F142" s="114">
        <f>'Supporting Calculations'!B448</f>
        <v>1741350</v>
      </c>
      <c r="G142" s="114">
        <f>'Supporting Calculations'!B463</f>
        <v>3770603.1999999997</v>
      </c>
      <c r="H142" s="114">
        <f>'Supporting Calculations'!C463</f>
        <v>3632456.1</v>
      </c>
      <c r="I142" s="114">
        <f>'Supporting Calculations'!B478</f>
        <v>3233605.6869999999</v>
      </c>
      <c r="J142" s="82">
        <f>'Supporting Calculations'!C478</f>
        <v>3239328.9240000001</v>
      </c>
      <c r="K142" s="82">
        <f>'Supporting Calculations'!D478</f>
        <v>2968978.5320000001</v>
      </c>
      <c r="L142" s="82">
        <f>'Supporting Calculations'!E478</f>
        <v>2969013.3589999997</v>
      </c>
    </row>
    <row r="143" spans="1:12" x14ac:dyDescent="0.35">
      <c r="A143" s="5" t="s">
        <v>659</v>
      </c>
      <c r="B143" s="229">
        <v>7884</v>
      </c>
      <c r="C143" s="113">
        <v>7884</v>
      </c>
      <c r="D143" s="113">
        <v>7884</v>
      </c>
      <c r="E143" s="113">
        <v>7884</v>
      </c>
      <c r="F143" s="113">
        <v>7884</v>
      </c>
      <c r="G143" s="113">
        <v>7884</v>
      </c>
      <c r="H143" s="113">
        <v>7884</v>
      </c>
      <c r="I143" s="113">
        <v>7884</v>
      </c>
      <c r="J143" s="113">
        <v>7884</v>
      </c>
      <c r="K143" s="113">
        <v>7884</v>
      </c>
      <c r="L143" s="113">
        <v>7884</v>
      </c>
    </row>
    <row r="144" spans="1:12" x14ac:dyDescent="0.35">
      <c r="A144" s="5" t="s">
        <v>117</v>
      </c>
      <c r="B144" s="121">
        <f>B16</f>
        <v>2011</v>
      </c>
      <c r="C144" s="121">
        <f t="shared" ref="C144:H144" si="21">C16</f>
        <v>2014</v>
      </c>
      <c r="D144" s="121">
        <f t="shared" si="21"/>
        <v>2014</v>
      </c>
      <c r="E144" s="121">
        <f t="shared" si="21"/>
        <v>2014</v>
      </c>
      <c r="F144" s="121">
        <f t="shared" si="21"/>
        <v>2014</v>
      </c>
      <c r="G144" s="121">
        <f t="shared" si="21"/>
        <v>2016</v>
      </c>
      <c r="H144" s="121">
        <f t="shared" si="21"/>
        <v>2016</v>
      </c>
      <c r="I144" s="121">
        <f t="shared" ref="I144:L144" si="22">I16</f>
        <v>2016</v>
      </c>
      <c r="J144" s="121">
        <f t="shared" si="22"/>
        <v>2016</v>
      </c>
      <c r="K144" s="121">
        <f t="shared" si="22"/>
        <v>2016</v>
      </c>
      <c r="L144" s="121">
        <f t="shared" si="22"/>
        <v>2016</v>
      </c>
    </row>
    <row r="145" spans="1:12" x14ac:dyDescent="0.35">
      <c r="A145" s="5" t="s">
        <v>218</v>
      </c>
      <c r="B145" s="120">
        <f>B11</f>
        <v>80</v>
      </c>
      <c r="C145" s="120">
        <f t="shared" ref="C145:H145" si="23">C11</f>
        <v>84.45</v>
      </c>
      <c r="D145" s="120">
        <f t="shared" si="23"/>
        <v>84.45</v>
      </c>
      <c r="E145" s="120">
        <f t="shared" si="23"/>
        <v>181.1764705882353</v>
      </c>
      <c r="F145" s="120">
        <f t="shared" si="23"/>
        <v>84.45</v>
      </c>
      <c r="G145" s="120">
        <f t="shared" si="23"/>
        <v>71.260000000000005</v>
      </c>
      <c r="H145" s="120">
        <f t="shared" si="23"/>
        <v>71.260000000000005</v>
      </c>
      <c r="I145" s="120">
        <f t="shared" ref="I145:L145" si="24">I11</f>
        <v>81.37</v>
      </c>
      <c r="J145" s="120">
        <f t="shared" si="24"/>
        <v>81.37</v>
      </c>
      <c r="K145" s="120">
        <f t="shared" si="24"/>
        <v>81.37</v>
      </c>
      <c r="L145" s="120">
        <f t="shared" si="24"/>
        <v>81.37</v>
      </c>
    </row>
    <row r="146" spans="1:12" x14ac:dyDescent="0.35">
      <c r="A146" s="5" t="s">
        <v>105</v>
      </c>
      <c r="B146" s="115">
        <v>0</v>
      </c>
      <c r="C146" s="115">
        <v>0</v>
      </c>
      <c r="D146" s="115">
        <v>0</v>
      </c>
      <c r="E146" s="115">
        <v>0</v>
      </c>
      <c r="F146" s="115">
        <v>0</v>
      </c>
      <c r="G146" s="115">
        <v>0</v>
      </c>
      <c r="H146" s="115">
        <v>0</v>
      </c>
      <c r="I146" s="115">
        <v>0</v>
      </c>
      <c r="J146" s="115">
        <v>0</v>
      </c>
      <c r="K146" s="115">
        <v>0</v>
      </c>
      <c r="L146" s="115">
        <v>0</v>
      </c>
    </row>
    <row r="147" spans="1:12" x14ac:dyDescent="0.35">
      <c r="A147" s="5" t="s">
        <v>48</v>
      </c>
      <c r="B147" s="112">
        <v>43.93</v>
      </c>
      <c r="C147" s="112">
        <f>'Supporting Calculations'!B428</f>
        <v>36.679300542682398</v>
      </c>
      <c r="D147" s="112">
        <f>'Supporting Calculations'!B390</f>
        <v>42.852471778902306</v>
      </c>
      <c r="E147" s="112">
        <f>'Supporting Calculations'!C390</f>
        <v>35.231286071151693</v>
      </c>
      <c r="F147" s="112">
        <f>'Supporting Calculations'!B444</f>
        <v>50.05340683952106</v>
      </c>
      <c r="G147" s="112">
        <f>'Supporting Calculations'!B459</f>
        <v>21.448875872168149</v>
      </c>
      <c r="H147" s="112">
        <f>'Supporting Calculations'!C459</f>
        <v>21.276595744680854</v>
      </c>
      <c r="I147" s="112">
        <f>'Supporting Calculations'!B474</f>
        <v>67.103109656301143</v>
      </c>
      <c r="J147" s="112">
        <f>'Supporting Calculations'!C474</f>
        <v>93.031268843138946</v>
      </c>
      <c r="K147" s="112">
        <f>'Supporting Calculations'!D474</f>
        <v>70.63485226979067</v>
      </c>
      <c r="L147" s="112">
        <f>'Supporting Calculations'!E474</f>
        <v>98.802653113963316</v>
      </c>
    </row>
    <row r="148" spans="1:12" x14ac:dyDescent="0.35">
      <c r="A148" s="5" t="s">
        <v>69</v>
      </c>
      <c r="B148" s="112">
        <f>B17</f>
        <v>5.0999999999999996</v>
      </c>
      <c r="C148" s="112">
        <f t="shared" ref="C148:H148" si="25">C17</f>
        <v>4.2580999999999998</v>
      </c>
      <c r="D148" s="112">
        <f t="shared" si="25"/>
        <v>4.9747434488127684</v>
      </c>
      <c r="E148" s="112">
        <f t="shared" si="25"/>
        <v>4.09</v>
      </c>
      <c r="F148" s="112">
        <f t="shared" si="25"/>
        <v>5.8106999999999998</v>
      </c>
      <c r="G148" s="112">
        <f t="shared" si="25"/>
        <v>2.4900000000000002</v>
      </c>
      <c r="H148" s="112">
        <f t="shared" si="25"/>
        <v>2.4700000000000002</v>
      </c>
      <c r="I148" s="112">
        <f t="shared" ref="I148:L148" si="26">I17</f>
        <v>7.79</v>
      </c>
      <c r="J148" s="112">
        <f t="shared" si="26"/>
        <v>10.8</v>
      </c>
      <c r="K148" s="112">
        <f t="shared" si="26"/>
        <v>8.1999999999999993</v>
      </c>
      <c r="L148" s="112">
        <f t="shared" si="26"/>
        <v>11.47</v>
      </c>
    </row>
    <row r="149" spans="1:12" x14ac:dyDescent="0.35">
      <c r="A149" s="21"/>
    </row>
    <row r="150" spans="1:12" x14ac:dyDescent="0.35">
      <c r="A150" s="17"/>
    </row>
    <row r="151" spans="1:12" x14ac:dyDescent="0.35">
      <c r="A151" s="17"/>
    </row>
    <row r="152" spans="1:12" x14ac:dyDescent="0.35">
      <c r="A152" s="17"/>
    </row>
    <row r="153" spans="1:12" x14ac:dyDescent="0.35">
      <c r="A153" s="17"/>
    </row>
    <row r="154" spans="1:12" x14ac:dyDescent="0.35">
      <c r="A154" s="17"/>
    </row>
    <row r="155" spans="1:12" x14ac:dyDescent="0.35">
      <c r="A155" s="17"/>
    </row>
    <row r="156" spans="1:12" x14ac:dyDescent="0.35">
      <c r="A156" s="17"/>
    </row>
  </sheetData>
  <hyperlinks>
    <hyperlink ref="C6" r:id="rId1" xr:uid="{3D8B2321-973F-4D22-8278-CD5FBC254657}"/>
    <hyperlink ref="E6" r:id="rId2" xr:uid="{3F2DE5D6-F377-47FF-87C1-C591F47C73CE}"/>
    <hyperlink ref="G6" r:id="rId3" xr:uid="{8D6B140E-4A38-4D41-AA71-99E7F938BE8C}"/>
    <hyperlink ref="H6" r:id="rId4" xr:uid="{DDBF3100-8C55-4A5B-91A2-3DB508557AED}"/>
    <hyperlink ref="B6" r:id="rId5" xr:uid="{8EA29B72-8827-4B7E-B220-299A304C991A}"/>
    <hyperlink ref="F6" r:id="rId6" xr:uid="{3E691177-5971-41A1-9153-AE05DEA49432}"/>
    <hyperlink ref="I6" r:id="rId7" xr:uid="{91AD2665-24BE-4476-A36F-AAE92C5522C8}"/>
    <hyperlink ref="J6" r:id="rId8" xr:uid="{20240B35-349B-43F0-8958-E3815DB72D01}"/>
    <hyperlink ref="K6" r:id="rId9" xr:uid="{1D938311-29B1-426F-A3AE-4066D50A3E4E}"/>
    <hyperlink ref="L6" r:id="rId10" xr:uid="{36AD3518-B852-494D-9198-CE49D0F7E207}"/>
  </hyperlinks>
  <pageMargins left="0.7" right="0.7" top="0.75" bottom="0.75" header="0.3" footer="0.3"/>
  <pageSetup orientation="portrait" r:id="rId11"/>
  <ignoredErrors>
    <ignoredError sqref="F103:H103 F39:H41" formulaRange="1"/>
    <ignoredError sqref="E104 E113 E37 E46 E48:E49 E53" formula="1"/>
  </ignoredErrors>
  <legacyDrawing r:id="rId1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58DF-33AE-416A-80C5-E2B5A327DCEF}">
  <dimension ref="A1:C115"/>
  <sheetViews>
    <sheetView workbookViewId="0">
      <pane xSplit="1" ySplit="7" topLeftCell="B8" activePane="bottomRight" state="frozen"/>
      <selection pane="topRight" activeCell="B1" sqref="B1"/>
      <selection pane="bottomLeft" activeCell="A8" sqref="A8"/>
      <selection pane="bottomRight" activeCell="C12" sqref="C12"/>
    </sheetView>
  </sheetViews>
  <sheetFormatPr defaultRowHeight="14.5" x14ac:dyDescent="0.35"/>
  <cols>
    <col min="1" max="1" width="60.453125" style="1" customWidth="1"/>
    <col min="2" max="3" width="55.1796875" customWidth="1"/>
  </cols>
  <sheetData>
    <row r="1" spans="1:3" ht="18.5" x14ac:dyDescent="0.45">
      <c r="A1" s="170" t="s">
        <v>546</v>
      </c>
      <c r="B1" s="9"/>
      <c r="C1" s="9"/>
    </row>
    <row r="2" spans="1:3" ht="69.75" customHeight="1" x14ac:dyDescent="0.35">
      <c r="A2" s="4" t="s">
        <v>0</v>
      </c>
      <c r="B2" s="13" t="s">
        <v>686</v>
      </c>
      <c r="C2" s="13" t="s">
        <v>687</v>
      </c>
    </row>
    <row r="3" spans="1:3" s="11" customFormat="1" ht="48.75" customHeight="1" x14ac:dyDescent="0.35">
      <c r="A3" s="4" t="s">
        <v>1</v>
      </c>
      <c r="B3" s="13" t="s">
        <v>392</v>
      </c>
      <c r="C3" s="13" t="s">
        <v>392</v>
      </c>
    </row>
    <row r="4" spans="1:3" x14ac:dyDescent="0.35">
      <c r="A4" s="3" t="s">
        <v>2</v>
      </c>
      <c r="B4" s="7">
        <v>2017</v>
      </c>
      <c r="C4" s="7">
        <v>2017</v>
      </c>
    </row>
    <row r="5" spans="1:3" x14ac:dyDescent="0.35">
      <c r="A5" s="3" t="s">
        <v>225</v>
      </c>
      <c r="B5" s="144" t="s">
        <v>393</v>
      </c>
      <c r="C5" s="144" t="s">
        <v>393</v>
      </c>
    </row>
    <row r="6" spans="1:3" ht="29" x14ac:dyDescent="0.35">
      <c r="A6" s="4" t="s">
        <v>3</v>
      </c>
      <c r="B6" s="8" t="s">
        <v>409</v>
      </c>
      <c r="C6" s="8" t="s">
        <v>409</v>
      </c>
    </row>
    <row r="7" spans="1:3" x14ac:dyDescent="0.35">
      <c r="A7" s="1" t="s">
        <v>195</v>
      </c>
      <c r="B7" s="6" t="s">
        <v>689</v>
      </c>
      <c r="C7" s="6" t="s">
        <v>688</v>
      </c>
    </row>
    <row r="8" spans="1:3" x14ac:dyDescent="0.35">
      <c r="A8" s="36" t="s">
        <v>433</v>
      </c>
    </row>
    <row r="9" spans="1:3" x14ac:dyDescent="0.35">
      <c r="A9" s="4" t="s">
        <v>4</v>
      </c>
      <c r="B9" s="9" t="s">
        <v>642</v>
      </c>
      <c r="C9" s="9" t="s">
        <v>642</v>
      </c>
    </row>
    <row r="10" spans="1:3" x14ac:dyDescent="0.35">
      <c r="A10" s="4" t="s">
        <v>9</v>
      </c>
      <c r="B10" s="13" t="s">
        <v>394</v>
      </c>
      <c r="C10" s="13" t="s">
        <v>395</v>
      </c>
    </row>
    <row r="11" spans="1:3" x14ac:dyDescent="0.35">
      <c r="A11" s="4" t="s">
        <v>237</v>
      </c>
      <c r="B11" s="39">
        <f>0.1942*2000</f>
        <v>388.40000000000003</v>
      </c>
      <c r="C11" s="39">
        <f>0.2795*2000</f>
        <v>559</v>
      </c>
    </row>
    <row r="12" spans="1:3" x14ac:dyDescent="0.35">
      <c r="A12" s="5" t="s">
        <v>11</v>
      </c>
      <c r="B12" s="9">
        <v>788</v>
      </c>
      <c r="C12" s="275">
        <v>913.27</v>
      </c>
    </row>
    <row r="13" spans="1:3" x14ac:dyDescent="0.35">
      <c r="A13" s="5" t="s">
        <v>643</v>
      </c>
      <c r="B13" s="163">
        <v>330</v>
      </c>
      <c r="C13" s="163">
        <v>330</v>
      </c>
    </row>
    <row r="14" spans="1:3" x14ac:dyDescent="0.35">
      <c r="A14" s="5" t="s">
        <v>632</v>
      </c>
      <c r="B14" s="124">
        <v>0.9</v>
      </c>
      <c r="C14" s="124">
        <v>0.9</v>
      </c>
    </row>
    <row r="15" spans="1:3" x14ac:dyDescent="0.35">
      <c r="A15" s="5" t="s">
        <v>432</v>
      </c>
      <c r="B15" s="123">
        <v>188</v>
      </c>
      <c r="C15" s="123">
        <v>168</v>
      </c>
    </row>
    <row r="16" spans="1:3" x14ac:dyDescent="0.35">
      <c r="A16" s="4" t="s">
        <v>20</v>
      </c>
      <c r="B16" s="13">
        <v>2014</v>
      </c>
      <c r="C16" s="13">
        <v>2014</v>
      </c>
    </row>
    <row r="17" spans="1:3" x14ac:dyDescent="0.35">
      <c r="A17" s="4" t="s">
        <v>458</v>
      </c>
      <c r="B17" s="92">
        <f>B18*101993/117150</f>
        <v>3.3299430337174565</v>
      </c>
      <c r="C17" s="92">
        <f>C18*101993/117150</f>
        <v>4.1774034366197181</v>
      </c>
    </row>
    <row r="18" spans="1:3" x14ac:dyDescent="0.35">
      <c r="A18" s="4" t="s">
        <v>160</v>
      </c>
      <c r="B18" s="92">
        <v>3.8248000000000002</v>
      </c>
      <c r="C18" s="92">
        <v>4.7981999999999996</v>
      </c>
    </row>
    <row r="19" spans="1:3" x14ac:dyDescent="0.35">
      <c r="A19" s="4"/>
      <c r="B19" s="13"/>
      <c r="C19" s="13"/>
    </row>
    <row r="20" spans="1:3" x14ac:dyDescent="0.35">
      <c r="A20" s="36" t="s">
        <v>212</v>
      </c>
      <c r="B20" s="93"/>
      <c r="C20" s="93"/>
    </row>
    <row r="21" spans="1:3" x14ac:dyDescent="0.35">
      <c r="A21" s="17" t="s">
        <v>396</v>
      </c>
      <c r="B21" s="45"/>
      <c r="C21" s="45"/>
    </row>
    <row r="22" spans="1:3" x14ac:dyDescent="0.35">
      <c r="A22" s="20" t="s">
        <v>397</v>
      </c>
      <c r="B22" s="46"/>
      <c r="C22" s="46"/>
    </row>
    <row r="23" spans="1:3" x14ac:dyDescent="0.35">
      <c r="A23" s="20" t="s">
        <v>398</v>
      </c>
      <c r="B23" s="46"/>
      <c r="C23" s="46"/>
    </row>
    <row r="24" spans="1:3" x14ac:dyDescent="0.35">
      <c r="A24" s="20" t="s">
        <v>167</v>
      </c>
    </row>
    <row r="25" spans="1:3" x14ac:dyDescent="0.35">
      <c r="A25" s="20" t="s">
        <v>399</v>
      </c>
      <c r="B25" s="46">
        <v>158505157</v>
      </c>
      <c r="C25" s="46">
        <v>127644399</v>
      </c>
    </row>
    <row r="26" spans="1:3" x14ac:dyDescent="0.35">
      <c r="A26" s="20" t="s">
        <v>400</v>
      </c>
      <c r="B26" s="46">
        <v>4336156</v>
      </c>
      <c r="C26" s="46">
        <v>4284441</v>
      </c>
    </row>
    <row r="27" spans="1:3" x14ac:dyDescent="0.35">
      <c r="A27" s="20" t="s">
        <v>131</v>
      </c>
      <c r="B27" s="46">
        <v>7542577</v>
      </c>
      <c r="C27" s="46">
        <v>6755390</v>
      </c>
    </row>
    <row r="28" spans="1:3" x14ac:dyDescent="0.35">
      <c r="A28" s="20" t="s">
        <v>401</v>
      </c>
      <c r="B28" s="46">
        <v>2739102</v>
      </c>
      <c r="C28" s="46">
        <v>2456664</v>
      </c>
    </row>
    <row r="29" spans="1:3" x14ac:dyDescent="0.35">
      <c r="A29" s="47" t="s">
        <v>133</v>
      </c>
      <c r="B29" s="94">
        <f>SUM(B21:B28)</f>
        <v>173122992</v>
      </c>
      <c r="C29" s="94">
        <f>SUM(C21:C28)</f>
        <v>141140894</v>
      </c>
    </row>
    <row r="30" spans="1:3" x14ac:dyDescent="0.35">
      <c r="A30" s="36" t="s">
        <v>298</v>
      </c>
      <c r="B30" s="94"/>
      <c r="C30" s="94"/>
    </row>
    <row r="31" spans="1:3" x14ac:dyDescent="0.35">
      <c r="A31" s="20" t="s">
        <v>238</v>
      </c>
      <c r="B31" s="125">
        <f>0.04*SUM(B25:B26)</f>
        <v>6513652.5200000005</v>
      </c>
      <c r="C31" s="125">
        <f>0.04*SUM(C25:C26)</f>
        <v>5277153.6000000006</v>
      </c>
    </row>
    <row r="32" spans="1:3" x14ac:dyDescent="0.35">
      <c r="A32" s="20" t="s">
        <v>164</v>
      </c>
      <c r="B32" s="125">
        <f>0.09*SUM(B25:B26)</f>
        <v>14655718.17</v>
      </c>
      <c r="C32" s="125">
        <f>0.09*SUM(C25:C26)</f>
        <v>11873595.6</v>
      </c>
    </row>
    <row r="33" spans="1:3" x14ac:dyDescent="0.35">
      <c r="A33" s="20" t="s">
        <v>562</v>
      </c>
      <c r="B33" s="125">
        <f>0.045*SUM(B25:B26)</f>
        <v>7327859.085</v>
      </c>
      <c r="C33" s="125">
        <f>0.045*SUM(C25:C26)</f>
        <v>5936797.7999999998</v>
      </c>
    </row>
    <row r="34" spans="1:3" x14ac:dyDescent="0.35">
      <c r="A34" s="47" t="s">
        <v>300</v>
      </c>
      <c r="B34" s="126">
        <f>SUM(B29:B33)</f>
        <v>201620221.77500001</v>
      </c>
      <c r="C34" s="126">
        <f>SUM(C29:C33)</f>
        <v>164228441</v>
      </c>
    </row>
    <row r="35" spans="1:3" x14ac:dyDescent="0.35">
      <c r="A35" s="47" t="s">
        <v>296</v>
      </c>
      <c r="B35" s="125"/>
      <c r="C35" s="125"/>
    </row>
    <row r="36" spans="1:3" x14ac:dyDescent="0.35">
      <c r="A36" s="20" t="s">
        <v>633</v>
      </c>
      <c r="B36" s="46">
        <f>B34*0.1</f>
        <v>20162022.177500002</v>
      </c>
      <c r="C36" s="46">
        <f>C34*0.1</f>
        <v>16422844.100000001</v>
      </c>
    </row>
    <row r="37" spans="1:3" x14ac:dyDescent="0.35">
      <c r="A37" s="20" t="s">
        <v>166</v>
      </c>
      <c r="B37" s="46">
        <f>B34*0.1</f>
        <v>20162022.177500002</v>
      </c>
      <c r="C37" s="46">
        <f>C34*0.1</f>
        <v>16422844.100000001</v>
      </c>
    </row>
    <row r="38" spans="1:3" x14ac:dyDescent="0.35">
      <c r="A38" s="20" t="s">
        <v>431</v>
      </c>
      <c r="B38" s="46">
        <f>B34*0.2</f>
        <v>40324044.355000004</v>
      </c>
      <c r="C38" s="46">
        <f>C34*0.2</f>
        <v>32845688.200000003</v>
      </c>
    </row>
    <row r="39" spans="1:3" x14ac:dyDescent="0.35">
      <c r="A39" s="20" t="s">
        <v>137</v>
      </c>
      <c r="B39" s="46">
        <f>B34*0.1</f>
        <v>20162022.177500002</v>
      </c>
      <c r="C39" s="46">
        <f>C34*0.1</f>
        <v>16422844.100000001</v>
      </c>
    </row>
    <row r="40" spans="1:3" x14ac:dyDescent="0.35">
      <c r="A40" s="20" t="s">
        <v>656</v>
      </c>
      <c r="B40" s="46">
        <f>B34*0.1</f>
        <v>20162022.177500002</v>
      </c>
      <c r="C40" s="46">
        <f>C34*0.1</f>
        <v>16422844.100000001</v>
      </c>
    </row>
    <row r="41" spans="1:3" x14ac:dyDescent="0.35">
      <c r="A41" s="47" t="s">
        <v>297</v>
      </c>
      <c r="B41" s="94">
        <f>SUM(B36:B40)</f>
        <v>120972133.06500003</v>
      </c>
      <c r="C41" s="94">
        <f>SUM(C36:C40)</f>
        <v>98537064.599999994</v>
      </c>
    </row>
    <row r="42" spans="1:3" x14ac:dyDescent="0.35">
      <c r="A42" s="47" t="s">
        <v>39</v>
      </c>
      <c r="B42" s="95">
        <f>SUM(B34,B41)</f>
        <v>322592354.84000003</v>
      </c>
      <c r="C42" s="95">
        <f>SUM(C34,C41)</f>
        <v>262765505.59999999</v>
      </c>
    </row>
    <row r="43" spans="1:3" x14ac:dyDescent="0.35">
      <c r="A43" s="20" t="s">
        <v>190</v>
      </c>
      <c r="B43" s="46">
        <v>1848000</v>
      </c>
      <c r="C43" s="46">
        <v>1848000</v>
      </c>
    </row>
    <row r="44" spans="1:3" x14ac:dyDescent="0.35">
      <c r="A44" s="20" t="s">
        <v>90</v>
      </c>
      <c r="B44" s="46">
        <f>B80*B42</f>
        <v>16129617.742000002</v>
      </c>
      <c r="C44" s="46">
        <f>C80*C42</f>
        <v>13138275.280000001</v>
      </c>
    </row>
    <row r="45" spans="1:3" x14ac:dyDescent="0.35">
      <c r="A45" s="47" t="s">
        <v>202</v>
      </c>
      <c r="B45" s="95">
        <f>SUM(B42:B44)</f>
        <v>340569972.58200002</v>
      </c>
      <c r="C45" s="95">
        <f>SUM(C42:C44)</f>
        <v>277751780.88</v>
      </c>
    </row>
    <row r="46" spans="1:3" x14ac:dyDescent="0.35">
      <c r="A46" s="47" t="s">
        <v>348</v>
      </c>
      <c r="B46" s="95">
        <f>B45+B40</f>
        <v>360731994.75950003</v>
      </c>
      <c r="C46" s="95">
        <f>C45+C40</f>
        <v>294174624.98000002</v>
      </c>
    </row>
    <row r="47" spans="1:3" x14ac:dyDescent="0.35">
      <c r="A47" s="35"/>
      <c r="B47" s="81"/>
      <c r="C47" s="81"/>
    </row>
    <row r="48" spans="1:3" x14ac:dyDescent="0.35">
      <c r="A48" s="37" t="s">
        <v>52</v>
      </c>
      <c r="B48" s="81"/>
      <c r="C48" s="81"/>
    </row>
    <row r="49" spans="1:3" x14ac:dyDescent="0.35">
      <c r="A49" s="35" t="s">
        <v>406</v>
      </c>
      <c r="B49" s="81"/>
      <c r="C49" s="81"/>
    </row>
    <row r="50" spans="1:3" x14ac:dyDescent="0.35">
      <c r="A50" s="20" t="s">
        <v>168</v>
      </c>
      <c r="B50" s="45">
        <f>100300000/B14</f>
        <v>111444444.44444445</v>
      </c>
      <c r="C50" s="45">
        <f>167350000/C14</f>
        <v>185944444.44444445</v>
      </c>
    </row>
    <row r="51" spans="1:3" x14ac:dyDescent="0.35">
      <c r="A51" s="20" t="s">
        <v>402</v>
      </c>
      <c r="B51" s="46"/>
      <c r="C51" s="46"/>
    </row>
    <row r="52" spans="1:3" x14ac:dyDescent="0.35">
      <c r="A52" s="20" t="s">
        <v>403</v>
      </c>
      <c r="B52" s="45">
        <f>8400000/B14</f>
        <v>9333333.333333334</v>
      </c>
      <c r="C52" s="45">
        <f>8020000/C14</f>
        <v>8911111.1111111101</v>
      </c>
    </row>
    <row r="53" spans="1:3" x14ac:dyDescent="0.35">
      <c r="A53" s="20" t="s">
        <v>404</v>
      </c>
      <c r="B53" s="46">
        <f>1630000/B14</f>
        <v>1811111.111111111</v>
      </c>
      <c r="C53" s="46">
        <f>1560000/C14</f>
        <v>1733333.3333333333</v>
      </c>
    </row>
    <row r="54" spans="1:3" x14ac:dyDescent="0.35">
      <c r="A54" s="20" t="s">
        <v>122</v>
      </c>
      <c r="B54" s="46">
        <f>(4170000+5420000)/B14</f>
        <v>10655555.555555556</v>
      </c>
      <c r="C54" s="46">
        <f>(4130000+5220000)/C14</f>
        <v>10388888.888888888</v>
      </c>
    </row>
    <row r="55" spans="1:3" x14ac:dyDescent="0.35">
      <c r="A55" s="20" t="s">
        <v>62</v>
      </c>
      <c r="B55" s="46">
        <f>3700000/B14</f>
        <v>4111111.111111111</v>
      </c>
      <c r="C55" s="46">
        <f>3400000/C14</f>
        <v>3777777.7777777775</v>
      </c>
    </row>
    <row r="56" spans="1:3" x14ac:dyDescent="0.35">
      <c r="A56" s="20" t="s">
        <v>405</v>
      </c>
      <c r="B56" s="46">
        <f>5570000/B14</f>
        <v>6188888.888888889</v>
      </c>
      <c r="C56" s="46">
        <f>4330000/C14</f>
        <v>4811111.111111111</v>
      </c>
    </row>
    <row r="57" spans="1:3" x14ac:dyDescent="0.35">
      <c r="A57" s="20" t="s">
        <v>57</v>
      </c>
      <c r="B57" s="46">
        <f>1610000/B14</f>
        <v>1788888.8888888888</v>
      </c>
      <c r="C57" s="46">
        <f>1900000/C14</f>
        <v>2111111.111111111</v>
      </c>
    </row>
    <row r="58" spans="1:3" x14ac:dyDescent="0.35">
      <c r="A58" s="158" t="s">
        <v>407</v>
      </c>
      <c r="B58" s="46"/>
      <c r="C58" s="46"/>
    </row>
    <row r="59" spans="1:3" x14ac:dyDescent="0.35">
      <c r="A59" s="20" t="s">
        <v>408</v>
      </c>
      <c r="B59" s="46">
        <f>-3440000/B14</f>
        <v>-3822222.222222222</v>
      </c>
      <c r="C59" s="46">
        <f>-2630000/C14</f>
        <v>-2922222.222222222</v>
      </c>
    </row>
    <row r="60" spans="1:3" x14ac:dyDescent="0.35">
      <c r="A60" s="20" t="s">
        <v>664</v>
      </c>
      <c r="B60" s="45"/>
      <c r="C60" s="45"/>
    </row>
    <row r="61" spans="1:3" x14ac:dyDescent="0.35">
      <c r="A61" s="35" t="s">
        <v>51</v>
      </c>
      <c r="B61" s="142"/>
      <c r="C61" s="142"/>
    </row>
    <row r="62" spans="1:3" x14ac:dyDescent="0.35">
      <c r="A62" s="20" t="s">
        <v>68</v>
      </c>
      <c r="B62" s="46">
        <v>2722772</v>
      </c>
      <c r="C62" s="46">
        <v>2299324</v>
      </c>
    </row>
    <row r="63" spans="1:3" x14ac:dyDescent="0.35">
      <c r="A63" s="20" t="s">
        <v>353</v>
      </c>
      <c r="B63" s="84">
        <f>B62*0.9</f>
        <v>2450494.8000000003</v>
      </c>
      <c r="C63" s="84">
        <f>C62*0.9</f>
        <v>2069391.6</v>
      </c>
    </row>
    <row r="64" spans="1:3" x14ac:dyDescent="0.35">
      <c r="A64" s="20" t="s">
        <v>360</v>
      </c>
      <c r="B64" s="46">
        <f>0.03*SUM(B25:B26)</f>
        <v>4885239.3899999997</v>
      </c>
      <c r="C64" s="46">
        <f>0.03*SUM(C25:C26)</f>
        <v>3957865.1999999997</v>
      </c>
    </row>
    <row r="65" spans="1:3" x14ac:dyDescent="0.35">
      <c r="A65" s="20" t="s">
        <v>217</v>
      </c>
      <c r="B65" s="138">
        <f>B42*0.007</f>
        <v>2258146.4838800002</v>
      </c>
      <c r="C65" s="138">
        <f>C42*0.007</f>
        <v>1839358.5392</v>
      </c>
    </row>
    <row r="66" spans="1:3" x14ac:dyDescent="0.35">
      <c r="A66" s="35" t="s">
        <v>155</v>
      </c>
      <c r="B66" s="138">
        <v>11400000</v>
      </c>
      <c r="C66" s="138">
        <v>9300000</v>
      </c>
    </row>
    <row r="67" spans="1:3" x14ac:dyDescent="0.35">
      <c r="A67" s="35" t="s">
        <v>156</v>
      </c>
      <c r="B67" s="138">
        <v>6100000</v>
      </c>
      <c r="C67" s="138">
        <v>5000000</v>
      </c>
    </row>
    <row r="68" spans="1:3" x14ac:dyDescent="0.35">
      <c r="A68" s="35" t="s">
        <v>157</v>
      </c>
      <c r="B68" s="138">
        <v>28100000</v>
      </c>
      <c r="C68" s="138">
        <v>23000000</v>
      </c>
    </row>
    <row r="69" spans="1:3" x14ac:dyDescent="0.35">
      <c r="A69" s="35"/>
      <c r="B69" s="81"/>
      <c r="C69" s="81"/>
    </row>
    <row r="70" spans="1:3" x14ac:dyDescent="0.35">
      <c r="A70" s="35"/>
      <c r="B70" s="81"/>
      <c r="C70" s="81"/>
    </row>
    <row r="71" spans="1:3" x14ac:dyDescent="0.35">
      <c r="A71" s="37" t="s">
        <v>50</v>
      </c>
      <c r="B71" s="81"/>
      <c r="C71" s="81"/>
    </row>
    <row r="72" spans="1:3" x14ac:dyDescent="0.35">
      <c r="A72" s="4" t="s">
        <v>39</v>
      </c>
      <c r="B72" s="45">
        <f>B42</f>
        <v>322592354.84000003</v>
      </c>
      <c r="C72" s="45">
        <f>C42</f>
        <v>262765505.59999999</v>
      </c>
    </row>
    <row r="73" spans="1:3" x14ac:dyDescent="0.35">
      <c r="A73" s="27" t="s">
        <v>34</v>
      </c>
      <c r="B73" s="118">
        <v>0.4</v>
      </c>
      <c r="C73" s="118">
        <v>0.4</v>
      </c>
    </row>
    <row r="74" spans="1:3" x14ac:dyDescent="0.35">
      <c r="A74" s="26" t="s">
        <v>35</v>
      </c>
      <c r="B74" s="118">
        <v>0.08</v>
      </c>
      <c r="C74" s="118">
        <v>0.08</v>
      </c>
    </row>
    <row r="75" spans="1:3" x14ac:dyDescent="0.35">
      <c r="A75" s="26" t="s">
        <v>36</v>
      </c>
      <c r="B75" s="136">
        <v>10</v>
      </c>
      <c r="C75" s="136">
        <v>10</v>
      </c>
    </row>
    <row r="76" spans="1:3" x14ac:dyDescent="0.35">
      <c r="A76" s="26" t="s">
        <v>37</v>
      </c>
      <c r="B76" s="45">
        <f>-PMT(B74,B75,B72*(1-B73))</f>
        <v>28845464.219634432</v>
      </c>
      <c r="C76" s="45">
        <f>-PMT(C74,C75,C72*(1-C73))</f>
        <v>23495885.368077904</v>
      </c>
    </row>
    <row r="77" spans="1:3" x14ac:dyDescent="0.35">
      <c r="A77" s="5" t="s">
        <v>665</v>
      </c>
      <c r="B77" s="136">
        <v>30</v>
      </c>
      <c r="C77" s="136">
        <v>30</v>
      </c>
    </row>
    <row r="78" spans="1:3" x14ac:dyDescent="0.35">
      <c r="A78" s="5" t="s">
        <v>357</v>
      </c>
      <c r="B78" s="136"/>
      <c r="C78" s="136"/>
    </row>
    <row r="79" spans="1:3" x14ac:dyDescent="0.35">
      <c r="A79" s="17" t="s">
        <v>358</v>
      </c>
      <c r="B79" s="136"/>
      <c r="C79" s="136"/>
    </row>
    <row r="80" spans="1:3" x14ac:dyDescent="0.35">
      <c r="A80" s="5" t="s">
        <v>38</v>
      </c>
      <c r="B80" s="111">
        <v>0.05</v>
      </c>
      <c r="C80" s="111">
        <v>0.05</v>
      </c>
    </row>
    <row r="81" spans="1:3" x14ac:dyDescent="0.35">
      <c r="A81" s="5" t="s">
        <v>40</v>
      </c>
      <c r="B81" s="128"/>
      <c r="C81" s="128"/>
    </row>
    <row r="82" spans="1:3" x14ac:dyDescent="0.35">
      <c r="A82" s="17" t="s">
        <v>41</v>
      </c>
      <c r="B82" s="46">
        <v>0</v>
      </c>
      <c r="C82" s="46">
        <v>0</v>
      </c>
    </row>
    <row r="83" spans="1:3" x14ac:dyDescent="0.35">
      <c r="A83" s="17" t="s">
        <v>42</v>
      </c>
      <c r="B83" s="46">
        <v>0</v>
      </c>
      <c r="C83" s="46">
        <v>0</v>
      </c>
    </row>
    <row r="84" spans="1:3" x14ac:dyDescent="0.35">
      <c r="A84" s="5" t="s">
        <v>43</v>
      </c>
      <c r="B84" s="134"/>
      <c r="C84" s="134"/>
    </row>
    <row r="85" spans="1:3" x14ac:dyDescent="0.35">
      <c r="A85" s="17" t="s">
        <v>637</v>
      </c>
      <c r="B85" s="119"/>
      <c r="C85" s="119"/>
    </row>
    <row r="86" spans="1:3" x14ac:dyDescent="0.35">
      <c r="A86" s="17" t="s">
        <v>693</v>
      </c>
      <c r="B86" s="119"/>
      <c r="C86" s="119"/>
    </row>
    <row r="87" spans="1:3" x14ac:dyDescent="0.35">
      <c r="A87" s="5" t="s">
        <v>44</v>
      </c>
      <c r="B87" s="119"/>
      <c r="C87" s="119"/>
    </row>
    <row r="88" spans="1:3" x14ac:dyDescent="0.35">
      <c r="A88" s="17" t="s">
        <v>41</v>
      </c>
      <c r="B88" s="107">
        <v>7</v>
      </c>
      <c r="C88" s="107">
        <v>7</v>
      </c>
    </row>
    <row r="89" spans="1:3" x14ac:dyDescent="0.35">
      <c r="A89" s="17" t="s">
        <v>42</v>
      </c>
      <c r="B89" s="136">
        <v>20</v>
      </c>
      <c r="C89" s="136">
        <v>20</v>
      </c>
    </row>
    <row r="90" spans="1:3" x14ac:dyDescent="0.35">
      <c r="A90" s="5" t="s">
        <v>27</v>
      </c>
      <c r="B90" s="108">
        <v>3</v>
      </c>
      <c r="C90" s="108">
        <v>3</v>
      </c>
    </row>
    <row r="91" spans="1:3" x14ac:dyDescent="0.35">
      <c r="A91" s="26" t="s">
        <v>31</v>
      </c>
      <c r="B91" s="109">
        <v>0.08</v>
      </c>
      <c r="C91" s="109">
        <v>0.08</v>
      </c>
    </row>
    <row r="92" spans="1:3" x14ac:dyDescent="0.35">
      <c r="A92" s="26" t="s">
        <v>32</v>
      </c>
      <c r="B92" s="109">
        <v>0.6</v>
      </c>
      <c r="C92" s="109">
        <v>0.6</v>
      </c>
    </row>
    <row r="93" spans="1:3" x14ac:dyDescent="0.35">
      <c r="A93" s="26" t="s">
        <v>33</v>
      </c>
      <c r="B93" s="109">
        <v>0.32</v>
      </c>
      <c r="C93" s="109">
        <v>0.32</v>
      </c>
    </row>
    <row r="94" spans="1:3" x14ac:dyDescent="0.35">
      <c r="A94" s="27" t="s">
        <v>666</v>
      </c>
      <c r="B94" s="108">
        <v>0.5</v>
      </c>
      <c r="C94" s="108">
        <v>0.5</v>
      </c>
    </row>
    <row r="95" spans="1:3" x14ac:dyDescent="0.35">
      <c r="A95" s="26" t="s">
        <v>28</v>
      </c>
      <c r="B95" s="109">
        <v>0.5</v>
      </c>
      <c r="C95" s="109">
        <v>0.5</v>
      </c>
    </row>
    <row r="96" spans="1:3" x14ac:dyDescent="0.35">
      <c r="A96" s="26" t="s">
        <v>29</v>
      </c>
      <c r="B96" s="109">
        <v>0.75</v>
      </c>
      <c r="C96" s="109">
        <v>0.75</v>
      </c>
    </row>
    <row r="97" spans="1:3" x14ac:dyDescent="0.35">
      <c r="A97" s="26" t="s">
        <v>30</v>
      </c>
      <c r="B97" s="109">
        <v>1</v>
      </c>
      <c r="C97" s="109">
        <v>1</v>
      </c>
    </row>
    <row r="98" spans="1:3" x14ac:dyDescent="0.35">
      <c r="A98" s="5" t="s">
        <v>668</v>
      </c>
      <c r="B98" s="119">
        <v>0.1</v>
      </c>
      <c r="C98" s="119">
        <v>0.1</v>
      </c>
    </row>
    <row r="99" spans="1:3" x14ac:dyDescent="0.35">
      <c r="A99" s="5" t="s">
        <v>46</v>
      </c>
      <c r="B99" s="119">
        <v>0.35</v>
      </c>
      <c r="C99" s="119">
        <v>0.35</v>
      </c>
    </row>
    <row r="100" spans="1:3" x14ac:dyDescent="0.35">
      <c r="A100" s="5" t="s">
        <v>490</v>
      </c>
      <c r="B100" s="198">
        <v>49.1</v>
      </c>
      <c r="C100" s="198">
        <v>50.71</v>
      </c>
    </row>
    <row r="101" spans="1:3" x14ac:dyDescent="0.35">
      <c r="A101" s="5" t="s">
        <v>47</v>
      </c>
      <c r="B101" s="114">
        <f>B100*116090</f>
        <v>5700019</v>
      </c>
      <c r="C101" s="114">
        <f>C100*116090</f>
        <v>5886923.9000000004</v>
      </c>
    </row>
    <row r="102" spans="1:3" x14ac:dyDescent="0.35">
      <c r="A102" s="5" t="s">
        <v>659</v>
      </c>
      <c r="B102" s="113">
        <v>7884</v>
      </c>
      <c r="C102" s="113">
        <v>7884</v>
      </c>
    </row>
    <row r="103" spans="1:3" x14ac:dyDescent="0.35">
      <c r="A103" s="5" t="s">
        <v>117</v>
      </c>
      <c r="B103" s="121">
        <f>B16</f>
        <v>2014</v>
      </c>
      <c r="C103" s="121">
        <f>C16</f>
        <v>2014</v>
      </c>
    </row>
    <row r="104" spans="1:3" x14ac:dyDescent="0.35">
      <c r="A104" s="5" t="s">
        <v>218</v>
      </c>
      <c r="B104" s="120">
        <f>B11</f>
        <v>388.40000000000003</v>
      </c>
      <c r="C104" s="120">
        <f>C11</f>
        <v>559</v>
      </c>
    </row>
    <row r="105" spans="1:3" x14ac:dyDescent="0.35">
      <c r="A105" s="5" t="s">
        <v>105</v>
      </c>
      <c r="B105" s="115">
        <v>0</v>
      </c>
      <c r="C105" s="115">
        <v>0</v>
      </c>
    </row>
    <row r="106" spans="1:3" x14ac:dyDescent="0.35">
      <c r="A106" s="5" t="s">
        <v>48</v>
      </c>
      <c r="B106" s="112">
        <f>B18/116787*1000000</f>
        <v>32.75022048686926</v>
      </c>
      <c r="C106" s="112">
        <f>C18/116787*1000000</f>
        <v>41.085052274653854</v>
      </c>
    </row>
    <row r="107" spans="1:3" x14ac:dyDescent="0.35">
      <c r="A107" s="5" t="s">
        <v>69</v>
      </c>
      <c r="B107" s="112">
        <f>B17</f>
        <v>3.3299430337174565</v>
      </c>
      <c r="C107" s="112">
        <f>C17</f>
        <v>4.1774034366197181</v>
      </c>
    </row>
    <row r="108" spans="1:3" x14ac:dyDescent="0.35">
      <c r="A108" s="21"/>
    </row>
    <row r="109" spans="1:3" x14ac:dyDescent="0.35">
      <c r="A109" s="17"/>
    </row>
    <row r="110" spans="1:3" x14ac:dyDescent="0.35">
      <c r="A110" s="17"/>
    </row>
    <row r="111" spans="1:3" x14ac:dyDescent="0.35">
      <c r="A111" s="17"/>
    </row>
    <row r="112" spans="1:3" x14ac:dyDescent="0.35">
      <c r="A112" s="17"/>
    </row>
    <row r="113" spans="1:1" x14ac:dyDescent="0.35">
      <c r="A113" s="17"/>
    </row>
    <row r="114" spans="1:1" x14ac:dyDescent="0.35">
      <c r="A114" s="17"/>
    </row>
    <row r="115" spans="1:1" x14ac:dyDescent="0.35">
      <c r="A115" s="17"/>
    </row>
  </sheetData>
  <hyperlinks>
    <hyperlink ref="K6" r:id="rId1" display="http://pubs.rsc.org/en/content/articlepdf/2017/gc/c6gc02800d" xr:uid="{2E1BB6E5-DCE2-4BFA-9B21-AA95DCC363F1}"/>
    <hyperlink ref="I6" r:id="rId2" display="https://www.nrel.gov/docs/fy15osti/62498.pdf" xr:uid="{2EB45D78-058F-4FAF-95F5-6E0DA7F2ED7B}"/>
    <hyperlink ref="B6" r:id="rId3" xr:uid="{0E6FA6BD-039A-4055-B3BD-1469125C53FF}"/>
  </hyperlinks>
  <pageMargins left="0.7" right="0.7" top="0.75" bottom="0.75" header="0.3" footer="0.3"/>
  <pageSetup orientation="portrait"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H122"/>
  <sheetViews>
    <sheetView workbookViewId="0">
      <pane xSplit="1" ySplit="7" topLeftCell="B8" activePane="bottomRight" state="frozen"/>
      <selection pane="topRight" activeCell="B1" sqref="B1"/>
      <selection pane="bottomLeft" activeCell="A8" sqref="A8"/>
      <selection pane="bottomRight" activeCell="C114" sqref="C114"/>
    </sheetView>
  </sheetViews>
  <sheetFormatPr defaultRowHeight="14.5" x14ac:dyDescent="0.35"/>
  <cols>
    <col min="1" max="1" width="50.54296875" style="1" customWidth="1"/>
    <col min="2" max="2" width="53.54296875" customWidth="1"/>
    <col min="3" max="4" width="54.7265625" customWidth="1"/>
    <col min="6" max="7" width="13.26953125" style="70" customWidth="1"/>
    <col min="8" max="8" width="15.7265625" style="70" customWidth="1"/>
  </cols>
  <sheetData>
    <row r="1" spans="1:4" ht="18.5" x14ac:dyDescent="0.45">
      <c r="A1" s="170" t="s">
        <v>306</v>
      </c>
      <c r="B1" s="56"/>
      <c r="C1" s="56"/>
      <c r="D1" s="56"/>
    </row>
    <row r="2" spans="1:4" ht="43.5" x14ac:dyDescent="0.35">
      <c r="A2" s="4" t="s">
        <v>0</v>
      </c>
      <c r="B2" s="13" t="s">
        <v>669</v>
      </c>
      <c r="C2" s="13" t="s">
        <v>670</v>
      </c>
      <c r="D2" s="13" t="s">
        <v>548</v>
      </c>
    </row>
    <row r="3" spans="1:4" ht="43.5" x14ac:dyDescent="0.35">
      <c r="A3" s="4" t="s">
        <v>1</v>
      </c>
      <c r="B3" s="13" t="s">
        <v>204</v>
      </c>
      <c r="C3" s="13" t="s">
        <v>204</v>
      </c>
      <c r="D3" s="13" t="s">
        <v>549</v>
      </c>
    </row>
    <row r="4" spans="1:4" x14ac:dyDescent="0.35">
      <c r="A4" s="3" t="s">
        <v>2</v>
      </c>
      <c r="B4" s="7">
        <v>2014</v>
      </c>
      <c r="C4" s="7">
        <v>2014</v>
      </c>
      <c r="D4" s="7">
        <v>2017</v>
      </c>
    </row>
    <row r="5" spans="1:4" ht="29" x14ac:dyDescent="0.35">
      <c r="A5" s="4" t="s">
        <v>3</v>
      </c>
      <c r="B5" s="78" t="s">
        <v>203</v>
      </c>
      <c r="C5" s="78" t="s">
        <v>203</v>
      </c>
      <c r="D5" s="78" t="s">
        <v>550</v>
      </c>
    </row>
    <row r="6" spans="1:4" x14ac:dyDescent="0.35">
      <c r="A6" s="4" t="s">
        <v>225</v>
      </c>
      <c r="B6" s="13" t="s">
        <v>236</v>
      </c>
      <c r="C6" s="13" t="s">
        <v>236</v>
      </c>
      <c r="D6" s="13" t="s">
        <v>551</v>
      </c>
    </row>
    <row r="7" spans="1:4" x14ac:dyDescent="0.35">
      <c r="A7" s="1" t="s">
        <v>195</v>
      </c>
      <c r="B7" s="13" t="s">
        <v>196</v>
      </c>
      <c r="C7" s="13" t="s">
        <v>197</v>
      </c>
      <c r="D7" s="13" t="s">
        <v>567</v>
      </c>
    </row>
    <row r="8" spans="1:4" x14ac:dyDescent="0.35">
      <c r="A8" s="36" t="s">
        <v>433</v>
      </c>
    </row>
    <row r="9" spans="1:4" x14ac:dyDescent="0.35">
      <c r="A9" s="4" t="s">
        <v>4</v>
      </c>
      <c r="B9" s="9" t="s">
        <v>199</v>
      </c>
      <c r="C9" s="9" t="s">
        <v>199</v>
      </c>
      <c r="D9" s="9" t="s">
        <v>199</v>
      </c>
    </row>
    <row r="10" spans="1:4" x14ac:dyDescent="0.35">
      <c r="A10" s="4" t="s">
        <v>9</v>
      </c>
      <c r="B10" s="79" t="s">
        <v>205</v>
      </c>
      <c r="C10" s="79" t="s">
        <v>205</v>
      </c>
      <c r="D10" s="79" t="s">
        <v>552</v>
      </c>
    </row>
    <row r="11" spans="1:4" x14ac:dyDescent="0.35">
      <c r="A11" s="4" t="s">
        <v>237</v>
      </c>
      <c r="B11" s="141">
        <f>'Supporting Calculations'!B491</f>
        <v>63.520871143375679</v>
      </c>
      <c r="C11" s="141">
        <f>'Supporting Calculations'!C491</f>
        <v>63.520871143375679</v>
      </c>
      <c r="D11" s="211"/>
    </row>
    <row r="12" spans="1:4" x14ac:dyDescent="0.35">
      <c r="A12" s="5" t="s">
        <v>11</v>
      </c>
      <c r="B12" s="79">
        <v>2000</v>
      </c>
      <c r="C12" s="79">
        <v>2000</v>
      </c>
      <c r="D12" s="79">
        <v>110</v>
      </c>
    </row>
    <row r="13" spans="1:4" x14ac:dyDescent="0.35">
      <c r="A13" s="5" t="s">
        <v>643</v>
      </c>
      <c r="B13" s="163">
        <v>330</v>
      </c>
      <c r="C13" s="163">
        <v>330</v>
      </c>
      <c r="D13" s="163">
        <v>330</v>
      </c>
    </row>
    <row r="14" spans="1:4" x14ac:dyDescent="0.35">
      <c r="A14" s="5" t="s">
        <v>632</v>
      </c>
      <c r="B14" s="117">
        <v>0.9</v>
      </c>
      <c r="C14" s="117">
        <v>0.9</v>
      </c>
      <c r="D14" s="117">
        <v>0.9</v>
      </c>
    </row>
    <row r="15" spans="1:4" x14ac:dyDescent="0.35">
      <c r="A15" s="5" t="s">
        <v>432</v>
      </c>
      <c r="B15" s="123">
        <v>59.212441403492207</v>
      </c>
      <c r="C15" s="123">
        <v>96.479012916179613</v>
      </c>
      <c r="D15" s="123">
        <f>4100000/(D12*D13)</f>
        <v>112.94765840220386</v>
      </c>
    </row>
    <row r="16" spans="1:4" x14ac:dyDescent="0.35">
      <c r="A16" s="4" t="s">
        <v>20</v>
      </c>
      <c r="B16" s="80">
        <v>2007</v>
      </c>
      <c r="C16" s="80">
        <v>2007</v>
      </c>
      <c r="D16" s="80">
        <v>2014</v>
      </c>
    </row>
    <row r="17" spans="1:4" x14ac:dyDescent="0.35">
      <c r="A17" s="4" t="s">
        <v>458</v>
      </c>
      <c r="B17" s="92">
        <v>4.4400000000000004</v>
      </c>
      <c r="C17" s="92">
        <v>2.52</v>
      </c>
      <c r="D17" s="92">
        <v>3.46</v>
      </c>
    </row>
    <row r="18" spans="1:4" x14ac:dyDescent="0.35">
      <c r="A18" s="4"/>
      <c r="B18" s="80"/>
      <c r="C18" s="80"/>
      <c r="D18" s="80"/>
    </row>
    <row r="19" spans="1:4" x14ac:dyDescent="0.35">
      <c r="A19" s="36" t="s">
        <v>49</v>
      </c>
      <c r="B19" s="93"/>
      <c r="C19" s="93"/>
      <c r="D19" s="93"/>
    </row>
    <row r="20" spans="1:4" x14ac:dyDescent="0.35">
      <c r="A20" s="17" t="s">
        <v>124</v>
      </c>
      <c r="B20" s="45">
        <v>27800000</v>
      </c>
      <c r="C20" s="45">
        <v>27800000</v>
      </c>
    </row>
    <row r="21" spans="1:4" x14ac:dyDescent="0.35">
      <c r="A21" s="20" t="s">
        <v>130</v>
      </c>
      <c r="B21" s="46">
        <v>88700000</v>
      </c>
      <c r="C21" s="46">
        <v>80000000</v>
      </c>
      <c r="D21" s="46"/>
    </row>
    <row r="22" spans="1:4" x14ac:dyDescent="0.35">
      <c r="A22" s="20" t="s">
        <v>123</v>
      </c>
      <c r="B22" s="46"/>
      <c r="C22" s="46"/>
      <c r="D22" s="45">
        <v>1400000</v>
      </c>
    </row>
    <row r="23" spans="1:4" x14ac:dyDescent="0.35">
      <c r="A23" s="17" t="s">
        <v>554</v>
      </c>
      <c r="B23" s="46"/>
      <c r="C23" s="46"/>
      <c r="D23" s="46">
        <v>13100000</v>
      </c>
    </row>
    <row r="24" spans="1:4" x14ac:dyDescent="0.35">
      <c r="A24" s="17" t="s">
        <v>290</v>
      </c>
      <c r="B24" s="46"/>
      <c r="C24" s="46"/>
      <c r="D24" s="46"/>
    </row>
    <row r="25" spans="1:4" x14ac:dyDescent="0.35">
      <c r="A25" s="17" t="s">
        <v>555</v>
      </c>
      <c r="B25" s="46"/>
      <c r="C25" s="46"/>
      <c r="D25" s="46">
        <v>3100000</v>
      </c>
    </row>
    <row r="26" spans="1:4" x14ac:dyDescent="0.35">
      <c r="A26" s="17" t="s">
        <v>556</v>
      </c>
      <c r="B26" s="46"/>
      <c r="C26" s="46"/>
      <c r="D26" s="46">
        <v>600000</v>
      </c>
    </row>
    <row r="27" spans="1:4" x14ac:dyDescent="0.35">
      <c r="A27" s="20" t="s">
        <v>118</v>
      </c>
      <c r="B27" s="46">
        <v>95900000</v>
      </c>
      <c r="C27" s="46">
        <v>66700000</v>
      </c>
      <c r="D27" s="46">
        <v>33600000</v>
      </c>
    </row>
    <row r="28" spans="1:4" x14ac:dyDescent="0.35">
      <c r="A28" s="20" t="s">
        <v>119</v>
      </c>
      <c r="B28" s="46"/>
      <c r="C28" s="46">
        <v>22100000</v>
      </c>
      <c r="D28" s="46">
        <v>6600000</v>
      </c>
    </row>
    <row r="29" spans="1:4" x14ac:dyDescent="0.35">
      <c r="A29" s="20" t="s">
        <v>154</v>
      </c>
      <c r="B29" s="46"/>
      <c r="C29" s="46"/>
      <c r="D29" s="46"/>
    </row>
    <row r="30" spans="1:4" x14ac:dyDescent="0.35">
      <c r="A30" s="20" t="s">
        <v>120</v>
      </c>
      <c r="B30" s="46">
        <v>23800000</v>
      </c>
      <c r="C30" s="46">
        <v>31100000</v>
      </c>
      <c r="D30" s="46">
        <v>27200000</v>
      </c>
    </row>
    <row r="31" spans="1:4" x14ac:dyDescent="0.35">
      <c r="A31" s="20" t="s">
        <v>121</v>
      </c>
      <c r="B31" s="46"/>
      <c r="C31" s="46"/>
      <c r="D31" s="46"/>
    </row>
    <row r="32" spans="1:4" x14ac:dyDescent="0.35">
      <c r="A32" s="20" t="s">
        <v>25</v>
      </c>
      <c r="B32" s="46"/>
      <c r="C32" s="46"/>
      <c r="D32" s="46">
        <v>1600000</v>
      </c>
    </row>
    <row r="33" spans="1:8" x14ac:dyDescent="0.35">
      <c r="A33" s="20" t="s">
        <v>26</v>
      </c>
      <c r="B33" s="46">
        <v>37300000</v>
      </c>
      <c r="C33" s="46">
        <v>22300000</v>
      </c>
      <c r="D33" s="46"/>
    </row>
    <row r="34" spans="1:8" x14ac:dyDescent="0.35">
      <c r="A34" s="20" t="s">
        <v>557</v>
      </c>
      <c r="B34" s="46"/>
      <c r="C34" s="46"/>
      <c r="D34" s="46">
        <v>6500000</v>
      </c>
    </row>
    <row r="35" spans="1:8" x14ac:dyDescent="0.35">
      <c r="A35" s="20" t="s">
        <v>207</v>
      </c>
      <c r="B35" s="46">
        <v>27400000</v>
      </c>
      <c r="C35" s="46">
        <v>25000000</v>
      </c>
      <c r="D35" s="46"/>
      <c r="H35" s="202"/>
    </row>
    <row r="36" spans="1:8" x14ac:dyDescent="0.35">
      <c r="A36" s="47" t="s">
        <v>133</v>
      </c>
      <c r="B36" s="94">
        <f>SUM(B20:B35)</f>
        <v>300900000</v>
      </c>
      <c r="C36" s="94">
        <f>SUM(C20:C35)</f>
        <v>275000000</v>
      </c>
      <c r="D36" s="94">
        <f>SUM(D20:D35)</f>
        <v>93700000</v>
      </c>
    </row>
    <row r="37" spans="1:8" x14ac:dyDescent="0.35">
      <c r="A37" s="47" t="s">
        <v>560</v>
      </c>
      <c r="B37" s="94"/>
      <c r="C37" s="94"/>
      <c r="D37" s="94"/>
    </row>
    <row r="38" spans="1:8" x14ac:dyDescent="0.35">
      <c r="A38" s="20" t="s">
        <v>561</v>
      </c>
      <c r="B38" s="94"/>
      <c r="C38" s="94"/>
      <c r="D38" s="46">
        <f>D36*0.04</f>
        <v>3748000</v>
      </c>
    </row>
    <row r="39" spans="1:8" x14ac:dyDescent="0.35">
      <c r="A39" s="20" t="s">
        <v>164</v>
      </c>
      <c r="B39" s="94"/>
      <c r="C39" s="94"/>
      <c r="D39" s="46">
        <f>D36*0.1</f>
        <v>9370000</v>
      </c>
    </row>
    <row r="40" spans="1:8" x14ac:dyDescent="0.35">
      <c r="A40" s="20" t="s">
        <v>562</v>
      </c>
      <c r="B40" s="94"/>
      <c r="C40" s="94"/>
      <c r="D40" s="46">
        <f>D36*0.045</f>
        <v>4216500</v>
      </c>
    </row>
    <row r="41" spans="1:8" x14ac:dyDescent="0.35">
      <c r="A41" s="47" t="s">
        <v>559</v>
      </c>
      <c r="B41" s="94"/>
      <c r="C41" s="94"/>
      <c r="D41" s="94">
        <f>SUM(D36:D40)</f>
        <v>111034500</v>
      </c>
    </row>
    <row r="42" spans="1:8" x14ac:dyDescent="0.35">
      <c r="A42" s="47" t="s">
        <v>296</v>
      </c>
      <c r="B42" s="94"/>
      <c r="C42" s="94"/>
      <c r="D42" s="94"/>
    </row>
    <row r="43" spans="1:8" x14ac:dyDescent="0.35">
      <c r="A43" s="20" t="s">
        <v>134</v>
      </c>
    </row>
    <row r="44" spans="1:8" x14ac:dyDescent="0.35">
      <c r="A44" s="20" t="s">
        <v>135</v>
      </c>
      <c r="B44" s="46"/>
      <c r="C44" s="46"/>
      <c r="D44" s="46"/>
    </row>
    <row r="45" spans="1:8" x14ac:dyDescent="0.35">
      <c r="A45" s="20" t="s">
        <v>136</v>
      </c>
      <c r="B45" s="46"/>
      <c r="C45" s="46"/>
      <c r="D45" s="46"/>
    </row>
    <row r="46" spans="1:8" x14ac:dyDescent="0.35">
      <c r="A46" s="20" t="s">
        <v>137</v>
      </c>
      <c r="B46" s="46"/>
      <c r="C46" s="46"/>
      <c r="D46" s="46"/>
    </row>
    <row r="47" spans="1:8" x14ac:dyDescent="0.35">
      <c r="A47" s="20" t="s">
        <v>165</v>
      </c>
      <c r="B47" s="46"/>
      <c r="C47" s="46"/>
      <c r="D47" s="46">
        <f>D41*0.1</f>
        <v>11103450</v>
      </c>
    </row>
    <row r="48" spans="1:8" x14ac:dyDescent="0.35">
      <c r="A48" s="20" t="s">
        <v>431</v>
      </c>
      <c r="B48" s="46"/>
      <c r="C48" s="46"/>
      <c r="D48" s="46">
        <f>D41*0.2</f>
        <v>22206900</v>
      </c>
    </row>
    <row r="49" spans="1:4" x14ac:dyDescent="0.35">
      <c r="A49" s="20" t="s">
        <v>166</v>
      </c>
      <c r="B49" s="46"/>
      <c r="C49" s="46"/>
      <c r="D49" s="46">
        <f>D41*0.1</f>
        <v>11103450</v>
      </c>
    </row>
    <row r="50" spans="1:4" x14ac:dyDescent="0.35">
      <c r="A50" s="20" t="s">
        <v>137</v>
      </c>
      <c r="B50" s="46"/>
      <c r="C50" s="46"/>
      <c r="D50" s="46">
        <f>D41*0.1</f>
        <v>11103450</v>
      </c>
    </row>
    <row r="51" spans="1:4" x14ac:dyDescent="0.35">
      <c r="A51" s="20" t="s">
        <v>558</v>
      </c>
      <c r="B51" s="46"/>
      <c r="C51" s="46"/>
      <c r="D51" s="46">
        <f>D41*0.1</f>
        <v>11103450</v>
      </c>
    </row>
    <row r="52" spans="1:4" x14ac:dyDescent="0.35">
      <c r="A52" s="47" t="s">
        <v>297</v>
      </c>
      <c r="B52" s="95">
        <v>187000000</v>
      </c>
      <c r="C52" s="95">
        <v>171000000</v>
      </c>
      <c r="D52" s="95">
        <f>SUM(D47:D51)</f>
        <v>66620700</v>
      </c>
    </row>
    <row r="53" spans="1:4" x14ac:dyDescent="0.35">
      <c r="A53" s="47" t="s">
        <v>138</v>
      </c>
      <c r="B53" s="94">
        <f>B36+B52</f>
        <v>487900000</v>
      </c>
      <c r="C53" s="94">
        <f>C36+C52</f>
        <v>446000000</v>
      </c>
      <c r="D53" s="94">
        <f>D41+D52</f>
        <v>177655200</v>
      </c>
    </row>
    <row r="54" spans="1:4" x14ac:dyDescent="0.35">
      <c r="A54" s="20" t="s">
        <v>190</v>
      </c>
      <c r="B54" s="95"/>
      <c r="C54" s="95"/>
      <c r="D54" s="46">
        <f>9000+2700000</f>
        <v>2709000</v>
      </c>
    </row>
    <row r="55" spans="1:4" x14ac:dyDescent="0.35">
      <c r="A55" s="20" t="s">
        <v>90</v>
      </c>
      <c r="B55" s="46">
        <f>B53*B92</f>
        <v>24395000</v>
      </c>
      <c r="C55" s="46">
        <f>C53*C92</f>
        <v>22300000</v>
      </c>
      <c r="D55" s="46">
        <f>D53*D92</f>
        <v>8882760</v>
      </c>
    </row>
    <row r="56" spans="1:4" x14ac:dyDescent="0.35">
      <c r="A56" s="47" t="s">
        <v>202</v>
      </c>
      <c r="B56" s="95">
        <v>512000000</v>
      </c>
      <c r="C56" s="95">
        <v>468000000</v>
      </c>
      <c r="D56" s="95">
        <f>SUM(D53:D55)</f>
        <v>189246960</v>
      </c>
    </row>
    <row r="57" spans="1:4" x14ac:dyDescent="0.35">
      <c r="B57" s="95"/>
      <c r="C57" s="95"/>
      <c r="D57" s="95"/>
    </row>
    <row r="58" spans="1:4" x14ac:dyDescent="0.35">
      <c r="B58" s="46"/>
      <c r="C58" s="46"/>
      <c r="D58" s="46"/>
    </row>
    <row r="59" spans="1:4" x14ac:dyDescent="0.35">
      <c r="A59" s="37" t="s">
        <v>52</v>
      </c>
      <c r="B59" s="46"/>
      <c r="C59" s="46"/>
      <c r="D59" s="46"/>
    </row>
    <row r="60" spans="1:4" x14ac:dyDescent="0.35">
      <c r="A60" s="35" t="s">
        <v>406</v>
      </c>
      <c r="B60" s="127"/>
      <c r="C60" s="46"/>
      <c r="D60" s="46"/>
    </row>
    <row r="61" spans="1:4" x14ac:dyDescent="0.35">
      <c r="A61" s="20" t="s">
        <v>63</v>
      </c>
      <c r="B61" s="45">
        <f>46000000/B14</f>
        <v>51111111.111111112</v>
      </c>
      <c r="C61" s="45">
        <f>46000000/C14</f>
        <v>51111111.111111112</v>
      </c>
      <c r="D61" s="45">
        <v>0</v>
      </c>
    </row>
    <row r="62" spans="1:4" x14ac:dyDescent="0.35">
      <c r="A62" s="20" t="s">
        <v>563</v>
      </c>
      <c r="B62" s="45"/>
      <c r="C62" s="45"/>
      <c r="D62" s="45">
        <f>330000/D14</f>
        <v>366666.66666666669</v>
      </c>
    </row>
    <row r="63" spans="1:4" x14ac:dyDescent="0.35">
      <c r="A63" s="20" t="s">
        <v>62</v>
      </c>
      <c r="B63" s="46">
        <f>260000/B14</f>
        <v>288888.88888888888</v>
      </c>
      <c r="C63" s="46">
        <f>2280000/C14</f>
        <v>2533333.3333333335</v>
      </c>
      <c r="D63" s="46">
        <f>(390000+180000+2790000)/D14</f>
        <v>3733333.333333333</v>
      </c>
    </row>
    <row r="64" spans="1:4" x14ac:dyDescent="0.35">
      <c r="A64" s="20" t="s">
        <v>129</v>
      </c>
      <c r="B64" s="46"/>
      <c r="C64" s="46"/>
      <c r="D64" s="46"/>
    </row>
    <row r="65" spans="1:8" x14ac:dyDescent="0.35">
      <c r="A65" s="20" t="s">
        <v>122</v>
      </c>
      <c r="B65" s="46"/>
      <c r="C65" s="46"/>
      <c r="D65" s="46"/>
    </row>
    <row r="66" spans="1:8" x14ac:dyDescent="0.35">
      <c r="A66" s="20" t="s">
        <v>176</v>
      </c>
      <c r="B66" s="46">
        <f>5480000/B14</f>
        <v>6088888.888888889</v>
      </c>
      <c r="C66" s="46">
        <f>5570000/C14</f>
        <v>6188888.888888889</v>
      </c>
      <c r="D66" s="46">
        <f>(400000+30000+60000)/D14</f>
        <v>544444.44444444438</v>
      </c>
    </row>
    <row r="67" spans="1:8" x14ac:dyDescent="0.35">
      <c r="A67" s="20" t="s">
        <v>564</v>
      </c>
      <c r="B67" s="46"/>
      <c r="C67" s="46"/>
      <c r="D67" s="46">
        <f>420000/D14</f>
        <v>466666.66666666663</v>
      </c>
    </row>
    <row r="68" spans="1:8" x14ac:dyDescent="0.35">
      <c r="A68" s="20" t="s">
        <v>54</v>
      </c>
      <c r="B68" s="46"/>
      <c r="C68" s="46"/>
      <c r="D68" s="46">
        <f>10000/D14</f>
        <v>11111.111111111111</v>
      </c>
    </row>
    <row r="69" spans="1:8" x14ac:dyDescent="0.35">
      <c r="A69" s="20" t="s">
        <v>55</v>
      </c>
      <c r="B69" s="46"/>
      <c r="C69" s="46"/>
      <c r="D69" s="46">
        <f>10000/D14</f>
        <v>11111.111111111111</v>
      </c>
    </row>
    <row r="70" spans="1:8" x14ac:dyDescent="0.35">
      <c r="A70" s="20" t="s">
        <v>56</v>
      </c>
      <c r="B70" s="46"/>
      <c r="C70" s="46"/>
      <c r="D70" s="46"/>
    </row>
    <row r="71" spans="1:8" x14ac:dyDescent="0.35">
      <c r="A71" s="20" t="s">
        <v>67</v>
      </c>
      <c r="B71" s="46">
        <f>25000000/B14</f>
        <v>27777777.777777776</v>
      </c>
      <c r="C71" s="46">
        <f>13800000/C14</f>
        <v>15333333.333333332</v>
      </c>
      <c r="D71" s="46"/>
    </row>
    <row r="72" spans="1:8" x14ac:dyDescent="0.35">
      <c r="A72" s="20" t="s">
        <v>169</v>
      </c>
      <c r="B72" s="46">
        <f>7480000/B14</f>
        <v>8311111.111111111</v>
      </c>
      <c r="C72" s="46">
        <f>8740000/C14</f>
        <v>9711111.1111111101</v>
      </c>
      <c r="D72" s="46">
        <f>(100000+360000+920000)/D14</f>
        <v>1533333.3333333333</v>
      </c>
    </row>
    <row r="73" spans="1:8" x14ac:dyDescent="0.35">
      <c r="A73" s="20" t="s">
        <v>565</v>
      </c>
      <c r="B73" s="46"/>
      <c r="C73" s="46"/>
      <c r="D73" s="46">
        <f>50000/D14</f>
        <v>55555.555555555555</v>
      </c>
    </row>
    <row r="74" spans="1:8" x14ac:dyDescent="0.35">
      <c r="A74" s="20" t="s">
        <v>566</v>
      </c>
      <c r="B74" s="46"/>
      <c r="C74" s="46"/>
      <c r="D74" s="46">
        <f>70000/D14</f>
        <v>77777.777777777781</v>
      </c>
    </row>
    <row r="75" spans="1:8" x14ac:dyDescent="0.35">
      <c r="A75" s="20" t="s">
        <v>208</v>
      </c>
      <c r="B75" s="46">
        <f>-7970000/B14</f>
        <v>-8855555.555555556</v>
      </c>
      <c r="C75" s="46">
        <f>0/C14</f>
        <v>0</v>
      </c>
      <c r="D75" s="46"/>
    </row>
    <row r="76" spans="1:8" x14ac:dyDescent="0.35">
      <c r="A76" s="35" t="s">
        <v>51</v>
      </c>
      <c r="B76" s="95">
        <v>23900000</v>
      </c>
      <c r="C76" s="95">
        <v>22200000</v>
      </c>
      <c r="D76" s="95">
        <v>22200000</v>
      </c>
    </row>
    <row r="77" spans="1:8" x14ac:dyDescent="0.35">
      <c r="A77" s="20" t="s">
        <v>68</v>
      </c>
      <c r="B77" s="46"/>
      <c r="C77" s="46"/>
      <c r="D77" s="46">
        <f>730000+2190000</f>
        <v>2920000</v>
      </c>
    </row>
    <row r="78" spans="1:8" x14ac:dyDescent="0.35">
      <c r="A78" s="20" t="s">
        <v>244</v>
      </c>
      <c r="B78" s="46"/>
      <c r="C78" s="46"/>
      <c r="D78" s="46">
        <f>D77*0.9</f>
        <v>2628000</v>
      </c>
      <c r="H78" s="202"/>
    </row>
    <row r="79" spans="1:8" x14ac:dyDescent="0.35">
      <c r="A79" s="20" t="s">
        <v>206</v>
      </c>
      <c r="B79" s="46"/>
      <c r="C79" s="46"/>
      <c r="D79" s="46">
        <f>D36*0.03</f>
        <v>2811000</v>
      </c>
      <c r="H79" s="202"/>
    </row>
    <row r="80" spans="1:8" x14ac:dyDescent="0.35">
      <c r="A80" s="20" t="s">
        <v>217</v>
      </c>
      <c r="B80" s="46"/>
      <c r="C80" s="46"/>
      <c r="D80" s="46">
        <f>D53*0.007</f>
        <v>1243586.4000000001</v>
      </c>
      <c r="H80" s="202"/>
    </row>
    <row r="81" spans="1:8" x14ac:dyDescent="0.35">
      <c r="A81" s="35" t="s">
        <v>155</v>
      </c>
      <c r="B81" s="46">
        <v>16300000</v>
      </c>
      <c r="C81" s="46">
        <v>14900000</v>
      </c>
      <c r="D81" s="46">
        <f>1100000+4700000</f>
        <v>5800000</v>
      </c>
      <c r="H81" s="202"/>
    </row>
    <row r="82" spans="1:8" x14ac:dyDescent="0.35">
      <c r="A82" s="35" t="s">
        <v>156</v>
      </c>
      <c r="B82" s="46">
        <v>24400000</v>
      </c>
      <c r="C82" s="46">
        <v>22300000</v>
      </c>
      <c r="D82" s="46">
        <f>700000+2800000</f>
        <v>3500000</v>
      </c>
    </row>
    <row r="83" spans="1:8" x14ac:dyDescent="0.35">
      <c r="A83" s="35" t="s">
        <v>157</v>
      </c>
      <c r="B83" s="46">
        <v>45400000</v>
      </c>
      <c r="C83" s="46">
        <v>40200000</v>
      </c>
      <c r="D83" s="46">
        <f>3300000+17700000</f>
        <v>21000000</v>
      </c>
    </row>
    <row r="84" spans="1:8" x14ac:dyDescent="0.35">
      <c r="A84" s="20"/>
      <c r="B84" s="45"/>
      <c r="C84" s="45"/>
      <c r="D84" s="45"/>
    </row>
    <row r="85" spans="1:8" x14ac:dyDescent="0.35">
      <c r="B85" s="46"/>
      <c r="C85" s="46"/>
      <c r="D85" s="46"/>
    </row>
    <row r="86" spans="1:8" x14ac:dyDescent="0.35">
      <c r="A86" s="37" t="s">
        <v>50</v>
      </c>
      <c r="B86" s="46"/>
      <c r="C86" s="46"/>
      <c r="D86" s="46"/>
    </row>
    <row r="87" spans="1:8" x14ac:dyDescent="0.35">
      <c r="A87" s="4" t="s">
        <v>39</v>
      </c>
      <c r="B87" s="45">
        <f>B53</f>
        <v>487900000</v>
      </c>
      <c r="C87" s="45">
        <f>C53</f>
        <v>446000000</v>
      </c>
      <c r="D87" s="45">
        <f>D53</f>
        <v>177655200</v>
      </c>
    </row>
    <row r="88" spans="1:8" x14ac:dyDescent="0.35">
      <c r="A88" s="27" t="s">
        <v>34</v>
      </c>
      <c r="B88" s="118">
        <v>1</v>
      </c>
      <c r="C88" s="118">
        <v>1</v>
      </c>
      <c r="D88" s="118">
        <v>1</v>
      </c>
    </row>
    <row r="89" spans="1:8" x14ac:dyDescent="0.35">
      <c r="A89" s="26" t="s">
        <v>35</v>
      </c>
      <c r="B89" s="118"/>
      <c r="C89" s="118"/>
      <c r="D89" s="118"/>
    </row>
    <row r="90" spans="1:8" x14ac:dyDescent="0.35">
      <c r="A90" s="26" t="s">
        <v>36</v>
      </c>
      <c r="B90" s="136"/>
      <c r="C90" s="136"/>
      <c r="D90" s="136"/>
    </row>
    <row r="91" spans="1:8" x14ac:dyDescent="0.35">
      <c r="A91" s="26" t="s">
        <v>37</v>
      </c>
      <c r="B91" s="110"/>
      <c r="C91" s="110"/>
      <c r="D91" s="110"/>
    </row>
    <row r="92" spans="1:8" x14ac:dyDescent="0.35">
      <c r="A92" s="5" t="s">
        <v>38</v>
      </c>
      <c r="B92" s="111">
        <v>0.05</v>
      </c>
      <c r="C92" s="111">
        <v>0.05</v>
      </c>
      <c r="D92" s="111">
        <v>0.05</v>
      </c>
    </row>
    <row r="93" spans="1:8" x14ac:dyDescent="0.35">
      <c r="A93" s="5" t="s">
        <v>667</v>
      </c>
      <c r="B93" s="107">
        <v>20</v>
      </c>
      <c r="C93" s="107">
        <v>20</v>
      </c>
      <c r="D93" s="107">
        <v>20</v>
      </c>
    </row>
    <row r="94" spans="1:8" x14ac:dyDescent="0.35">
      <c r="A94" s="5" t="s">
        <v>40</v>
      </c>
      <c r="B94" s="128"/>
      <c r="C94" s="128"/>
      <c r="D94" s="128"/>
    </row>
    <row r="95" spans="1:8" x14ac:dyDescent="0.35">
      <c r="A95" s="17" t="s">
        <v>41</v>
      </c>
      <c r="B95" s="46">
        <v>0</v>
      </c>
      <c r="C95" s="46">
        <v>0</v>
      </c>
      <c r="D95" s="46">
        <v>0</v>
      </c>
    </row>
    <row r="96" spans="1:8" x14ac:dyDescent="0.35">
      <c r="A96" s="17" t="s">
        <v>42</v>
      </c>
      <c r="B96" s="46">
        <v>0</v>
      </c>
      <c r="C96" s="46">
        <v>0</v>
      </c>
      <c r="D96" s="46">
        <v>0</v>
      </c>
    </row>
    <row r="97" spans="1:4" x14ac:dyDescent="0.35">
      <c r="A97" s="5" t="s">
        <v>43</v>
      </c>
      <c r="B97" s="110"/>
      <c r="C97" s="110"/>
      <c r="D97" s="110"/>
    </row>
    <row r="98" spans="1:4" x14ac:dyDescent="0.35">
      <c r="A98" s="17" t="s">
        <v>637</v>
      </c>
      <c r="B98" s="119"/>
      <c r="C98" s="119"/>
      <c r="D98" s="119"/>
    </row>
    <row r="99" spans="1:4" x14ac:dyDescent="0.35">
      <c r="A99" s="17" t="s">
        <v>693</v>
      </c>
      <c r="B99" s="119"/>
      <c r="C99" s="119"/>
      <c r="D99" s="119"/>
    </row>
    <row r="100" spans="1:4" x14ac:dyDescent="0.35">
      <c r="A100" s="5" t="s">
        <v>44</v>
      </c>
      <c r="B100" s="119"/>
      <c r="C100" s="119"/>
      <c r="D100" s="119"/>
    </row>
    <row r="101" spans="1:4" x14ac:dyDescent="0.35">
      <c r="A101" s="17" t="s">
        <v>41</v>
      </c>
      <c r="B101" s="107"/>
      <c r="C101" s="107"/>
      <c r="D101" s="107"/>
    </row>
    <row r="102" spans="1:4" x14ac:dyDescent="0.35">
      <c r="A102" s="17" t="s">
        <v>42</v>
      </c>
      <c r="B102" s="136"/>
      <c r="C102" s="136"/>
      <c r="D102" s="136"/>
    </row>
    <row r="103" spans="1:4" x14ac:dyDescent="0.35">
      <c r="A103" s="5" t="s">
        <v>638</v>
      </c>
      <c r="B103" s="108"/>
      <c r="C103" s="108"/>
      <c r="D103" s="108"/>
    </row>
    <row r="104" spans="1:4" x14ac:dyDescent="0.35">
      <c r="A104" s="26" t="s">
        <v>31</v>
      </c>
      <c r="B104" s="109"/>
      <c r="C104" s="109"/>
      <c r="D104" s="109"/>
    </row>
    <row r="105" spans="1:4" x14ac:dyDescent="0.35">
      <c r="A105" s="26" t="s">
        <v>32</v>
      </c>
      <c r="B105" s="109"/>
      <c r="C105" s="109"/>
      <c r="D105" s="109"/>
    </row>
    <row r="106" spans="1:4" x14ac:dyDescent="0.35">
      <c r="A106" s="26" t="s">
        <v>33</v>
      </c>
      <c r="B106" s="109"/>
      <c r="C106" s="109"/>
      <c r="D106" s="109"/>
    </row>
    <row r="107" spans="1:4" x14ac:dyDescent="0.35">
      <c r="A107" s="27" t="s">
        <v>666</v>
      </c>
      <c r="B107" s="108"/>
      <c r="C107" s="108"/>
      <c r="D107" s="108"/>
    </row>
    <row r="108" spans="1:4" x14ac:dyDescent="0.35">
      <c r="A108" s="26" t="s">
        <v>28</v>
      </c>
      <c r="B108" s="109"/>
      <c r="C108" s="109"/>
      <c r="D108" s="109"/>
    </row>
    <row r="109" spans="1:4" x14ac:dyDescent="0.35">
      <c r="A109" s="26" t="s">
        <v>29</v>
      </c>
      <c r="B109" s="109"/>
      <c r="C109" s="109"/>
      <c r="D109" s="109"/>
    </row>
    <row r="110" spans="1:4" x14ac:dyDescent="0.35">
      <c r="A110" s="26" t="s">
        <v>30</v>
      </c>
      <c r="B110" s="109"/>
      <c r="C110" s="109"/>
      <c r="D110" s="109"/>
    </row>
    <row r="111" spans="1:4" x14ac:dyDescent="0.35">
      <c r="A111" s="5" t="s">
        <v>45</v>
      </c>
      <c r="B111" s="119">
        <v>0.1</v>
      </c>
      <c r="C111" s="119">
        <v>0.1</v>
      </c>
      <c r="D111" s="119">
        <v>0.1</v>
      </c>
    </row>
    <row r="112" spans="1:4" x14ac:dyDescent="0.35">
      <c r="A112" s="5" t="s">
        <v>46</v>
      </c>
      <c r="B112" s="111"/>
      <c r="C112" s="111"/>
      <c r="D112" s="111"/>
    </row>
    <row r="113" spans="1:4" x14ac:dyDescent="0.35">
      <c r="A113" s="5" t="s">
        <v>490</v>
      </c>
      <c r="B113" s="198">
        <f>B114/116090</f>
        <v>42.9</v>
      </c>
      <c r="C113" s="198">
        <f>C114/116090</f>
        <v>69.900000000000006</v>
      </c>
      <c r="D113" s="198">
        <f>D114/116090</f>
        <v>38.763028684641228</v>
      </c>
    </row>
    <row r="114" spans="1:4" x14ac:dyDescent="0.35">
      <c r="A114" s="5" t="s">
        <v>47</v>
      </c>
      <c r="B114" s="114">
        <v>4980261</v>
      </c>
      <c r="C114" s="114">
        <v>8114691</v>
      </c>
      <c r="D114" s="114">
        <v>4500000</v>
      </c>
    </row>
    <row r="115" spans="1:4" x14ac:dyDescent="0.35">
      <c r="A115" s="5" t="s">
        <v>659</v>
      </c>
      <c r="B115" s="113">
        <v>7884</v>
      </c>
      <c r="C115" s="113">
        <v>7884</v>
      </c>
      <c r="D115" s="113">
        <v>7884</v>
      </c>
    </row>
    <row r="116" spans="1:4" x14ac:dyDescent="0.35">
      <c r="A116" s="5" t="s">
        <v>117</v>
      </c>
      <c r="B116" s="121">
        <f>B16</f>
        <v>2007</v>
      </c>
      <c r="C116" s="121">
        <f>C16</f>
        <v>2007</v>
      </c>
      <c r="D116" s="121">
        <f>D16</f>
        <v>2014</v>
      </c>
    </row>
    <row r="117" spans="1:4" x14ac:dyDescent="0.35">
      <c r="A117" s="5" t="s">
        <v>218</v>
      </c>
      <c r="B117" s="120">
        <f>B11</f>
        <v>63.520871143375679</v>
      </c>
      <c r="C117" s="120">
        <f>C11</f>
        <v>63.520871143375679</v>
      </c>
      <c r="D117" s="120">
        <f>D11</f>
        <v>0</v>
      </c>
    </row>
    <row r="118" spans="1:4" x14ac:dyDescent="0.35">
      <c r="A118" s="5" t="s">
        <v>105</v>
      </c>
      <c r="B118" s="115">
        <v>0</v>
      </c>
      <c r="C118" s="115">
        <v>0</v>
      </c>
      <c r="D118" s="115">
        <v>0</v>
      </c>
    </row>
    <row r="119" spans="1:4" x14ac:dyDescent="0.35">
      <c r="A119" s="5" t="s">
        <v>48</v>
      </c>
      <c r="B119" s="112">
        <v>38.246188302179348</v>
      </c>
      <c r="C119" s="112">
        <v>21.707296063399088</v>
      </c>
      <c r="D119" s="112">
        <f>D120/116090*1000000</f>
        <v>29.804462055301922</v>
      </c>
    </row>
    <row r="120" spans="1:4" x14ac:dyDescent="0.35">
      <c r="A120" s="5" t="s">
        <v>69</v>
      </c>
      <c r="B120" s="112">
        <f>B17</f>
        <v>4.4400000000000004</v>
      </c>
      <c r="C120" s="112">
        <f>C17</f>
        <v>2.52</v>
      </c>
      <c r="D120" s="112">
        <f>D17</f>
        <v>3.46</v>
      </c>
    </row>
    <row r="121" spans="1:4" x14ac:dyDescent="0.35">
      <c r="A121" s="17"/>
    </row>
    <row r="122" spans="1:4" x14ac:dyDescent="0.35">
      <c r="A122" s="17"/>
    </row>
  </sheetData>
  <hyperlinks>
    <hyperlink ref="B5" r:id="rId1" display="http://www.sciencedirect.com/science/article/pii/S0306261914002840" xr:uid="{00000000-0004-0000-0500-000000000000}"/>
    <hyperlink ref="C5" r:id="rId2" display="http://www.sciencedirect.com/science/article/pii/S0306261914002840" xr:uid="{00000000-0004-0000-0500-000001000000}"/>
    <hyperlink ref="D5" r:id="rId3" xr:uid="{76B1EF92-0278-4C99-88A9-9A00E853B2C8}"/>
  </hyperlinks>
  <pageMargins left="0.7" right="0.7" top="0.75" bottom="0.75" header="0.3" footer="0.3"/>
  <pageSetup orientation="portrait"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52"/>
  <sheetViews>
    <sheetView zoomScaleNormal="100" workbookViewId="0">
      <pane xSplit="1" ySplit="7" topLeftCell="B8" activePane="bottomRight" state="frozen"/>
      <selection activeCell="E82" sqref="E82"/>
      <selection pane="topRight" activeCell="E82" sqref="E82"/>
      <selection pane="bottomLeft" activeCell="E82" sqref="E82"/>
      <selection pane="bottomRight" activeCell="H114" sqref="H114"/>
    </sheetView>
  </sheetViews>
  <sheetFormatPr defaultRowHeight="14.5" x14ac:dyDescent="0.35"/>
  <cols>
    <col min="1" max="1" width="50.54296875" style="1" customWidth="1"/>
    <col min="2" max="2" width="54.7265625" customWidth="1"/>
    <col min="3" max="3" width="54.453125" customWidth="1"/>
    <col min="4" max="4" width="56.81640625" customWidth="1"/>
    <col min="5" max="7" width="56.7265625" style="81" customWidth="1"/>
  </cols>
  <sheetData>
    <row r="1" spans="1:8" ht="18.5" x14ac:dyDescent="0.45">
      <c r="A1" s="170" t="s">
        <v>305</v>
      </c>
      <c r="B1" s="56"/>
      <c r="C1" s="56"/>
      <c r="D1" s="56"/>
      <c r="E1" s="223"/>
      <c r="F1" s="223"/>
      <c r="G1" s="223"/>
    </row>
    <row r="2" spans="1:8" ht="43.5" customHeight="1" x14ac:dyDescent="0.35">
      <c r="A2" s="4" t="s">
        <v>0</v>
      </c>
      <c r="B2" s="80" t="s">
        <v>272</v>
      </c>
      <c r="C2" s="13" t="s">
        <v>284</v>
      </c>
      <c r="D2" s="80" t="s">
        <v>386</v>
      </c>
      <c r="E2" s="207" t="s">
        <v>613</v>
      </c>
      <c r="F2" s="207" t="s">
        <v>614</v>
      </c>
      <c r="G2" s="207" t="s">
        <v>568</v>
      </c>
    </row>
    <row r="3" spans="1:8" ht="58" x14ac:dyDescent="0.35">
      <c r="A3" s="4" t="s">
        <v>1</v>
      </c>
      <c r="B3" s="80" t="s">
        <v>273</v>
      </c>
      <c r="C3" s="13" t="s">
        <v>285</v>
      </c>
      <c r="D3" s="80" t="s">
        <v>387</v>
      </c>
      <c r="E3" s="207" t="s">
        <v>572</v>
      </c>
      <c r="F3" s="207" t="s">
        <v>572</v>
      </c>
      <c r="G3" s="207" t="s">
        <v>569</v>
      </c>
    </row>
    <row r="4" spans="1:8" x14ac:dyDescent="0.35">
      <c r="A4" s="3" t="s">
        <v>2</v>
      </c>
      <c r="B4" s="143">
        <v>2012</v>
      </c>
      <c r="C4" s="9">
        <v>2014</v>
      </c>
      <c r="D4" s="143">
        <v>2016</v>
      </c>
      <c r="E4" s="143">
        <v>2020</v>
      </c>
      <c r="F4" s="143">
        <v>2020</v>
      </c>
      <c r="G4" s="143">
        <v>2020</v>
      </c>
    </row>
    <row r="5" spans="1:8" ht="43.5" customHeight="1" x14ac:dyDescent="0.35">
      <c r="A5" s="3" t="s">
        <v>274</v>
      </c>
      <c r="B5" s="157" t="s">
        <v>661</v>
      </c>
      <c r="C5" s="157" t="s">
        <v>662</v>
      </c>
      <c r="D5" s="157" t="s">
        <v>663</v>
      </c>
      <c r="E5" s="157" t="s">
        <v>690</v>
      </c>
      <c r="F5" s="157" t="s">
        <v>690</v>
      </c>
      <c r="G5" s="157" t="s">
        <v>691</v>
      </c>
    </row>
    <row r="6" spans="1:8" ht="29" x14ac:dyDescent="0.35">
      <c r="A6" s="4" t="s">
        <v>3</v>
      </c>
      <c r="B6" s="140" t="s">
        <v>223</v>
      </c>
      <c r="C6" s="54" t="s">
        <v>286</v>
      </c>
      <c r="D6" s="140" t="s">
        <v>388</v>
      </c>
      <c r="E6" s="204" t="s">
        <v>573</v>
      </c>
      <c r="F6" s="204" t="s">
        <v>573</v>
      </c>
      <c r="G6" s="204" t="s">
        <v>570</v>
      </c>
    </row>
    <row r="7" spans="1:8" ht="33" customHeight="1" x14ac:dyDescent="0.35">
      <c r="A7" s="4" t="s">
        <v>195</v>
      </c>
      <c r="B7" s="157" t="s">
        <v>530</v>
      </c>
      <c r="D7" s="217" t="s">
        <v>612</v>
      </c>
      <c r="E7" s="157" t="s">
        <v>602</v>
      </c>
      <c r="F7" s="157" t="s">
        <v>603</v>
      </c>
      <c r="G7" s="157" t="s">
        <v>610</v>
      </c>
    </row>
    <row r="8" spans="1:8" x14ac:dyDescent="0.35">
      <c r="A8" s="36" t="s">
        <v>433</v>
      </c>
      <c r="B8" s="149"/>
      <c r="D8" s="149"/>
      <c r="E8" s="233"/>
      <c r="F8" s="234"/>
      <c r="G8" s="233"/>
    </row>
    <row r="9" spans="1:8" x14ac:dyDescent="0.35">
      <c r="A9" s="4" t="s">
        <v>4</v>
      </c>
      <c r="B9" s="79" t="s">
        <v>141</v>
      </c>
      <c r="C9" s="79" t="s">
        <v>141</v>
      </c>
      <c r="D9" s="79" t="s">
        <v>532</v>
      </c>
      <c r="E9" s="210" t="s">
        <v>631</v>
      </c>
      <c r="F9" s="210" t="s">
        <v>631</v>
      </c>
      <c r="G9" s="248" t="s">
        <v>611</v>
      </c>
      <c r="H9" s="208"/>
    </row>
    <row r="10" spans="1:8" x14ac:dyDescent="0.35">
      <c r="A10" s="4" t="s">
        <v>9</v>
      </c>
      <c r="B10" s="80" t="s">
        <v>305</v>
      </c>
      <c r="C10" s="80" t="s">
        <v>305</v>
      </c>
      <c r="D10" s="80" t="s">
        <v>305</v>
      </c>
      <c r="E10" s="207" t="s">
        <v>305</v>
      </c>
      <c r="F10" s="207" t="s">
        <v>305</v>
      </c>
      <c r="G10" s="232" t="s">
        <v>305</v>
      </c>
      <c r="H10" s="207"/>
    </row>
    <row r="11" spans="1:8" x14ac:dyDescent="0.35">
      <c r="A11" s="4" t="s">
        <v>237</v>
      </c>
      <c r="B11" s="141" t="s">
        <v>531</v>
      </c>
      <c r="C11" s="161">
        <v>430</v>
      </c>
      <c r="D11" s="230" t="s">
        <v>533</v>
      </c>
      <c r="E11" s="161">
        <v>670</v>
      </c>
      <c r="F11" s="161">
        <v>670</v>
      </c>
      <c r="G11" s="230" t="s">
        <v>533</v>
      </c>
      <c r="H11" s="211"/>
    </row>
    <row r="12" spans="1:8" x14ac:dyDescent="0.35">
      <c r="A12" s="5" t="s">
        <v>11</v>
      </c>
      <c r="B12" s="79" t="s">
        <v>773</v>
      </c>
      <c r="C12" s="163">
        <f>'Supporting Calculations'!B551</f>
        <v>1215.0635208711433</v>
      </c>
      <c r="D12" s="79" t="s">
        <v>534</v>
      </c>
      <c r="E12" s="210" t="s">
        <v>534</v>
      </c>
      <c r="F12" s="210" t="s">
        <v>534</v>
      </c>
      <c r="G12" s="210" t="s">
        <v>534</v>
      </c>
      <c r="H12" s="210"/>
    </row>
    <row r="13" spans="1:8" x14ac:dyDescent="0.35">
      <c r="A13" s="5" t="s">
        <v>643</v>
      </c>
      <c r="B13" s="163">
        <v>330</v>
      </c>
      <c r="C13" s="163">
        <v>330</v>
      </c>
      <c r="D13" s="163">
        <v>330</v>
      </c>
      <c r="E13" s="163">
        <f>7920/24</f>
        <v>330</v>
      </c>
      <c r="F13" s="163">
        <f>7920/24</f>
        <v>330</v>
      </c>
      <c r="G13" s="270">
        <f>7920/24</f>
        <v>330</v>
      </c>
      <c r="H13" s="209"/>
    </row>
    <row r="14" spans="1:8" x14ac:dyDescent="0.35">
      <c r="A14" s="5" t="s">
        <v>632</v>
      </c>
      <c r="B14" s="117">
        <v>0.9</v>
      </c>
      <c r="C14" s="117">
        <v>0.9</v>
      </c>
      <c r="D14" s="117">
        <v>0.9</v>
      </c>
      <c r="E14" s="271">
        <v>0.9</v>
      </c>
      <c r="F14" s="271">
        <v>0.9</v>
      </c>
      <c r="G14" s="271">
        <v>0.9</v>
      </c>
      <c r="H14" s="215"/>
    </row>
    <row r="15" spans="1:8" x14ac:dyDescent="0.35">
      <c r="A15" s="5" t="s">
        <v>432</v>
      </c>
      <c r="B15" s="123"/>
      <c r="C15" s="123">
        <f>'Supporting Calculations'!B556</f>
        <v>134.98923249203204</v>
      </c>
      <c r="D15" s="123"/>
      <c r="E15" s="196">
        <v>90.98</v>
      </c>
      <c r="F15" s="137">
        <v>91.38</v>
      </c>
      <c r="G15" s="250"/>
    </row>
    <row r="16" spans="1:8" x14ac:dyDescent="0.35">
      <c r="A16" s="4" t="s">
        <v>20</v>
      </c>
      <c r="B16" s="80">
        <v>2007</v>
      </c>
      <c r="C16" s="80">
        <v>2011</v>
      </c>
      <c r="D16" s="80">
        <v>2014</v>
      </c>
      <c r="E16" s="207">
        <v>2016</v>
      </c>
      <c r="F16" s="207">
        <v>2016</v>
      </c>
      <c r="G16" s="207">
        <v>2016</v>
      </c>
    </row>
    <row r="17" spans="1:7" x14ac:dyDescent="0.35">
      <c r="A17" s="4" t="s">
        <v>458</v>
      </c>
      <c r="B17" s="92">
        <f>'Supporting Calculations'!B528</f>
        <v>16.837342934994158</v>
      </c>
      <c r="C17" s="92">
        <v>4.49</v>
      </c>
      <c r="D17" s="92"/>
      <c r="E17" s="92">
        <v>9.5</v>
      </c>
      <c r="F17" s="92">
        <v>9.8800000000000008</v>
      </c>
      <c r="G17" s="92"/>
    </row>
    <row r="18" spans="1:7" x14ac:dyDescent="0.35">
      <c r="A18" s="4" t="s">
        <v>389</v>
      </c>
      <c r="B18" s="141" t="s">
        <v>531</v>
      </c>
      <c r="C18" s="92"/>
      <c r="D18" s="92">
        <v>494.25810000000001</v>
      </c>
      <c r="E18" s="244"/>
      <c r="F18" s="244"/>
      <c r="G18" s="92">
        <v>670</v>
      </c>
    </row>
    <row r="19" spans="1:7" x14ac:dyDescent="0.35">
      <c r="A19" s="4"/>
      <c r="B19" s="80"/>
      <c r="C19" s="80"/>
      <c r="D19" s="80"/>
      <c r="E19" s="207"/>
      <c r="G19" s="207"/>
    </row>
    <row r="20" spans="1:7" x14ac:dyDescent="0.35">
      <c r="A20" s="36" t="s">
        <v>49</v>
      </c>
      <c r="B20" s="93"/>
      <c r="C20" s="93"/>
      <c r="D20" s="93"/>
      <c r="E20" s="238"/>
      <c r="F20" s="234"/>
      <c r="G20" s="238"/>
    </row>
    <row r="21" spans="1:7" x14ac:dyDescent="0.35">
      <c r="A21" s="4" t="s">
        <v>19</v>
      </c>
      <c r="B21" s="45"/>
      <c r="C21" s="45"/>
      <c r="D21" s="45"/>
      <c r="E21" s="45"/>
      <c r="G21" s="45"/>
    </row>
    <row r="22" spans="1:7" x14ac:dyDescent="0.35">
      <c r="A22" s="52" t="s">
        <v>543</v>
      </c>
      <c r="B22" s="46">
        <f>138623453*4</f>
        <v>554493812</v>
      </c>
      <c r="C22" s="46"/>
      <c r="D22" s="46">
        <v>155908880</v>
      </c>
      <c r="E22" s="46"/>
      <c r="F22" s="46"/>
      <c r="G22" s="231">
        <f>150955089.91119</f>
        <v>150955089.91119</v>
      </c>
    </row>
    <row r="23" spans="1:7" x14ac:dyDescent="0.35">
      <c r="A23" s="159" t="s">
        <v>535</v>
      </c>
      <c r="B23" s="125">
        <f>50172465*4</f>
        <v>200689860</v>
      </c>
      <c r="C23" s="46"/>
      <c r="D23" s="46">
        <v>15859036</v>
      </c>
      <c r="E23" s="46"/>
      <c r="F23" s="46"/>
      <c r="G23" s="231">
        <f>15380987.3963459</f>
        <v>15380987.3963459</v>
      </c>
    </row>
    <row r="24" spans="1:7" x14ac:dyDescent="0.35">
      <c r="A24" s="53" t="s">
        <v>544</v>
      </c>
      <c r="B24" s="46">
        <f>205160226*4</f>
        <v>820640904</v>
      </c>
      <c r="C24" s="46"/>
      <c r="D24" s="46"/>
      <c r="E24" s="46"/>
      <c r="G24" s="46"/>
    </row>
    <row r="25" spans="1:7" x14ac:dyDescent="0.35">
      <c r="A25" s="52" t="s">
        <v>644</v>
      </c>
      <c r="B25" s="46">
        <f>38742761*4</f>
        <v>154971044</v>
      </c>
      <c r="C25" s="46"/>
      <c r="D25" s="46">
        <v>6411390</v>
      </c>
      <c r="E25" s="46"/>
      <c r="F25" s="46"/>
      <c r="G25" s="46">
        <f>4791039.08492152</f>
        <v>4791039.0849215202</v>
      </c>
    </row>
    <row r="26" spans="1:7" x14ac:dyDescent="0.35">
      <c r="A26" s="52" t="s">
        <v>645</v>
      </c>
      <c r="B26" s="46">
        <f>3678749*4</f>
        <v>14714996</v>
      </c>
      <c r="C26" s="46"/>
      <c r="D26" s="46">
        <v>7066913</v>
      </c>
      <c r="E26" s="46"/>
      <c r="F26" s="46"/>
      <c r="G26" s="46">
        <f>8945707.66798307</f>
        <v>8945707.66798307</v>
      </c>
    </row>
    <row r="27" spans="1:7" x14ac:dyDescent="0.35">
      <c r="A27" s="51" t="s">
        <v>646</v>
      </c>
      <c r="B27" s="46">
        <f>47036639*4</f>
        <v>188146556</v>
      </c>
      <c r="C27" s="46"/>
      <c r="D27" s="46">
        <v>26986383</v>
      </c>
      <c r="E27" s="46"/>
      <c r="F27" s="125"/>
      <c r="G27" s="46"/>
    </row>
    <row r="28" spans="1:7" x14ac:dyDescent="0.35">
      <c r="A28" s="51" t="s">
        <v>647</v>
      </c>
      <c r="B28" s="46">
        <f>1743214*4</f>
        <v>6972856</v>
      </c>
      <c r="C28" s="46"/>
      <c r="D28" s="46">
        <f>16163246+177</f>
        <v>16163423</v>
      </c>
      <c r="E28" s="46"/>
      <c r="F28" s="125"/>
      <c r="G28" s="46"/>
    </row>
    <row r="29" spans="1:7" x14ac:dyDescent="0.35">
      <c r="A29" s="52" t="s">
        <v>648</v>
      </c>
      <c r="B29" s="46">
        <f>4423502*4</f>
        <v>17694008</v>
      </c>
      <c r="C29" s="46"/>
      <c r="D29" s="46"/>
      <c r="E29" s="46"/>
      <c r="F29" s="125"/>
      <c r="G29" s="46"/>
    </row>
    <row r="30" spans="1:7" x14ac:dyDescent="0.35">
      <c r="A30" s="52" t="s">
        <v>587</v>
      </c>
      <c r="B30" s="46"/>
      <c r="C30" s="46"/>
      <c r="D30" s="46"/>
      <c r="E30" s="46"/>
      <c r="F30" s="125"/>
      <c r="G30" s="46">
        <f>36253930.3102034</f>
        <v>36253930.310203403</v>
      </c>
    </row>
    <row r="31" spans="1:7" x14ac:dyDescent="0.35">
      <c r="A31" s="52" t="s">
        <v>368</v>
      </c>
      <c r="B31" s="46"/>
      <c r="C31" s="46"/>
      <c r="D31" s="46"/>
      <c r="E31" s="46">
        <f>23454910.8483321</f>
        <v>23454910.8483321</v>
      </c>
      <c r="F31" s="125">
        <f>23454910.8483321</f>
        <v>23454910.8483321</v>
      </c>
      <c r="G31" s="46"/>
    </row>
    <row r="32" spans="1:7" x14ac:dyDescent="0.35">
      <c r="A32" s="52" t="s">
        <v>630</v>
      </c>
      <c r="B32" s="46"/>
      <c r="C32" s="46"/>
      <c r="D32" s="46"/>
      <c r="E32" s="231">
        <f>14513881.4586992</f>
        <v>14513881.4586992</v>
      </c>
      <c r="F32" s="125"/>
      <c r="G32" s="46"/>
    </row>
    <row r="33" spans="1:7" x14ac:dyDescent="0.35">
      <c r="A33" s="52" t="s">
        <v>586</v>
      </c>
      <c r="B33" s="46"/>
      <c r="C33" s="46"/>
      <c r="D33" s="46"/>
      <c r="E33" s="46"/>
      <c r="F33" s="125">
        <f>21989281.3163358</f>
        <v>21989281.316335801</v>
      </c>
      <c r="G33" s="46"/>
    </row>
    <row r="34" spans="1:7" x14ac:dyDescent="0.35">
      <c r="A34" s="52" t="s">
        <v>369</v>
      </c>
      <c r="B34" s="46">
        <f>14093888*4+2516766*4+192502*4+1503107*4</f>
        <v>73225052</v>
      </c>
      <c r="C34" s="46"/>
      <c r="D34" s="46"/>
      <c r="E34" s="46">
        <f>7206129.66370667</f>
        <v>7206129.6637066696</v>
      </c>
      <c r="F34" s="125">
        <f>11881423.8105682</f>
        <v>11881423.8105682</v>
      </c>
      <c r="G34" s="46"/>
    </row>
    <row r="35" spans="1:7" x14ac:dyDescent="0.35">
      <c r="A35" s="51" t="s">
        <v>370</v>
      </c>
      <c r="B35" s="46">
        <f>14013518*4</f>
        <v>56054072</v>
      </c>
      <c r="C35" s="46"/>
      <c r="D35" s="46"/>
      <c r="F35" s="125"/>
      <c r="G35" s="46"/>
    </row>
    <row r="36" spans="1:7" x14ac:dyDescent="0.35">
      <c r="A36" s="52" t="s">
        <v>583</v>
      </c>
      <c r="B36" s="46"/>
      <c r="C36" s="46"/>
      <c r="D36" s="46"/>
      <c r="E36" s="46">
        <f>5529644.34324472</f>
        <v>5529644.3432447203</v>
      </c>
      <c r="F36" s="125">
        <f>5921383.24902371</f>
        <v>5921383.2490237104</v>
      </c>
      <c r="G36" s="46"/>
    </row>
    <row r="37" spans="1:7" x14ac:dyDescent="0.35">
      <c r="A37" s="52" t="s">
        <v>584</v>
      </c>
      <c r="B37" s="46"/>
      <c r="C37" s="46"/>
      <c r="D37" s="46"/>
      <c r="E37" s="46">
        <f>4658934.98553271</f>
        <v>4658934.9855327103</v>
      </c>
      <c r="F37" s="125">
        <f>3399903.56733944</f>
        <v>3399903.5673394399</v>
      </c>
      <c r="G37" s="46"/>
    </row>
    <row r="38" spans="1:7" x14ac:dyDescent="0.35">
      <c r="A38" s="51" t="s">
        <v>371</v>
      </c>
      <c r="B38" s="125">
        <f>6199781*4+956671*4</f>
        <v>28625808</v>
      </c>
      <c r="C38" s="46"/>
      <c r="D38" s="46"/>
      <c r="E38" s="46">
        <f>5101175.06725786</f>
        <v>5101175.0672578597</v>
      </c>
      <c r="F38" s="125">
        <f>4172393.57590485</f>
        <v>4172393.5759048499</v>
      </c>
      <c r="G38" s="46"/>
    </row>
    <row r="39" spans="1:7" x14ac:dyDescent="0.35">
      <c r="A39" s="51" t="s">
        <v>372</v>
      </c>
      <c r="B39" s="46"/>
      <c r="C39" s="46"/>
      <c r="D39" s="46"/>
      <c r="E39" s="46">
        <f>2776084.24749196</f>
        <v>2776084.2474919599</v>
      </c>
      <c r="F39" s="125">
        <f>2984407.66899836</f>
        <v>2984407.6689983602</v>
      </c>
      <c r="G39" s="46"/>
    </row>
    <row r="40" spans="1:7" x14ac:dyDescent="0.35">
      <c r="A40" s="53" t="s">
        <v>649</v>
      </c>
      <c r="B40" s="125">
        <f>13209532*4</f>
        <v>52838128</v>
      </c>
      <c r="C40" s="125"/>
      <c r="D40" s="125"/>
      <c r="E40" s="125"/>
      <c r="F40" s="125"/>
      <c r="G40" s="125"/>
    </row>
    <row r="41" spans="1:7" x14ac:dyDescent="0.35">
      <c r="A41" s="52" t="s">
        <v>650</v>
      </c>
      <c r="B41" s="125">
        <v>23882927</v>
      </c>
      <c r="C41" s="125"/>
      <c r="D41" s="125"/>
      <c r="E41" s="125"/>
      <c r="F41" s="125"/>
      <c r="G41" s="125"/>
    </row>
    <row r="42" spans="1:7" x14ac:dyDescent="0.35">
      <c r="A42" s="159" t="s">
        <v>290</v>
      </c>
      <c r="B42" s="125"/>
      <c r="C42" s="125">
        <v>101800000</v>
      </c>
      <c r="D42" s="125"/>
      <c r="E42" s="125"/>
      <c r="F42" s="125"/>
      <c r="G42" s="125"/>
    </row>
    <row r="43" spans="1:7" x14ac:dyDescent="0.35">
      <c r="A43" s="159" t="s">
        <v>291</v>
      </c>
      <c r="B43" s="125"/>
      <c r="C43" s="125">
        <v>81400000</v>
      </c>
      <c r="D43" s="125"/>
      <c r="E43" s="125"/>
      <c r="F43" s="125"/>
      <c r="G43" s="125"/>
    </row>
    <row r="44" spans="1:7" x14ac:dyDescent="0.35">
      <c r="A44" s="159" t="s">
        <v>292</v>
      </c>
      <c r="B44" s="125"/>
      <c r="C44" s="125">
        <v>24700000</v>
      </c>
      <c r="D44" s="125"/>
      <c r="E44" s="125"/>
      <c r="F44" s="125"/>
      <c r="G44" s="125"/>
    </row>
    <row r="45" spans="1:7" x14ac:dyDescent="0.35">
      <c r="A45" s="159" t="s">
        <v>119</v>
      </c>
      <c r="B45" s="125"/>
      <c r="C45" s="125">
        <v>5700000</v>
      </c>
      <c r="D45" s="125"/>
      <c r="E45" s="125"/>
      <c r="F45" s="125"/>
      <c r="G45" s="125"/>
    </row>
    <row r="46" spans="1:7" x14ac:dyDescent="0.35">
      <c r="A46" s="159" t="s">
        <v>120</v>
      </c>
      <c r="B46" s="125"/>
      <c r="C46" s="125">
        <v>28600000</v>
      </c>
      <c r="D46" s="125"/>
      <c r="E46" s="125"/>
      <c r="F46" s="125"/>
      <c r="G46" s="125"/>
    </row>
    <row r="47" spans="1:7" x14ac:dyDescent="0.35">
      <c r="A47" s="159" t="s">
        <v>293</v>
      </c>
      <c r="B47" s="125"/>
      <c r="C47" s="125">
        <v>3600000</v>
      </c>
      <c r="D47" s="125"/>
      <c r="E47" s="125"/>
      <c r="F47" s="125"/>
      <c r="G47" s="125"/>
    </row>
    <row r="48" spans="1:7" x14ac:dyDescent="0.35">
      <c r="A48" s="159" t="s">
        <v>294</v>
      </c>
      <c r="B48" s="125"/>
      <c r="C48" s="125">
        <v>6800000</v>
      </c>
      <c r="D48" s="125"/>
      <c r="E48" s="125"/>
      <c r="F48" s="125"/>
      <c r="G48" s="125"/>
    </row>
    <row r="49" spans="1:10" x14ac:dyDescent="0.35">
      <c r="A49" s="159" t="s">
        <v>131</v>
      </c>
      <c r="B49" s="125"/>
      <c r="C49" s="125"/>
      <c r="D49" s="125">
        <v>5247692</v>
      </c>
      <c r="E49" s="125"/>
      <c r="F49" s="125"/>
      <c r="G49" s="125">
        <f>3286823.87014947</f>
        <v>3286823.8701494699</v>
      </c>
    </row>
    <row r="50" spans="1:10" x14ac:dyDescent="0.35">
      <c r="A50" s="47" t="s">
        <v>275</v>
      </c>
      <c r="B50" s="94">
        <f>SUM(B22:B48)</f>
        <v>2192950023</v>
      </c>
      <c r="C50" s="94">
        <f>SUM(C22:C48)</f>
        <v>252600000</v>
      </c>
      <c r="D50" s="94">
        <f>SUM(D22:D49)</f>
        <v>233643717</v>
      </c>
      <c r="E50" s="126">
        <f>SUM(E22:E49)</f>
        <v>63240760.614265226</v>
      </c>
      <c r="F50" s="94">
        <f>SUM(F22:F49)</f>
        <v>73803704.036502466</v>
      </c>
      <c r="G50" s="126">
        <f>SUM(G22:G49)</f>
        <v>219613578.24079335</v>
      </c>
    </row>
    <row r="51" spans="1:10" x14ac:dyDescent="0.35">
      <c r="A51" s="50" t="s">
        <v>190</v>
      </c>
      <c r="B51" s="125">
        <f>35925926*4</f>
        <v>143703704</v>
      </c>
      <c r="C51" s="125">
        <v>0</v>
      </c>
      <c r="D51" s="125"/>
      <c r="E51" s="125"/>
      <c r="G51" s="125"/>
    </row>
    <row r="52" spans="1:10" x14ac:dyDescent="0.35">
      <c r="A52" s="47" t="s">
        <v>276</v>
      </c>
      <c r="B52" s="126">
        <f>B51</f>
        <v>143703704</v>
      </c>
      <c r="C52" s="126">
        <f>C51</f>
        <v>0</v>
      </c>
      <c r="D52" s="126"/>
      <c r="E52" s="126"/>
      <c r="G52" s="126"/>
    </row>
    <row r="53" spans="1:10" x14ac:dyDescent="0.35">
      <c r="A53" s="160" t="s">
        <v>133</v>
      </c>
      <c r="B53" s="94">
        <f t="shared" ref="B53:G53" si="0">SUM(B50,B52)</f>
        <v>2336653727</v>
      </c>
      <c r="C53" s="94">
        <f t="shared" si="0"/>
        <v>252600000</v>
      </c>
      <c r="D53" s="94">
        <f t="shared" si="0"/>
        <v>233643717</v>
      </c>
      <c r="E53" s="94">
        <f t="shared" si="0"/>
        <v>63240760.614265226</v>
      </c>
      <c r="F53" s="94">
        <f t="shared" si="0"/>
        <v>73803704.036502466</v>
      </c>
      <c r="G53" s="94">
        <f t="shared" si="0"/>
        <v>219613578.24079335</v>
      </c>
    </row>
    <row r="54" spans="1:10" x14ac:dyDescent="0.35">
      <c r="A54" s="36" t="s">
        <v>298</v>
      </c>
      <c r="B54" s="46"/>
      <c r="C54" s="46"/>
      <c r="D54" s="46"/>
      <c r="E54" s="46"/>
      <c r="F54" s="86"/>
      <c r="G54" s="46"/>
      <c r="J54" s="212"/>
    </row>
    <row r="55" spans="1:10" x14ac:dyDescent="0.35">
      <c r="A55" s="20" t="s">
        <v>238</v>
      </c>
      <c r="B55" s="46">
        <f>19704258</f>
        <v>19704258</v>
      </c>
      <c r="C55" s="46">
        <f>C53*0.01</f>
        <v>2526000</v>
      </c>
      <c r="D55" s="46">
        <v>3821561</v>
      </c>
      <c r="E55" s="46">
        <f>SUM(E31:E36)*0.04</f>
        <v>2028182.6525593079</v>
      </c>
      <c r="F55" s="46">
        <f>SUM(F31:F36)*0.04</f>
        <v>2529879.9689703928</v>
      </c>
      <c r="G55" s="46">
        <f>(SUM(G22,G23))*0.0122+G30*0.04</f>
        <v>3479457.3555600746</v>
      </c>
    </row>
    <row r="56" spans="1:10" x14ac:dyDescent="0.35">
      <c r="A56" s="20" t="s">
        <v>164</v>
      </c>
      <c r="B56" s="46">
        <v>53576202</v>
      </c>
      <c r="C56" s="46">
        <f>C53*0.09</f>
        <v>22734000</v>
      </c>
      <c r="D56" s="46">
        <v>15564195</v>
      </c>
      <c r="E56" s="46">
        <f>SUM(E31:E36)*0.09</f>
        <v>4563410.9682584424</v>
      </c>
      <c r="F56" s="46">
        <f>SUM(F31:F36)*0.09</f>
        <v>5692229.9301833836</v>
      </c>
      <c r="G56" s="46">
        <f>G30*0.09+1534*7706.90270471952</f>
        <v>15085242.476958051</v>
      </c>
    </row>
    <row r="57" spans="1:10" x14ac:dyDescent="0.35">
      <c r="A57" s="20" t="s">
        <v>562</v>
      </c>
      <c r="B57" s="46"/>
      <c r="C57" s="46">
        <v>9600000</v>
      </c>
      <c r="D57" s="46">
        <v>1941741</v>
      </c>
      <c r="E57" s="46">
        <f>SUM(E31:E36)*0.045</f>
        <v>2281705.4841292212</v>
      </c>
      <c r="F57" s="46">
        <f>SUM(F31:F36)*0.045</f>
        <v>2846114.9650916918</v>
      </c>
      <c r="G57" s="46">
        <f>G30*0.045</f>
        <v>1631426.8639591532</v>
      </c>
    </row>
    <row r="58" spans="1:10" x14ac:dyDescent="0.35">
      <c r="A58" s="47" t="s">
        <v>300</v>
      </c>
      <c r="B58" s="95">
        <f t="shared" ref="B58:G58" si="1">SUM(B53:B57)</f>
        <v>2409934187</v>
      </c>
      <c r="C58" s="95">
        <f t="shared" si="1"/>
        <v>287460000</v>
      </c>
      <c r="D58" s="95">
        <f t="shared" si="1"/>
        <v>254971214</v>
      </c>
      <c r="E58" s="95">
        <f t="shared" si="1"/>
        <v>72114059.719212204</v>
      </c>
      <c r="F58" s="95">
        <f t="shared" si="1"/>
        <v>84871928.900747925</v>
      </c>
      <c r="G58" s="95">
        <f t="shared" si="1"/>
        <v>239809704.93727061</v>
      </c>
    </row>
    <row r="59" spans="1:10" x14ac:dyDescent="0.35">
      <c r="A59" s="47" t="s">
        <v>296</v>
      </c>
      <c r="B59" s="94"/>
      <c r="C59" s="94"/>
      <c r="D59" s="94"/>
      <c r="E59" s="94"/>
      <c r="F59" s="94"/>
      <c r="G59" s="94"/>
    </row>
    <row r="60" spans="1:10" x14ac:dyDescent="0.35">
      <c r="A60" s="20" t="s">
        <v>633</v>
      </c>
      <c r="B60" s="125">
        <f>B58*0.1</f>
        <v>240993418.70000002</v>
      </c>
      <c r="C60" s="125">
        <f>C58*0.1</f>
        <v>28746000</v>
      </c>
      <c r="D60" s="125">
        <v>12328709</v>
      </c>
      <c r="E60" s="125">
        <f>E58*0.1</f>
        <v>7211405.9719212204</v>
      </c>
      <c r="F60" s="125">
        <f>F58*0.1</f>
        <v>8487192.8900747932</v>
      </c>
      <c r="G60" s="125">
        <f>SUM($G$22,$G$23,($G$22+$G$23)*0.0122)*0.04+SUM($G$30,$G$30*0.04,$G$30*0.09,$G$30*0.045)*0.1+SUM($G$25,$G$26,$G$49,1534*7706.90270471952)*0.01</f>
        <v>11282911.503197351</v>
      </c>
      <c r="H60" s="206"/>
    </row>
    <row r="61" spans="1:10" x14ac:dyDescent="0.35">
      <c r="A61" s="20" t="s">
        <v>166</v>
      </c>
      <c r="B61" s="125">
        <f>B58*0.1</f>
        <v>240993418.70000002</v>
      </c>
      <c r="C61" s="125">
        <f>C58*0.1</f>
        <v>28746000</v>
      </c>
      <c r="D61" s="125">
        <v>13128481</v>
      </c>
      <c r="E61" s="125">
        <f>E58*0.1</f>
        <v>7211405.9719212204</v>
      </c>
      <c r="F61" s="125">
        <f>F58*0.1</f>
        <v>8487192.8900747932</v>
      </c>
      <c r="G61" s="125">
        <f>SUM($G$22,$G$23,($G$22+$G$23)*0.0122)*0.0446+SUM($G$30,$G$30*0.04,$G$30*0.09,$G$30*0.045)*0.1+SUM($G$25,$G$26,$G$49,1534*7706.90270471952)*0.01</f>
        <v>12057392.239470515</v>
      </c>
    </row>
    <row r="62" spans="1:10" x14ac:dyDescent="0.35">
      <c r="A62" s="20" t="s">
        <v>431</v>
      </c>
      <c r="B62" s="125">
        <f>B58*0.1</f>
        <v>240993418.70000002</v>
      </c>
      <c r="C62" s="125">
        <f>C58*0.2</f>
        <v>57492000</v>
      </c>
      <c r="D62" s="125">
        <v>28421756</v>
      </c>
      <c r="E62" s="125">
        <f>E58*0.2</f>
        <v>14422811.943842441</v>
      </c>
      <c r="F62" s="125">
        <f>F58*0.2</f>
        <v>16974385.780149586</v>
      </c>
      <c r="G62" s="125">
        <f>SUM($G$22,$G$23,($G$22+$G$23)*0.0122)*0.1034+SUM($G$30,$G$30*0.04,$G$30*0.09,$G$30*0.045)*0.2+SUM($G$25,$G$26,$G$49,1534*7706.90270471952)*0.01</f>
        <v>26217113.245019864</v>
      </c>
    </row>
    <row r="63" spans="1:10" x14ac:dyDescent="0.35">
      <c r="A63" s="20" t="s">
        <v>137</v>
      </c>
      <c r="B63" s="125">
        <f>B58*0.2</f>
        <v>481986837.40000004</v>
      </c>
      <c r="C63" s="125">
        <f>C58*0.1</f>
        <v>28746000</v>
      </c>
      <c r="D63" s="125">
        <v>25497121</v>
      </c>
      <c r="E63" s="125">
        <f>E58*0.1</f>
        <v>7211405.9719212204</v>
      </c>
      <c r="F63" s="125">
        <f>F58*0.1</f>
        <v>8487192.8900747932</v>
      </c>
      <c r="G63" s="125">
        <f>SUM($G$22,$G$23,($G$22+$G$23)*0.0122)*0.1+SUM($G$30,$G$30*0.04,$G$30*0.09,$G$30*0.045)*0.1+SUM($G$25,$G$26,$G$49,1534*7706.90270471952)*0.1</f>
        <v>23980970.493727066</v>
      </c>
    </row>
    <row r="64" spans="1:10" x14ac:dyDescent="0.35">
      <c r="A64" s="20" t="s">
        <v>656</v>
      </c>
      <c r="B64" s="125">
        <f>B58*0.05</f>
        <v>120496709.35000001</v>
      </c>
      <c r="C64" s="125">
        <f>C58*0.05</f>
        <v>14373000</v>
      </c>
      <c r="D64" s="125">
        <v>9964165</v>
      </c>
      <c r="E64" s="125">
        <f>E58*0.1</f>
        <v>7211405.9719212204</v>
      </c>
      <c r="F64" s="125">
        <f>F58*0.1</f>
        <v>8487192.8900747932</v>
      </c>
      <c r="G64" s="125">
        <f>SUM($G$22,$G$23,($G$22+$G$23)*0.0122)*0.0264+SUM($G$30,$G$30*0.04,$G$30*0.09,$G$30*0.045)*0.1+SUM($G$25,$G$26,$G$49,1534*7706.90270471952)*0.01</f>
        <v>8993142.3698679972</v>
      </c>
    </row>
    <row r="65" spans="1:7" x14ac:dyDescent="0.35">
      <c r="A65" s="47" t="s">
        <v>297</v>
      </c>
      <c r="B65" s="95">
        <f>SUM(B60:B64)</f>
        <v>1325463802.8499999</v>
      </c>
      <c r="C65" s="95">
        <f>SUM(C60:C64)</f>
        <v>158103000</v>
      </c>
      <c r="D65" s="95">
        <f>SUM(D60:D64)</f>
        <v>89340232</v>
      </c>
      <c r="E65" s="95">
        <f>SUM(E60:E64)</f>
        <v>43268435.831527323</v>
      </c>
      <c r="F65" s="95">
        <f>ROUND(SUM(F60:F64),-5)</f>
        <v>50900000</v>
      </c>
      <c r="G65" s="95">
        <f>SUM(G60:G64)</f>
        <v>82531529.85128279</v>
      </c>
    </row>
    <row r="66" spans="1:7" x14ac:dyDescent="0.35">
      <c r="A66" s="47" t="s">
        <v>39</v>
      </c>
      <c r="B66" s="85">
        <f>SUM(B58,B65)</f>
        <v>3735397989.8499999</v>
      </c>
      <c r="C66" s="85">
        <f>SUM(C58,C65)</f>
        <v>445563000</v>
      </c>
      <c r="D66" s="85">
        <f>SUM(D58,D65)</f>
        <v>344311446</v>
      </c>
      <c r="E66" s="85">
        <f>ROUND(SUM(E58,E65),-5)</f>
        <v>115400000</v>
      </c>
      <c r="F66" s="85">
        <f>SUM(F58,F65)</f>
        <v>135771928.90074793</v>
      </c>
      <c r="G66" s="85">
        <f>SUM(G58,G65)</f>
        <v>322341234.78855342</v>
      </c>
    </row>
    <row r="67" spans="1:7" x14ac:dyDescent="0.35">
      <c r="A67" s="50" t="s">
        <v>190</v>
      </c>
      <c r="B67" s="85"/>
      <c r="C67" s="85"/>
      <c r="D67" s="154">
        <f>7615.545*3000</f>
        <v>22846635</v>
      </c>
      <c r="E67" s="46">
        <f>132*14000</f>
        <v>1848000</v>
      </c>
      <c r="F67" s="46">
        <f>132*14000</f>
        <v>1848000</v>
      </c>
      <c r="G67" s="154">
        <f>3000*7706.90270471952</f>
        <v>23120708.11415856</v>
      </c>
    </row>
    <row r="68" spans="1:7" x14ac:dyDescent="0.35">
      <c r="A68" s="20" t="s">
        <v>90</v>
      </c>
      <c r="B68" s="84">
        <f>B66*B123</f>
        <v>186769899.49250001</v>
      </c>
      <c r="C68" s="84">
        <f>C66*C123</f>
        <v>22278150</v>
      </c>
      <c r="D68" s="84">
        <f>D66*D123</f>
        <v>17215572.300000001</v>
      </c>
      <c r="E68" s="84">
        <f>E66*0.05</f>
        <v>5770000</v>
      </c>
      <c r="F68" s="84">
        <f>F66*0.05</f>
        <v>6788596.4450373966</v>
      </c>
      <c r="G68" s="84">
        <f>G66*0.05</f>
        <v>16117061.739427671</v>
      </c>
    </row>
    <row r="69" spans="1:7" x14ac:dyDescent="0.35">
      <c r="A69" s="47" t="s">
        <v>202</v>
      </c>
      <c r="B69" s="85">
        <f t="shared" ref="B69:G69" si="2">SUM(B66:B68)</f>
        <v>3922167889.3424997</v>
      </c>
      <c r="C69" s="85">
        <f t="shared" si="2"/>
        <v>467841150</v>
      </c>
      <c r="D69" s="85">
        <f t="shared" si="2"/>
        <v>384373653.30000001</v>
      </c>
      <c r="E69" s="85">
        <f t="shared" si="2"/>
        <v>123018000</v>
      </c>
      <c r="F69" s="85">
        <f t="shared" si="2"/>
        <v>144408525.34578532</v>
      </c>
      <c r="G69" s="85">
        <f t="shared" si="2"/>
        <v>361579004.64213967</v>
      </c>
    </row>
    <row r="70" spans="1:7" x14ac:dyDescent="0.35">
      <c r="B70" s="81"/>
      <c r="C70" s="81"/>
      <c r="D70" s="81"/>
    </row>
    <row r="71" spans="1:7" x14ac:dyDescent="0.35">
      <c r="A71" s="47"/>
      <c r="B71" s="45"/>
      <c r="C71" s="45"/>
      <c r="D71" s="45"/>
      <c r="E71" s="45"/>
      <c r="G71" s="45"/>
    </row>
    <row r="72" spans="1:7" x14ac:dyDescent="0.35">
      <c r="A72" s="37" t="s">
        <v>52</v>
      </c>
      <c r="B72" s="46"/>
      <c r="C72" s="46"/>
      <c r="D72" s="46"/>
      <c r="E72" s="46"/>
      <c r="G72" s="46"/>
    </row>
    <row r="73" spans="1:7" x14ac:dyDescent="0.35">
      <c r="A73" s="242" t="s">
        <v>406</v>
      </c>
      <c r="B73" s="46"/>
      <c r="C73" s="46"/>
      <c r="D73" s="46"/>
      <c r="E73" s="46"/>
      <c r="G73" s="46"/>
    </row>
    <row r="74" spans="1:7" x14ac:dyDescent="0.35">
      <c r="A74" s="20" t="s">
        <v>277</v>
      </c>
      <c r="B74" s="46">
        <f>5463235*4/B14</f>
        <v>24281044.444444444</v>
      </c>
      <c r="C74" s="46"/>
      <c r="D74" s="46">
        <f>5268288/D14</f>
        <v>5853653.333333333</v>
      </c>
      <c r="E74" s="46"/>
      <c r="F74" s="46"/>
      <c r="G74" s="46">
        <f>4170000/G14</f>
        <v>4633333.333333333</v>
      </c>
    </row>
    <row r="75" spans="1:7" x14ac:dyDescent="0.35">
      <c r="A75" s="20" t="s">
        <v>278</v>
      </c>
      <c r="B75" s="46">
        <f>4750034*4/B14</f>
        <v>21111262.22222222</v>
      </c>
      <c r="C75" s="46"/>
      <c r="D75" s="46">
        <f>3103189/D14+1226797/D14</f>
        <v>4811095.555555555</v>
      </c>
      <c r="E75" s="46"/>
      <c r="F75" s="46"/>
      <c r="G75" s="46">
        <f>780000/G14+1960000/G14</f>
        <v>3044444.444444444</v>
      </c>
    </row>
    <row r="76" spans="1:7" x14ac:dyDescent="0.35">
      <c r="A76" s="20" t="s">
        <v>279</v>
      </c>
      <c r="B76" s="46"/>
      <c r="C76" s="46"/>
      <c r="D76" s="46">
        <f>18205826/D14</f>
        <v>20228695.555555556</v>
      </c>
      <c r="E76" s="46"/>
      <c r="F76" s="46"/>
      <c r="G76" s="46">
        <f>11430000/G14</f>
        <v>12700000</v>
      </c>
    </row>
    <row r="77" spans="1:7" x14ac:dyDescent="0.35">
      <c r="A77" s="20" t="s">
        <v>280</v>
      </c>
      <c r="B77" s="46">
        <f>8260642*4/B14</f>
        <v>36713964.44444444</v>
      </c>
      <c r="C77" s="46"/>
      <c r="D77" s="46"/>
      <c r="E77" s="46"/>
      <c r="F77" s="46"/>
      <c r="G77" s="46"/>
    </row>
    <row r="78" spans="1:7" x14ac:dyDescent="0.35">
      <c r="A78" s="20" t="s">
        <v>651</v>
      </c>
      <c r="B78" s="46"/>
      <c r="C78" s="46"/>
      <c r="D78" s="46"/>
      <c r="E78" s="46"/>
      <c r="F78" s="46"/>
      <c r="G78" s="46"/>
    </row>
    <row r="79" spans="1:7" x14ac:dyDescent="0.35">
      <c r="A79" s="20" t="s">
        <v>652</v>
      </c>
      <c r="B79" s="46"/>
      <c r="C79" s="46"/>
      <c r="D79" s="46"/>
      <c r="E79" s="46"/>
      <c r="F79" s="46"/>
      <c r="G79" s="46"/>
    </row>
    <row r="80" spans="1:7" x14ac:dyDescent="0.35">
      <c r="A80" s="184" t="s">
        <v>540</v>
      </c>
      <c r="B80" s="46"/>
      <c r="C80" s="46"/>
      <c r="D80" s="46"/>
      <c r="G80" s="46"/>
    </row>
    <row r="81" spans="1:7" x14ac:dyDescent="0.35">
      <c r="A81" s="184" t="s">
        <v>122</v>
      </c>
      <c r="B81" s="46">
        <f>6103468/B14</f>
        <v>6781631.111111111</v>
      </c>
      <c r="C81" s="46"/>
      <c r="D81" s="46"/>
      <c r="E81" s="46">
        <f>1700000/E14</f>
        <v>1888888.8888888888</v>
      </c>
      <c r="F81" s="46">
        <f>1590000/F14</f>
        <v>1766666.6666666665</v>
      </c>
      <c r="G81" s="46"/>
    </row>
    <row r="82" spans="1:7" x14ac:dyDescent="0.35">
      <c r="A82" s="184" t="s">
        <v>62</v>
      </c>
      <c r="B82" s="46"/>
      <c r="C82" s="46">
        <f>6600000/C14</f>
        <v>7333333.333333333</v>
      </c>
      <c r="D82" s="46"/>
      <c r="E82" s="46">
        <f>1690000/E14</f>
        <v>1877777.7777777778</v>
      </c>
      <c r="F82" s="46">
        <f>770000/F14</f>
        <v>855555.5555555555</v>
      </c>
      <c r="G82" s="46"/>
    </row>
    <row r="83" spans="1:7" x14ac:dyDescent="0.35">
      <c r="A83" s="184" t="s">
        <v>281</v>
      </c>
      <c r="B83" s="46"/>
      <c r="C83" s="46"/>
      <c r="D83" s="46"/>
      <c r="E83" s="46">
        <f>140000/E14</f>
        <v>155555.55555555556</v>
      </c>
      <c r="F83" s="46">
        <f>190000/F14</f>
        <v>211111.11111111109</v>
      </c>
    </row>
    <row r="84" spans="1:7" x14ac:dyDescent="0.35">
      <c r="A84" s="20" t="s">
        <v>653</v>
      </c>
      <c r="B84" s="46">
        <f>1871714*4/B14</f>
        <v>8318728.888888889</v>
      </c>
      <c r="C84" s="46"/>
      <c r="D84" s="46"/>
      <c r="E84" s="46">
        <f>630000/E14</f>
        <v>700000</v>
      </c>
      <c r="F84" s="231">
        <f>1230000/F14</f>
        <v>1366666.6666666667</v>
      </c>
      <c r="G84" s="46"/>
    </row>
    <row r="85" spans="1:7" x14ac:dyDescent="0.35">
      <c r="A85" s="20" t="s">
        <v>67</v>
      </c>
      <c r="B85" s="46">
        <f>6023*4/B14</f>
        <v>26768.888888888887</v>
      </c>
      <c r="C85" s="46"/>
      <c r="D85" s="46"/>
      <c r="E85" s="46"/>
      <c r="F85" s="46"/>
      <c r="G85" s="46">
        <f>650000/G14</f>
        <v>722222.22222222225</v>
      </c>
    </row>
    <row r="86" spans="1:7" x14ac:dyDescent="0.35">
      <c r="A86" s="20" t="s">
        <v>541</v>
      </c>
      <c r="B86" s="95"/>
      <c r="C86" s="46">
        <f>190000000/C14</f>
        <v>211111111.1111111</v>
      </c>
      <c r="D86" s="95"/>
      <c r="E86" s="46">
        <f>76830000/E14</f>
        <v>85366666.666666672</v>
      </c>
      <c r="F86" s="46">
        <f>76830000/F14</f>
        <v>85366666.666666672</v>
      </c>
      <c r="G86" s="95"/>
    </row>
    <row r="87" spans="1:7" x14ac:dyDescent="0.35">
      <c r="A87" s="188" t="s">
        <v>176</v>
      </c>
      <c r="B87" s="46"/>
      <c r="C87" s="46">
        <f>8500000/C14</f>
        <v>9444444.444444444</v>
      </c>
      <c r="D87" s="46"/>
      <c r="E87" s="46">
        <f>3520000/E14+31862002/30/E14+3030000/E14</f>
        <v>8457851.9259259254</v>
      </c>
      <c r="F87" s="46">
        <f>3520000/F14+8311860/30/F14+6375418/30/F14+1640000/F14</f>
        <v>6277306.5925925924</v>
      </c>
      <c r="G87" s="46"/>
    </row>
    <row r="88" spans="1:7" x14ac:dyDescent="0.35">
      <c r="A88" s="20" t="s">
        <v>295</v>
      </c>
      <c r="B88" s="46">
        <f>787283/B14</f>
        <v>874758.88888888888</v>
      </c>
      <c r="C88" s="46">
        <f>3000000/C14</f>
        <v>3333333.333333333</v>
      </c>
      <c r="D88" s="46"/>
      <c r="E88" s="205"/>
      <c r="G88" s="46"/>
    </row>
    <row r="89" spans="1:7" x14ac:dyDescent="0.35">
      <c r="A89" s="20" t="s">
        <v>390</v>
      </c>
      <c r="B89" s="46"/>
      <c r="C89" s="46"/>
      <c r="D89" s="46">
        <f>742165/$D$14</f>
        <v>824627.77777777775</v>
      </c>
      <c r="E89" s="46"/>
      <c r="F89" s="46"/>
      <c r="G89" s="46">
        <f>720000/G14</f>
        <v>800000</v>
      </c>
    </row>
    <row r="90" spans="1:7" x14ac:dyDescent="0.35">
      <c r="A90" s="35" t="s">
        <v>51</v>
      </c>
      <c r="B90" s="46"/>
      <c r="C90" s="46"/>
      <c r="D90" s="46"/>
      <c r="E90" s="46"/>
      <c r="F90" s="46"/>
      <c r="G90" s="46"/>
    </row>
    <row r="91" spans="1:7" x14ac:dyDescent="0.35">
      <c r="A91" s="20" t="s">
        <v>68</v>
      </c>
      <c r="B91" s="46"/>
      <c r="C91" s="46">
        <v>2360000</v>
      </c>
      <c r="D91" s="46">
        <v>3681204</v>
      </c>
      <c r="E91" s="46">
        <v>1105294.5812807882</v>
      </c>
      <c r="F91" s="46">
        <v>1414061.0837438423</v>
      </c>
      <c r="G91" s="46">
        <v>3890188.1945268554</v>
      </c>
    </row>
    <row r="92" spans="1:7" x14ac:dyDescent="0.35">
      <c r="A92" s="20" t="s">
        <v>353</v>
      </c>
      <c r="B92" s="46"/>
      <c r="C92" s="46">
        <v>2120000</v>
      </c>
      <c r="D92" s="46">
        <f>D91*0.9</f>
        <v>3313083.6</v>
      </c>
      <c r="E92" s="46">
        <f>E91*0.9</f>
        <v>994765.12315270933</v>
      </c>
      <c r="F92" s="46">
        <f>F91*0.9</f>
        <v>1272654.9753694581</v>
      </c>
      <c r="G92" s="46">
        <f>G91*0.9</f>
        <v>3501169.3750741701</v>
      </c>
    </row>
    <row r="93" spans="1:7" x14ac:dyDescent="0.35">
      <c r="A93" s="20" t="s">
        <v>213</v>
      </c>
      <c r="B93" s="46"/>
      <c r="C93" s="46">
        <v>12850000</v>
      </c>
      <c r="D93" s="46">
        <f>SUM(D22:D26)*0.005+SUM(D27:D28)*0.03</f>
        <v>2220725.2749999999</v>
      </c>
      <c r="E93" s="46">
        <f>SUM(E31:E36)*0.03</f>
        <v>1521136.9894194808</v>
      </c>
      <c r="F93" s="46">
        <f>SUM(F31:F36)*0.03</f>
        <v>1897409.9767277944</v>
      </c>
      <c r="G93" s="46">
        <f>G30*0.03+(G22+G23+G25+G26)*0.005</f>
        <v>1987982.0296083044</v>
      </c>
    </row>
    <row r="94" spans="1:7" x14ac:dyDescent="0.35">
      <c r="A94" s="20" t="s">
        <v>217</v>
      </c>
      <c r="B94" s="46"/>
      <c r="C94" s="46">
        <f>C66*0.007</f>
        <v>3118941</v>
      </c>
      <c r="D94" s="46">
        <f>D66*0.007</f>
        <v>2410180.122</v>
      </c>
      <c r="E94" s="46">
        <f>E66*0.007</f>
        <v>807800</v>
      </c>
      <c r="F94" s="46">
        <f>F66*0.007</f>
        <v>950403.50230523548</v>
      </c>
      <c r="G94" s="46">
        <f>G66*0.007</f>
        <v>2256388.6435198742</v>
      </c>
    </row>
    <row r="95" spans="1:7" x14ac:dyDescent="0.35">
      <c r="A95" s="20" t="s">
        <v>282</v>
      </c>
      <c r="B95" s="46">
        <f>8216004*4+6572804</f>
        <v>39436820</v>
      </c>
      <c r="C95" s="46"/>
      <c r="D95" s="46"/>
      <c r="E95" s="46"/>
      <c r="F95" s="46"/>
      <c r="G95" s="46"/>
    </row>
    <row r="96" spans="1:7" x14ac:dyDescent="0.35">
      <c r="A96" s="20" t="s">
        <v>283</v>
      </c>
      <c r="B96" s="46">
        <f>19245183*4+15396146</f>
        <v>92376878</v>
      </c>
      <c r="C96" s="46"/>
      <c r="D96" s="46"/>
      <c r="E96" s="46"/>
      <c r="F96" s="46"/>
      <c r="G96" s="46"/>
    </row>
    <row r="97" spans="1:7" x14ac:dyDescent="0.35">
      <c r="A97" s="35" t="s">
        <v>155</v>
      </c>
      <c r="B97" s="46">
        <v>116000000</v>
      </c>
      <c r="C97" s="46">
        <v>14900000</v>
      </c>
      <c r="D97" s="46">
        <v>11500000</v>
      </c>
      <c r="E97" s="46">
        <v>3800000</v>
      </c>
      <c r="F97" s="46">
        <v>4500000</v>
      </c>
      <c r="G97" s="46">
        <v>10700000</v>
      </c>
    </row>
    <row r="98" spans="1:7" x14ac:dyDescent="0.35">
      <c r="A98" s="35" t="s">
        <v>156</v>
      </c>
      <c r="B98" s="46">
        <v>69300000</v>
      </c>
      <c r="C98" s="46">
        <v>1800000</v>
      </c>
      <c r="D98" s="46">
        <v>7500000</v>
      </c>
      <c r="E98" s="46">
        <v>1200000</v>
      </c>
      <c r="F98" s="46">
        <v>1400000</v>
      </c>
      <c r="G98" s="46">
        <v>3700000</v>
      </c>
    </row>
    <row r="99" spans="1:7" x14ac:dyDescent="0.35">
      <c r="A99" s="35" t="s">
        <v>157</v>
      </c>
      <c r="B99" s="46">
        <v>320050000</v>
      </c>
      <c r="C99" s="46">
        <v>8600000</v>
      </c>
      <c r="D99" s="46">
        <v>33500000</v>
      </c>
      <c r="E99" s="46">
        <v>10800000</v>
      </c>
      <c r="F99" s="46">
        <v>12800000</v>
      </c>
      <c r="G99" s="46">
        <v>31700000</v>
      </c>
    </row>
    <row r="100" spans="1:7" x14ac:dyDescent="0.35">
      <c r="A100" s="37"/>
      <c r="B100" s="85"/>
      <c r="C100" s="85"/>
      <c r="D100" s="85"/>
      <c r="E100" s="85"/>
      <c r="G100" s="85"/>
    </row>
    <row r="101" spans="1:7" x14ac:dyDescent="0.35">
      <c r="A101" s="35" t="s">
        <v>542</v>
      </c>
      <c r="B101" s="81"/>
      <c r="C101" s="81"/>
      <c r="D101" s="81"/>
    </row>
    <row r="102" spans="1:7" x14ac:dyDescent="0.35">
      <c r="A102" s="20" t="s">
        <v>660</v>
      </c>
      <c r="B102" s="46">
        <f>-527621*4/B14</f>
        <v>-2344982.222222222</v>
      </c>
      <c r="C102" s="81"/>
      <c r="D102" s="46"/>
      <c r="E102" s="46"/>
      <c r="G102" s="46"/>
    </row>
    <row r="103" spans="1:7" x14ac:dyDescent="0.35">
      <c r="A103" s="185" t="s">
        <v>377</v>
      </c>
      <c r="B103" s="46"/>
      <c r="C103" s="81"/>
      <c r="D103" s="46"/>
      <c r="E103" s="46"/>
      <c r="G103" s="46"/>
    </row>
    <row r="104" spans="1:7" x14ac:dyDescent="0.35">
      <c r="A104" s="185" t="s">
        <v>373</v>
      </c>
      <c r="B104" s="46"/>
      <c r="C104" s="81"/>
      <c r="D104" s="46"/>
      <c r="E104" s="46"/>
      <c r="G104" s="46"/>
    </row>
    <row r="105" spans="1:7" x14ac:dyDescent="0.35">
      <c r="A105" s="185" t="s">
        <v>374</v>
      </c>
      <c r="B105" s="46"/>
      <c r="C105" s="81"/>
      <c r="D105" s="46"/>
      <c r="E105" s="46"/>
      <c r="G105" s="46"/>
    </row>
    <row r="106" spans="1:7" x14ac:dyDescent="0.35">
      <c r="A106" s="185" t="s">
        <v>378</v>
      </c>
      <c r="B106" s="46"/>
      <c r="C106" s="81"/>
      <c r="D106" s="46"/>
      <c r="E106" s="46"/>
      <c r="G106" s="46"/>
    </row>
    <row r="107" spans="1:7" x14ac:dyDescent="0.35">
      <c r="A107" s="185" t="s">
        <v>375</v>
      </c>
      <c r="B107" s="46"/>
      <c r="C107" s="81"/>
      <c r="D107" s="46"/>
      <c r="E107" s="46"/>
      <c r="G107" s="46"/>
    </row>
    <row r="108" spans="1:7" x14ac:dyDescent="0.35">
      <c r="A108" s="185" t="s">
        <v>376</v>
      </c>
      <c r="B108" s="46"/>
      <c r="C108" s="81"/>
      <c r="D108" s="46"/>
      <c r="E108" s="46"/>
      <c r="G108" s="46"/>
    </row>
    <row r="109" spans="1:7" x14ac:dyDescent="0.35">
      <c r="A109" s="185" t="s">
        <v>625</v>
      </c>
      <c r="B109" s="205"/>
      <c r="C109" s="81"/>
      <c r="D109" s="46"/>
      <c r="E109" s="46">
        <f>-2160000/E14</f>
        <v>-2400000</v>
      </c>
      <c r="F109" s="46">
        <f>-310000/F14</f>
        <v>-344444.44444444444</v>
      </c>
      <c r="G109" s="46"/>
    </row>
    <row r="110" spans="1:7" x14ac:dyDescent="0.35">
      <c r="A110" s="20" t="s">
        <v>626</v>
      </c>
      <c r="B110" s="46">
        <f>-3868780/B14</f>
        <v>-4298644.444444444</v>
      </c>
      <c r="C110" s="46">
        <f>-36300000/C14</f>
        <v>-40333333.333333336</v>
      </c>
      <c r="D110" s="46"/>
      <c r="E110" s="46"/>
      <c r="G110" s="46"/>
    </row>
    <row r="111" spans="1:7" x14ac:dyDescent="0.35">
      <c r="A111" s="20" t="s">
        <v>627</v>
      </c>
      <c r="B111" s="46">
        <f>-2110483/B14</f>
        <v>-2344981.111111111</v>
      </c>
      <c r="C111" s="81"/>
      <c r="D111" s="46"/>
      <c r="E111" s="46"/>
      <c r="G111" s="46"/>
    </row>
    <row r="112" spans="1:7" x14ac:dyDescent="0.35">
      <c r="A112" s="240" t="s">
        <v>585</v>
      </c>
      <c r="B112" s="46"/>
      <c r="C112" s="46"/>
      <c r="D112" s="46"/>
      <c r="E112" s="46">
        <f>-6770000/E14</f>
        <v>-7522222.222222222</v>
      </c>
      <c r="F112" s="46">
        <f>-5700000/F14</f>
        <v>-6333333.333333333</v>
      </c>
      <c r="G112" s="46"/>
    </row>
    <row r="113" spans="1:7" x14ac:dyDescent="0.35">
      <c r="A113" s="20"/>
      <c r="B113" s="46"/>
      <c r="C113" s="81"/>
      <c r="D113" s="46"/>
      <c r="E113" s="46"/>
      <c r="G113" s="46"/>
    </row>
    <row r="114" spans="1:7" x14ac:dyDescent="0.35">
      <c r="A114" s="158" t="s">
        <v>289</v>
      </c>
      <c r="B114" s="95">
        <f>SUM(B102:B111)</f>
        <v>-8988607.7777777761</v>
      </c>
      <c r="C114" s="95">
        <f>SUM(C102:C111)</f>
        <v>-40333333.333333336</v>
      </c>
      <c r="D114" s="95">
        <f>SUM(D102:D111)</f>
        <v>0</v>
      </c>
      <c r="E114" s="95">
        <f>SUM(E102:E112)</f>
        <v>-9922222.222222222</v>
      </c>
      <c r="F114" s="95">
        <f>SUM(F102:F112)</f>
        <v>-6677777.7777777771</v>
      </c>
      <c r="G114" s="95">
        <f>SUM(G102:G112)</f>
        <v>0</v>
      </c>
    </row>
    <row r="115" spans="1:7" x14ac:dyDescent="0.35">
      <c r="A115" s="20"/>
      <c r="B115" s="46"/>
      <c r="C115" s="81"/>
      <c r="D115" s="46"/>
      <c r="E115" s="46"/>
      <c r="G115" s="46"/>
    </row>
    <row r="116" spans="1:7" x14ac:dyDescent="0.35">
      <c r="C116" s="81"/>
    </row>
    <row r="117" spans="1:7" x14ac:dyDescent="0.35">
      <c r="A117" s="37" t="s">
        <v>50</v>
      </c>
      <c r="C117" s="81"/>
    </row>
    <row r="118" spans="1:7" x14ac:dyDescent="0.35">
      <c r="A118" s="4" t="s">
        <v>39</v>
      </c>
      <c r="B118" s="45">
        <f t="shared" ref="B118:G118" si="3">B66</f>
        <v>3735397989.8499999</v>
      </c>
      <c r="C118" s="45">
        <f t="shared" si="3"/>
        <v>445563000</v>
      </c>
      <c r="D118" s="45">
        <f t="shared" si="3"/>
        <v>344311446</v>
      </c>
      <c r="E118" s="45">
        <f t="shared" si="3"/>
        <v>115400000</v>
      </c>
      <c r="F118" s="45">
        <f t="shared" si="3"/>
        <v>135771928.90074793</v>
      </c>
      <c r="G118" s="45">
        <f t="shared" si="3"/>
        <v>322341234.78855342</v>
      </c>
    </row>
    <row r="119" spans="1:7" x14ac:dyDescent="0.35">
      <c r="A119" s="27" t="s">
        <v>34</v>
      </c>
      <c r="B119" s="118">
        <v>0.4</v>
      </c>
      <c r="C119" s="118">
        <v>0.4</v>
      </c>
      <c r="D119" s="118">
        <v>0.4</v>
      </c>
      <c r="E119" s="118">
        <v>0.4</v>
      </c>
      <c r="F119" s="118">
        <v>0.4</v>
      </c>
      <c r="G119" s="118">
        <v>0.4</v>
      </c>
    </row>
    <row r="120" spans="1:7" x14ac:dyDescent="0.35">
      <c r="A120" s="26" t="s">
        <v>35</v>
      </c>
      <c r="B120" s="118">
        <v>0.08</v>
      </c>
      <c r="C120" s="118">
        <v>0.08</v>
      </c>
      <c r="D120" s="118">
        <v>0.08</v>
      </c>
      <c r="E120" s="118">
        <v>0.08</v>
      </c>
      <c r="F120" s="118">
        <v>0.08</v>
      </c>
      <c r="G120" s="118">
        <v>0.08</v>
      </c>
    </row>
    <row r="121" spans="1:7" x14ac:dyDescent="0.35">
      <c r="A121" s="26" t="s">
        <v>36</v>
      </c>
      <c r="B121" s="136">
        <v>10</v>
      </c>
      <c r="C121" s="136">
        <v>10</v>
      </c>
      <c r="D121" s="136">
        <v>10</v>
      </c>
      <c r="E121" s="136">
        <v>10</v>
      </c>
      <c r="F121" s="136">
        <v>10</v>
      </c>
      <c r="G121" s="136">
        <v>10</v>
      </c>
    </row>
    <row r="122" spans="1:7" x14ac:dyDescent="0.35">
      <c r="A122" s="26" t="s">
        <v>37</v>
      </c>
      <c r="B122" s="45">
        <f>-PMT(B120,B121,B118*(1-B119))</f>
        <v>334010671.50445724</v>
      </c>
      <c r="C122" s="45"/>
      <c r="D122" s="45">
        <v>30787535</v>
      </c>
      <c r="E122" s="45">
        <f>-PMT(E120,E121,E118*(1-E119))</f>
        <v>10318801.797385503</v>
      </c>
      <c r="F122" s="45">
        <f>-PMT(F120,F121,F118*(1-F119))</f>
        <v>12140412.686096482</v>
      </c>
      <c r="G122" s="45">
        <f>-PMT(G120,G121,G118*(1-G119))</f>
        <v>28823009.643913232</v>
      </c>
    </row>
    <row r="123" spans="1:7" x14ac:dyDescent="0.35">
      <c r="A123" s="5" t="s">
        <v>38</v>
      </c>
      <c r="B123" s="119">
        <v>0.05</v>
      </c>
      <c r="C123" s="119">
        <v>0.05</v>
      </c>
      <c r="D123" s="119">
        <v>0.05</v>
      </c>
      <c r="E123" s="119">
        <v>0.05</v>
      </c>
      <c r="F123" s="119">
        <v>0.05</v>
      </c>
      <c r="G123" s="119">
        <v>0.05</v>
      </c>
    </row>
    <row r="124" spans="1:7" x14ac:dyDescent="0.35">
      <c r="A124" s="5" t="s">
        <v>667</v>
      </c>
      <c r="B124" s="107">
        <v>30</v>
      </c>
      <c r="C124" s="107">
        <v>30</v>
      </c>
      <c r="D124" s="107">
        <v>30</v>
      </c>
      <c r="E124" s="107">
        <v>30</v>
      </c>
      <c r="F124" s="107">
        <v>30</v>
      </c>
      <c r="G124" s="107">
        <v>30</v>
      </c>
    </row>
    <row r="125" spans="1:7" x14ac:dyDescent="0.35">
      <c r="A125" s="5" t="s">
        <v>40</v>
      </c>
      <c r="B125" s="128"/>
      <c r="C125" s="128"/>
      <c r="D125" s="128"/>
      <c r="E125" s="128"/>
      <c r="F125" s="128"/>
      <c r="G125" s="128"/>
    </row>
    <row r="126" spans="1:7" x14ac:dyDescent="0.35">
      <c r="A126" s="17" t="s">
        <v>41</v>
      </c>
      <c r="B126" s="46">
        <v>0</v>
      </c>
      <c r="C126" s="46"/>
      <c r="D126" s="46">
        <v>0</v>
      </c>
      <c r="E126" s="46">
        <v>0</v>
      </c>
      <c r="F126" s="46">
        <v>0</v>
      </c>
      <c r="G126" s="46">
        <v>0</v>
      </c>
    </row>
    <row r="127" spans="1:7" x14ac:dyDescent="0.35">
      <c r="A127" s="17" t="s">
        <v>42</v>
      </c>
      <c r="B127" s="46">
        <v>0</v>
      </c>
      <c r="C127" s="46"/>
      <c r="D127" s="46">
        <v>0</v>
      </c>
      <c r="E127" s="46">
        <v>0</v>
      </c>
      <c r="F127" s="46">
        <v>0</v>
      </c>
      <c r="G127" s="46">
        <v>0</v>
      </c>
    </row>
    <row r="128" spans="1:7" x14ac:dyDescent="0.35">
      <c r="A128" s="5" t="s">
        <v>43</v>
      </c>
      <c r="B128" s="134" t="s">
        <v>222</v>
      </c>
      <c r="C128" s="134"/>
      <c r="D128" s="134" t="s">
        <v>222</v>
      </c>
      <c r="E128" s="134" t="s">
        <v>222</v>
      </c>
      <c r="F128" s="134" t="s">
        <v>222</v>
      </c>
      <c r="G128" s="134" t="s">
        <v>222</v>
      </c>
    </row>
    <row r="129" spans="1:7" x14ac:dyDescent="0.35">
      <c r="A129" s="17" t="s">
        <v>637</v>
      </c>
      <c r="B129" s="119"/>
      <c r="C129" s="119"/>
      <c r="D129" s="119"/>
      <c r="E129" s="119"/>
      <c r="F129" s="119"/>
      <c r="G129" s="119"/>
    </row>
    <row r="130" spans="1:7" x14ac:dyDescent="0.35">
      <c r="A130" s="17" t="s">
        <v>693</v>
      </c>
      <c r="B130" s="119"/>
      <c r="C130" s="119"/>
      <c r="D130" s="119"/>
      <c r="E130" s="119"/>
      <c r="F130" s="119"/>
      <c r="G130" s="119"/>
    </row>
    <row r="131" spans="1:7" x14ac:dyDescent="0.35">
      <c r="A131" s="5" t="s">
        <v>44</v>
      </c>
      <c r="B131" s="119"/>
      <c r="C131" s="119"/>
      <c r="D131" s="119"/>
      <c r="E131" s="119"/>
      <c r="F131" s="119"/>
      <c r="G131" s="119"/>
    </row>
    <row r="132" spans="1:7" x14ac:dyDescent="0.35">
      <c r="A132" s="17" t="s">
        <v>41</v>
      </c>
      <c r="B132" s="107">
        <v>7</v>
      </c>
      <c r="C132" s="107">
        <v>7</v>
      </c>
      <c r="D132" s="107">
        <v>7</v>
      </c>
      <c r="E132" s="107">
        <v>7</v>
      </c>
      <c r="F132" s="107">
        <v>7</v>
      </c>
      <c r="G132" s="107">
        <v>7</v>
      </c>
    </row>
    <row r="133" spans="1:7" x14ac:dyDescent="0.35">
      <c r="A133" s="17" t="s">
        <v>42</v>
      </c>
      <c r="B133" s="136">
        <v>20</v>
      </c>
      <c r="C133" s="136"/>
      <c r="D133" s="136">
        <v>20</v>
      </c>
      <c r="E133" s="136">
        <v>20</v>
      </c>
      <c r="F133" s="136">
        <v>20</v>
      </c>
      <c r="G133" s="136">
        <v>20</v>
      </c>
    </row>
    <row r="134" spans="1:7" x14ac:dyDescent="0.35">
      <c r="A134" s="5" t="s">
        <v>27</v>
      </c>
      <c r="B134" s="108">
        <v>3</v>
      </c>
      <c r="C134" s="108">
        <v>3</v>
      </c>
      <c r="D134" s="108">
        <v>3</v>
      </c>
      <c r="E134" s="108">
        <v>3</v>
      </c>
      <c r="F134" s="108">
        <v>3</v>
      </c>
      <c r="G134" s="108">
        <v>3</v>
      </c>
    </row>
    <row r="135" spans="1:7" x14ac:dyDescent="0.35">
      <c r="A135" s="26" t="s">
        <v>31</v>
      </c>
      <c r="B135" s="109">
        <v>0.08</v>
      </c>
      <c r="C135" s="109">
        <v>0.08</v>
      </c>
      <c r="D135" s="109">
        <v>0.08</v>
      </c>
      <c r="E135" s="109">
        <v>0.08</v>
      </c>
      <c r="F135" s="109">
        <v>0.08</v>
      </c>
      <c r="G135" s="109">
        <v>0.08</v>
      </c>
    </row>
    <row r="136" spans="1:7" x14ac:dyDescent="0.35">
      <c r="A136" s="26" t="s">
        <v>32</v>
      </c>
      <c r="B136" s="109">
        <v>0.6</v>
      </c>
      <c r="C136" s="109">
        <v>0.6</v>
      </c>
      <c r="D136" s="109">
        <v>0.6</v>
      </c>
      <c r="E136" s="109">
        <v>0.6</v>
      </c>
      <c r="F136" s="109">
        <v>0.6</v>
      </c>
      <c r="G136" s="109">
        <v>0.6</v>
      </c>
    </row>
    <row r="137" spans="1:7" x14ac:dyDescent="0.35">
      <c r="A137" s="26" t="s">
        <v>33</v>
      </c>
      <c r="B137" s="109">
        <v>0.32</v>
      </c>
      <c r="C137" s="109">
        <v>0.32</v>
      </c>
      <c r="D137" s="109">
        <v>0.32</v>
      </c>
      <c r="E137" s="109">
        <v>0.32</v>
      </c>
      <c r="F137" s="109">
        <v>0.32</v>
      </c>
      <c r="G137" s="109">
        <v>0.32</v>
      </c>
    </row>
    <row r="138" spans="1:7" x14ac:dyDescent="0.35">
      <c r="A138" s="27" t="s">
        <v>666</v>
      </c>
      <c r="B138" s="108">
        <v>0.5</v>
      </c>
      <c r="C138" s="108">
        <v>0.5</v>
      </c>
      <c r="D138" s="108">
        <v>0.5</v>
      </c>
      <c r="E138" s="108">
        <v>0.5</v>
      </c>
      <c r="F138" s="108">
        <v>0.5</v>
      </c>
      <c r="G138" s="108">
        <v>0.5</v>
      </c>
    </row>
    <row r="139" spans="1:7" x14ac:dyDescent="0.35">
      <c r="A139" s="26" t="s">
        <v>28</v>
      </c>
      <c r="B139" s="109">
        <v>0.5</v>
      </c>
      <c r="C139" s="109">
        <v>0.5</v>
      </c>
      <c r="D139" s="109">
        <v>0.5</v>
      </c>
      <c r="E139" s="109">
        <v>0.5</v>
      </c>
      <c r="F139" s="109">
        <v>0.5</v>
      </c>
      <c r="G139" s="109">
        <v>0.5</v>
      </c>
    </row>
    <row r="140" spans="1:7" x14ac:dyDescent="0.35">
      <c r="A140" s="26" t="s">
        <v>29</v>
      </c>
      <c r="B140" s="109">
        <v>0.75</v>
      </c>
      <c r="C140" s="109">
        <v>0.75</v>
      </c>
      <c r="D140" s="109">
        <v>0.75</v>
      </c>
      <c r="E140" s="109">
        <v>0.75</v>
      </c>
      <c r="F140" s="109">
        <v>0.75</v>
      </c>
      <c r="G140" s="109">
        <v>0.75</v>
      </c>
    </row>
    <row r="141" spans="1:7" x14ac:dyDescent="0.35">
      <c r="A141" s="26" t="s">
        <v>30</v>
      </c>
      <c r="B141" s="109">
        <v>1</v>
      </c>
      <c r="C141" s="109">
        <v>1</v>
      </c>
      <c r="D141" s="109">
        <v>1</v>
      </c>
      <c r="E141" s="109">
        <v>1</v>
      </c>
      <c r="F141" s="109">
        <v>1</v>
      </c>
      <c r="G141" s="109">
        <v>1</v>
      </c>
    </row>
    <row r="142" spans="1:7" x14ac:dyDescent="0.35">
      <c r="A142" s="5" t="s">
        <v>45</v>
      </c>
      <c r="B142" s="119">
        <v>0.1</v>
      </c>
      <c r="C142" s="119">
        <v>0.1</v>
      </c>
      <c r="D142" s="119">
        <v>0.1</v>
      </c>
      <c r="E142" s="119">
        <v>0.1</v>
      </c>
      <c r="F142" s="119">
        <v>0.1</v>
      </c>
      <c r="G142" s="119">
        <v>0.1</v>
      </c>
    </row>
    <row r="143" spans="1:7" x14ac:dyDescent="0.35">
      <c r="A143" s="5" t="s">
        <v>46</v>
      </c>
      <c r="B143" s="119">
        <v>0.35</v>
      </c>
      <c r="C143" s="119">
        <v>0.35</v>
      </c>
      <c r="D143" s="119">
        <v>0.35</v>
      </c>
      <c r="E143" s="119">
        <v>0.21</v>
      </c>
      <c r="F143" s="119">
        <v>0.21</v>
      </c>
      <c r="G143" s="119">
        <v>0.21</v>
      </c>
    </row>
    <row r="144" spans="1:7" x14ac:dyDescent="0.35">
      <c r="A144" s="5" t="s">
        <v>490</v>
      </c>
      <c r="B144" s="198">
        <f>B145/116090</f>
        <v>42.769780406581098</v>
      </c>
      <c r="C144" s="198">
        <f>C145/116090</f>
        <v>59.749332414505986</v>
      </c>
      <c r="D144" s="198"/>
      <c r="E144" s="245">
        <v>10.52</v>
      </c>
      <c r="F144" s="245">
        <v>10.57</v>
      </c>
      <c r="G144" s="251"/>
    </row>
    <row r="145" spans="1:7" x14ac:dyDescent="0.35">
      <c r="A145" s="5" t="s">
        <v>47</v>
      </c>
      <c r="B145" s="114">
        <f>'Supporting Calculations'!B534</f>
        <v>4965143.8073999994</v>
      </c>
      <c r="C145" s="218">
        <f>'Supporting Calculations'!B563</f>
        <v>6936300</v>
      </c>
      <c r="D145" s="114"/>
      <c r="E145" s="243">
        <f>'Supporting Calculations'!B602</f>
        <v>1221266.8</v>
      </c>
      <c r="F145" s="246">
        <f>'Supporting Calculations'!C602</f>
        <v>1227071.3</v>
      </c>
      <c r="G145" s="114"/>
    </row>
    <row r="146" spans="1:7" x14ac:dyDescent="0.35">
      <c r="A146" s="5" t="s">
        <v>659</v>
      </c>
      <c r="B146" s="241">
        <v>7884</v>
      </c>
      <c r="C146" s="241">
        <v>7884</v>
      </c>
      <c r="D146" s="241">
        <v>7884</v>
      </c>
      <c r="E146" s="229">
        <v>7884</v>
      </c>
      <c r="F146" s="229">
        <v>7884</v>
      </c>
      <c r="G146" s="241">
        <v>7884</v>
      </c>
    </row>
    <row r="147" spans="1:7" x14ac:dyDescent="0.35">
      <c r="A147" s="5" t="s">
        <v>117</v>
      </c>
      <c r="B147" s="121">
        <f>B16</f>
        <v>2007</v>
      </c>
      <c r="C147" s="121">
        <f>C16</f>
        <v>2011</v>
      </c>
      <c r="D147" s="121">
        <f>D16</f>
        <v>2014</v>
      </c>
      <c r="E147" s="121">
        <f>E16</f>
        <v>2016</v>
      </c>
      <c r="F147" s="121">
        <v>2016</v>
      </c>
      <c r="G147" s="121">
        <f>G16</f>
        <v>2016</v>
      </c>
    </row>
    <row r="148" spans="1:7" x14ac:dyDescent="0.35">
      <c r="A148" s="5" t="s">
        <v>218</v>
      </c>
      <c r="B148" s="120"/>
      <c r="C148" s="120">
        <f>C11</f>
        <v>430</v>
      </c>
      <c r="D148" s="120"/>
      <c r="E148" s="120">
        <f>E11</f>
        <v>670</v>
      </c>
      <c r="F148" s="120">
        <f>F11</f>
        <v>670</v>
      </c>
      <c r="G148" s="120"/>
    </row>
    <row r="149" spans="1:7" x14ac:dyDescent="0.35">
      <c r="A149" s="5" t="s">
        <v>105</v>
      </c>
      <c r="B149" s="115">
        <v>0</v>
      </c>
      <c r="C149" s="115">
        <v>0</v>
      </c>
      <c r="D149" s="115">
        <v>0</v>
      </c>
      <c r="E149" s="115">
        <v>0</v>
      </c>
      <c r="F149" s="115">
        <v>0</v>
      </c>
      <c r="G149" s="115">
        <v>0</v>
      </c>
    </row>
    <row r="150" spans="1:7" x14ac:dyDescent="0.35">
      <c r="A150" s="5" t="s">
        <v>48</v>
      </c>
      <c r="B150" s="112">
        <f>'Supporting Calculations'!B530</f>
        <v>145.03697936940441</v>
      </c>
      <c r="C150" s="112">
        <f>'Supporting Calculations'!B559</f>
        <v>38.676888620897579</v>
      </c>
      <c r="D150" s="112"/>
      <c r="E150" s="247">
        <f>'Supporting Calculations'!B598</f>
        <v>81.833060556464815</v>
      </c>
      <c r="F150" s="247">
        <f>'Supporting Calculations'!C598</f>
        <v>85.106382978723403</v>
      </c>
      <c r="G150" s="112"/>
    </row>
    <row r="151" spans="1:7" x14ac:dyDescent="0.35">
      <c r="A151" s="5" t="s">
        <v>69</v>
      </c>
      <c r="B151" s="112">
        <f>B17</f>
        <v>16.837342934994158</v>
      </c>
      <c r="C151" s="112">
        <f>C17</f>
        <v>4.49</v>
      </c>
      <c r="D151" s="112"/>
      <c r="E151" s="112">
        <f>E17</f>
        <v>9.5</v>
      </c>
      <c r="F151" s="112">
        <f>F17</f>
        <v>9.8800000000000008</v>
      </c>
      <c r="G151" s="112"/>
    </row>
    <row r="152" spans="1:7" x14ac:dyDescent="0.35">
      <c r="A152" s="5" t="s">
        <v>536</v>
      </c>
      <c r="D152" s="58">
        <f>D18</f>
        <v>494.25810000000001</v>
      </c>
      <c r="E152" s="91"/>
      <c r="F152" s="91"/>
      <c r="G152" s="91">
        <f>G18</f>
        <v>670</v>
      </c>
    </row>
  </sheetData>
  <hyperlinks>
    <hyperlink ref="C6" r:id="rId1" xr:uid="{00000000-0004-0000-0600-000000000000}"/>
    <hyperlink ref="B6" r:id="rId2" xr:uid="{00000000-0004-0000-0600-000001000000}"/>
    <hyperlink ref="D6" r:id="rId3" xr:uid="{CAFB56D0-55D1-45EC-A45A-7EB297422CC1}"/>
    <hyperlink ref="E6" r:id="rId4" xr:uid="{4A24E566-C9B3-4CE4-B4B1-440BD2C2D0C2}"/>
    <hyperlink ref="F6" r:id="rId5" xr:uid="{A9CF4711-6FE1-41C6-83E6-EB5964F0C360}"/>
  </hyperlinks>
  <pageMargins left="0.7" right="0.7" top="0.75" bottom="0.75" header="0.3" footer="0.3"/>
  <pageSetup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 Page</vt:lpstr>
      <vt:lpstr>Definitions</vt:lpstr>
      <vt:lpstr>Summary</vt:lpstr>
      <vt:lpstr>Gasification IDL</vt:lpstr>
      <vt:lpstr>Pyrolysis</vt:lpstr>
      <vt:lpstr>Biochemical</vt:lpstr>
      <vt:lpstr>HEFA</vt:lpstr>
      <vt:lpstr>HTL</vt:lpstr>
      <vt:lpstr>Algae</vt:lpstr>
      <vt:lpstr>Supporting Calculations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ckinchin</dc:creator>
  <cp:lastModifiedBy>NREL</cp:lastModifiedBy>
  <dcterms:created xsi:type="dcterms:W3CDTF">2014-02-21T17:39:27Z</dcterms:created>
  <dcterms:modified xsi:type="dcterms:W3CDTF">2021-02-04T04:40:02Z</dcterms:modified>
</cp:coreProperties>
</file>